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192.168.102.69\All docs\2024\ПП\ПП №\"/>
    </mc:Choice>
  </mc:AlternateContent>
  <bookViews>
    <workbookView xWindow="0" yWindow="0" windowWidth="28800" windowHeight="12330" tabRatio="595" firstSheet="4" activeTab="4"/>
  </bookViews>
  <sheets>
    <sheet name="часть 1" sheetId="1" state="hidden" r:id="rId1"/>
    <sheet name="часть 2" sheetId="2" state="hidden" r:id="rId2"/>
    <sheet name="часть 3" sheetId="3" state="hidden" r:id="rId3"/>
    <sheet name="№ п-п" sheetId="4" state="hidden" r:id="rId4"/>
    <sheet name="2-41" sheetId="5" r:id="rId5"/>
    <sheet name="42-69" sheetId="6" r:id="rId6"/>
    <sheet name="70-74" sheetId="7" r:id="rId7"/>
  </sheets>
  <definedNames>
    <definedName name="_xlnm._FilterDatabase" localSheetId="4" hidden="1">'2-41'!$A$12:$S$1053</definedName>
    <definedName name="_xlnm._FilterDatabase" localSheetId="5" hidden="1">'42-69'!$A$7:$AA$1028</definedName>
    <definedName name="_xlnm._FilterDatabase" localSheetId="6" hidden="1">'70-74'!$A$5:$F$146</definedName>
    <definedName name="_xlnm._FilterDatabase" localSheetId="0" hidden="1">'часть 1'!$A$14:$BJ$580</definedName>
    <definedName name="_xlnm._FilterDatabase" localSheetId="1" hidden="1">'часть 2'!$A$6:$BA$560</definedName>
    <definedName name="_xlnm._FilterDatabase" localSheetId="2" hidden="1">'часть 3'!$A$5:$P$104</definedName>
    <definedName name="Z_05E5B781_F71B_4B1D_8903_6B19B14E5AF9_.wvu.FilterData" localSheetId="5" hidden="1">'42-69'!$A$7:$AA$660</definedName>
    <definedName name="Z_0FC031E8_1679_436D_B7BC_C7548B561FDB_.wvu.FilterData" localSheetId="5" hidden="1">'42-69'!$A$7:$AA$706</definedName>
    <definedName name="Z_12421221_D7D1_498B_BCF5_8FFA481C8CE8_.wvu.FilterData" localSheetId="5" hidden="1">'42-69'!$A$7:$AA$660</definedName>
    <definedName name="Z_136D24AF_77E8_4B69_91ED_7B8ADE43DD87_.wvu.FilterData" localSheetId="5" hidden="1">'42-69'!$A$7:$AA$660</definedName>
    <definedName name="Z_144E5A37_1CF2_41F0_BEF8_CB5D4D392E2A_.wvu.Cols" localSheetId="5" hidden="1">'42-69'!#REF!</definedName>
    <definedName name="Z_144E5A37_1CF2_41F0_BEF8_CB5D4D392E2A_.wvu.Cols" localSheetId="1" hidden="1">'часть 2'!$V:$V</definedName>
    <definedName name="Z_144E5A37_1CF2_41F0_BEF8_CB5D4D392E2A_.wvu.FilterData" localSheetId="4" hidden="1">'2-41'!$A$12:$S$517</definedName>
    <definedName name="Z_144E5A37_1CF2_41F0_BEF8_CB5D4D392E2A_.wvu.FilterData" localSheetId="5" hidden="1">'42-69'!$A$7:$AA$660</definedName>
    <definedName name="Z_144E5A37_1CF2_41F0_BEF8_CB5D4D392E2A_.wvu.FilterData" localSheetId="6" hidden="1">'70-74'!$A$5:$F$109</definedName>
    <definedName name="Z_144E5A37_1CF2_41F0_BEF8_CB5D4D392E2A_.wvu.FilterData" localSheetId="0" hidden="1">'часть 1'!$A$14:$BJ$580</definedName>
    <definedName name="Z_144E5A37_1CF2_41F0_BEF8_CB5D4D392E2A_.wvu.FilterData" localSheetId="1" hidden="1">'часть 2'!$A$6:$BA$560</definedName>
    <definedName name="Z_144E5A37_1CF2_41F0_BEF8_CB5D4D392E2A_.wvu.FilterData" localSheetId="2" hidden="1">'часть 3'!$A$5:$P$104</definedName>
    <definedName name="Z_144E5A37_1CF2_41F0_BEF8_CB5D4D392E2A_.wvu.PrintArea" localSheetId="4" hidden="1">'2-41'!$A$1:$S$517</definedName>
    <definedName name="Z_144E5A37_1CF2_41F0_BEF8_CB5D4D392E2A_.wvu.PrintArea" localSheetId="5" hidden="1">'42-69'!$A$1:$AA$1032</definedName>
    <definedName name="Z_144E5A37_1CF2_41F0_BEF8_CB5D4D392E2A_.wvu.PrintArea" localSheetId="6" hidden="1">'70-74'!$A$1:$F$109</definedName>
    <definedName name="Z_144E5A37_1CF2_41F0_BEF8_CB5D4D392E2A_.wvu.PrintTitles" localSheetId="4" hidden="1">'2-41'!$12:$12</definedName>
    <definedName name="Z_144E5A37_1CF2_41F0_BEF8_CB5D4D392E2A_.wvu.PrintTitles" localSheetId="5" hidden="1">'42-69'!$7:$7</definedName>
    <definedName name="Z_144E5A37_1CF2_41F0_BEF8_CB5D4D392E2A_.wvu.PrintTitles" localSheetId="6" hidden="1">'70-74'!$5:$5</definedName>
    <definedName name="Z_144E5A37_1CF2_41F0_BEF8_CB5D4D392E2A_.wvu.PrintTitles" localSheetId="0" hidden="1">'часть 1'!$15:$15</definedName>
    <definedName name="Z_144E5A37_1CF2_41F0_BEF8_CB5D4D392E2A_.wvu.PrintTitles" localSheetId="1" hidden="1">'часть 2'!$6:$6</definedName>
    <definedName name="Z_144E5A37_1CF2_41F0_BEF8_CB5D4D392E2A_.wvu.PrintTitles" localSheetId="2" hidden="1">'часть 3'!$5:$5</definedName>
    <definedName name="Z_144E5A37_1CF2_41F0_BEF8_CB5D4D392E2A_.wvu.Rows" localSheetId="3" hidden="1">'№ п-п'!$14:$15,'№ п-п'!$18:$19</definedName>
    <definedName name="Z_152DE27B_16E0_4C3F_B8C9_77C51C4FE919_.wvu.FilterData" localSheetId="5" hidden="1">'42-69'!$A$7:$AA$660</definedName>
    <definedName name="Z_29A3D4D6_A1CD_4D52_8401_A6487748845B_.wvu.FilterData" localSheetId="5" hidden="1">'42-69'!$A$7:$AA$660</definedName>
    <definedName name="Z_3BFD9ADE_D6DD_43B4_9811_8F791DD4CCB0_.wvu.FilterData" localSheetId="5" hidden="1">'42-69'!$A$7:$AA$660</definedName>
    <definedName name="Z_3F6E8ED0_3B45_404D_802F_187FEB96400E_.wvu.FilterData" localSheetId="5" hidden="1">'42-69'!$A$7:$AA$660</definedName>
    <definedName name="Z_40F34145_9305_4878_B22D_6D9AD8EA3B52_.wvu.FilterData" localSheetId="5" hidden="1">'42-69'!$A$7:$AA$660</definedName>
    <definedName name="Z_41475477_4189_43D3_81B6_CE8A040E00A7_.wvu.FilterData" localSheetId="5" hidden="1">'42-69'!$A$7:$AA$660</definedName>
    <definedName name="Z_41536B0E_9695_4461_B8DF_5941B174BA4D_.wvu.FilterData" localSheetId="5" hidden="1">'42-69'!$A$7:$AA$660</definedName>
    <definedName name="Z_474A6E90_1050_4B84_8489_0B2670AB677B_.wvu.FilterData" localSheetId="5" hidden="1">'42-69'!$A$7:$AA$660</definedName>
    <definedName name="Z_4C44C113_DA02_468D_99C5_83FA6693F42F_.wvu.Cols" localSheetId="1" hidden="1">'часть 2'!$V:$V</definedName>
    <definedName name="Z_4C44C113_DA02_468D_99C5_83FA6693F42F_.wvu.FilterData" localSheetId="4" hidden="1">'2-41'!$A$12:$S$517</definedName>
    <definedName name="Z_4C44C113_DA02_468D_99C5_83FA6693F42F_.wvu.FilterData" localSheetId="5" hidden="1">'42-69'!$A$7:$AA$660</definedName>
    <definedName name="Z_4C44C113_DA02_468D_99C5_83FA6693F42F_.wvu.FilterData" localSheetId="6" hidden="1">'70-74'!$A$5:$F$109</definedName>
    <definedName name="Z_4C44C113_DA02_468D_99C5_83FA6693F42F_.wvu.FilterData" localSheetId="0" hidden="1">'часть 1'!$A$14:$BJ$580</definedName>
    <definedName name="Z_4C44C113_DA02_468D_99C5_83FA6693F42F_.wvu.FilterData" localSheetId="1" hidden="1">'часть 2'!$A$6:$BA$560</definedName>
    <definedName name="Z_4C44C113_DA02_468D_99C5_83FA6693F42F_.wvu.FilterData" localSheetId="2" hidden="1">'часть 3'!$A$5:$P$104</definedName>
    <definedName name="Z_4C44C113_DA02_468D_99C5_83FA6693F42F_.wvu.PrintArea" localSheetId="4" hidden="1">'2-41'!$A$1:$S$517</definedName>
    <definedName name="Z_4C44C113_DA02_468D_99C5_83FA6693F42F_.wvu.PrintArea" localSheetId="5" hidden="1">'42-69'!$A$1:$AA$1029</definedName>
    <definedName name="Z_4C44C113_DA02_468D_99C5_83FA6693F42F_.wvu.PrintArea" localSheetId="6" hidden="1">'70-74'!$A$1:$F$109</definedName>
    <definedName name="Z_4C44C113_DA02_468D_99C5_83FA6693F42F_.wvu.PrintTitles" localSheetId="4" hidden="1">'2-41'!$12:$12</definedName>
    <definedName name="Z_4C44C113_DA02_468D_99C5_83FA6693F42F_.wvu.PrintTitles" localSheetId="5" hidden="1">'42-69'!$7:$7</definedName>
    <definedName name="Z_4C44C113_DA02_468D_99C5_83FA6693F42F_.wvu.PrintTitles" localSheetId="6" hidden="1">'70-74'!$5:$5</definedName>
    <definedName name="Z_4C44C113_DA02_468D_99C5_83FA6693F42F_.wvu.PrintTitles" localSheetId="0" hidden="1">'часть 1'!$15:$15</definedName>
    <definedName name="Z_4C44C113_DA02_468D_99C5_83FA6693F42F_.wvu.PrintTitles" localSheetId="1" hidden="1">'часть 2'!$6:$6</definedName>
    <definedName name="Z_4C44C113_DA02_468D_99C5_83FA6693F42F_.wvu.PrintTitles" localSheetId="2" hidden="1">'часть 3'!$5:$5</definedName>
    <definedName name="Z_4C44C113_DA02_468D_99C5_83FA6693F42F_.wvu.Rows" localSheetId="3" hidden="1">'№ п-п'!$14:$15,'№ п-п'!$18:$19</definedName>
    <definedName name="Z_4E314135_0949_4D37_900C_1E7395131096_.wvu.FilterData" localSheetId="5" hidden="1">'42-69'!$A$7:$AA$660</definedName>
    <definedName name="Z_4F82539F_839D_4A54_B506_2AAEC10295D9_.wvu.FilterData" localSheetId="5" hidden="1">'42-69'!$A$7:$AA$660</definedName>
    <definedName name="Z_5003B0C5_6416_446E_8CFF_5AFE12963873_.wvu.FilterData" localSheetId="5" hidden="1">'42-69'!$A$7:$AA$660</definedName>
    <definedName name="Z_570403C4_1D93_4175_B4D8_BD47D46CE99C_.wvu.Cols" localSheetId="5" hidden="1">'42-69'!#REF!</definedName>
    <definedName name="Z_570403C4_1D93_4175_B4D8_BD47D46CE99C_.wvu.Cols" localSheetId="1" hidden="1">'часть 2'!$V:$V</definedName>
    <definedName name="Z_570403C4_1D93_4175_B4D8_BD47D46CE99C_.wvu.FilterData" localSheetId="4" hidden="1">'2-41'!$A$12:$S$517</definedName>
    <definedName name="Z_570403C4_1D93_4175_B4D8_BD47D46CE99C_.wvu.FilterData" localSheetId="5" hidden="1">'42-69'!$A$7:$AA$660</definedName>
    <definedName name="Z_570403C4_1D93_4175_B4D8_BD47D46CE99C_.wvu.FilterData" localSheetId="6" hidden="1">'70-74'!$A$5:$F$109</definedName>
    <definedName name="Z_570403C4_1D93_4175_B4D8_BD47D46CE99C_.wvu.FilterData" localSheetId="0" hidden="1">'часть 1'!$A$14:$BJ$580</definedName>
    <definedName name="Z_570403C4_1D93_4175_B4D8_BD47D46CE99C_.wvu.FilterData" localSheetId="1" hidden="1">'часть 2'!$A$6:$BA$560</definedName>
    <definedName name="Z_570403C4_1D93_4175_B4D8_BD47D46CE99C_.wvu.FilterData" localSheetId="2" hidden="1">'часть 3'!$A$5:$P$104</definedName>
    <definedName name="Z_570403C4_1D93_4175_B4D8_BD47D46CE99C_.wvu.PrintArea" localSheetId="4" hidden="1">'2-41'!$A$1:$S$517</definedName>
    <definedName name="Z_570403C4_1D93_4175_B4D8_BD47D46CE99C_.wvu.PrintArea" localSheetId="5" hidden="1">'42-69'!$A$1:$AA$1032</definedName>
    <definedName name="Z_570403C4_1D93_4175_B4D8_BD47D46CE99C_.wvu.PrintArea" localSheetId="6" hidden="1">'70-74'!$A$1:$F$109</definedName>
    <definedName name="Z_570403C4_1D93_4175_B4D8_BD47D46CE99C_.wvu.PrintTitles" localSheetId="4" hidden="1">'2-41'!$12:$12</definedName>
    <definedName name="Z_570403C4_1D93_4175_B4D8_BD47D46CE99C_.wvu.PrintTitles" localSheetId="5" hidden="1">'42-69'!$7:$7</definedName>
    <definedName name="Z_570403C4_1D93_4175_B4D8_BD47D46CE99C_.wvu.PrintTitles" localSheetId="6" hidden="1">'70-74'!$5:$5</definedName>
    <definedName name="Z_570403C4_1D93_4175_B4D8_BD47D46CE99C_.wvu.PrintTitles" localSheetId="0" hidden="1">'часть 1'!$15:$15</definedName>
    <definedName name="Z_570403C4_1D93_4175_B4D8_BD47D46CE99C_.wvu.PrintTitles" localSheetId="1" hidden="1">'часть 2'!$6:$6</definedName>
    <definedName name="Z_570403C4_1D93_4175_B4D8_BD47D46CE99C_.wvu.PrintTitles" localSheetId="2" hidden="1">'часть 3'!$5:$5</definedName>
    <definedName name="Z_570403C4_1D93_4175_B4D8_BD47D46CE99C_.wvu.Rows" localSheetId="3" hidden="1">'№ п-п'!$14:$15,'№ п-п'!$18:$19</definedName>
    <definedName name="Z_57E5498B_E080_45F5_8B33_8D7188EC9C36_.wvu.FilterData" localSheetId="5" hidden="1">'42-69'!$A$7:$AA$660</definedName>
    <definedName name="Z_57F71C00_2F54_4A01_858D_34743D2725A9_.wvu.FilterData" localSheetId="5" hidden="1">'42-69'!$A$7:$AA$660</definedName>
    <definedName name="Z_5847BC76_9FD4_4C7D_BA05_675BE6D87382_.wvu.FilterData" localSheetId="5" hidden="1">'42-69'!$A$7:$AA$660</definedName>
    <definedName name="Z_5B35D3E7_D7A9_42F2_9D25_9CB666EA5110_.wvu.FilterData" localSheetId="5" hidden="1">'42-69'!$A$7:$AA$660</definedName>
    <definedName name="Z_5C3921B2_19C7_44DE_BD2B_2B0DD7BBFD35_.wvu.FilterData" localSheetId="5" hidden="1">'42-69'!$A$7:$AA$660</definedName>
    <definedName name="Z_5E9903E7_AB69_4D86_B57D_DF5ACEB8B791_.wvu.FilterData" localSheetId="5" hidden="1">'42-69'!$A$7:$AA$660</definedName>
    <definedName name="Z_60B34441_F0B1_49F8_8EDF_70278298107D_.wvu.FilterData" localSheetId="5" hidden="1">'42-69'!$A$7:$AA$660</definedName>
    <definedName name="Z_66F56527_BC57_49BC_8DAF_8747E0C93E75_.wvu.FilterData" localSheetId="5" hidden="1">'42-69'!$A$7:$AA$660</definedName>
    <definedName name="Z_6A833A2A_4156_48C4_9847_29978B4540DB_.wvu.FilterData" localSheetId="5" hidden="1">'42-69'!$A$7:$AA$660</definedName>
    <definedName name="Z_6BE86631_6F83_428E_A6F1_69EDF5D6BF4E_.wvu.FilterData" localSheetId="5" hidden="1">'42-69'!$A$7:$AA$660</definedName>
    <definedName name="Z_6EFFC362_96FF_4993_8ED7_69B790607D5D_.wvu.FilterData" localSheetId="5" hidden="1">'42-69'!$A$7:$AA$660</definedName>
    <definedName name="Z_705C1A0A_F1DB_4399_B406_DF1688937ED4_.wvu.FilterData" localSheetId="5" hidden="1">'42-69'!$A$7:$AA$660</definedName>
    <definedName name="Z_7096DD8D_E6EF_458D_9D55_386757A5C7CA_.wvu.FilterData" localSheetId="5" hidden="1">'42-69'!$A$7:$AA$660</definedName>
    <definedName name="Z_717C4A49_7194_40C2_88DE_D85370C22ADE_.wvu.FilterData" localSheetId="5" hidden="1">'42-69'!$A$7:$AA$660</definedName>
    <definedName name="Z_725685D9_D1CC_423B_8423_BB84CCB20813_.wvu.FilterData" localSheetId="5" hidden="1">'42-69'!$A$7:$AA$660</definedName>
    <definedName name="Z_747A43E6_2B52_44FC_9C52_FA1A962072AC_.wvu.FilterData" localSheetId="5" hidden="1">'42-69'!$A$7:$AA$660</definedName>
    <definedName name="Z_767D42A1_BC47_4717_AEA3_8B4CF63CB35B_.wvu.FilterData" localSheetId="5" hidden="1">'42-69'!$A$7:$AA$660</definedName>
    <definedName name="Z_7A5DD78D_CBB3_4B9E_BE2C_65A8DA97DE43_.wvu.FilterData" localSheetId="5" hidden="1">'42-69'!$A$7:$AA$660</definedName>
    <definedName name="Z_7A75CCE7_0E84_47E6_A162_5AC0354F2967_.wvu.Cols" localSheetId="5" hidden="1">'42-69'!#REF!</definedName>
    <definedName name="Z_7A75CCE7_0E84_47E6_A162_5AC0354F2967_.wvu.Cols" localSheetId="1" hidden="1">'часть 2'!$V:$V</definedName>
    <definedName name="Z_7A75CCE7_0E84_47E6_A162_5AC0354F2967_.wvu.FilterData" localSheetId="4" hidden="1">'2-41'!$A$12:$S$517</definedName>
    <definedName name="Z_7A75CCE7_0E84_47E6_A162_5AC0354F2967_.wvu.FilterData" localSheetId="5" hidden="1">'42-69'!$A$7:$AA$660</definedName>
    <definedName name="Z_7A75CCE7_0E84_47E6_A162_5AC0354F2967_.wvu.FilterData" localSheetId="6" hidden="1">'70-74'!$A$5:$F$109</definedName>
    <definedName name="Z_7A75CCE7_0E84_47E6_A162_5AC0354F2967_.wvu.FilterData" localSheetId="0" hidden="1">'часть 1'!$A$14:$BJ$580</definedName>
    <definedName name="Z_7A75CCE7_0E84_47E6_A162_5AC0354F2967_.wvu.FilterData" localSheetId="1" hidden="1">'часть 2'!$A$6:$BA$560</definedName>
    <definedName name="Z_7A75CCE7_0E84_47E6_A162_5AC0354F2967_.wvu.FilterData" localSheetId="2" hidden="1">'часть 3'!$A$5:$P$104</definedName>
    <definedName name="Z_7A75CCE7_0E84_47E6_A162_5AC0354F2967_.wvu.PrintArea" localSheetId="4" hidden="1">'2-41'!$A$1:$S$517</definedName>
    <definedName name="Z_7A75CCE7_0E84_47E6_A162_5AC0354F2967_.wvu.PrintArea" localSheetId="5" hidden="1">'42-69'!$A$1:$AA$1032</definedName>
    <definedName name="Z_7A75CCE7_0E84_47E6_A162_5AC0354F2967_.wvu.PrintArea" localSheetId="6" hidden="1">'70-74'!$A$1:$F$109</definedName>
    <definedName name="Z_7A75CCE7_0E84_47E6_A162_5AC0354F2967_.wvu.PrintTitles" localSheetId="4" hidden="1">'2-41'!$12:$12</definedName>
    <definedName name="Z_7A75CCE7_0E84_47E6_A162_5AC0354F2967_.wvu.PrintTitles" localSheetId="5" hidden="1">'42-69'!$7:$7</definedName>
    <definedName name="Z_7A75CCE7_0E84_47E6_A162_5AC0354F2967_.wvu.PrintTitles" localSheetId="6" hidden="1">'70-74'!$5:$5</definedName>
    <definedName name="Z_7A75CCE7_0E84_47E6_A162_5AC0354F2967_.wvu.PrintTitles" localSheetId="0" hidden="1">'часть 1'!$15:$15</definedName>
    <definedName name="Z_7A75CCE7_0E84_47E6_A162_5AC0354F2967_.wvu.PrintTitles" localSheetId="1" hidden="1">'часть 2'!$6:$6</definedName>
    <definedName name="Z_7A75CCE7_0E84_47E6_A162_5AC0354F2967_.wvu.PrintTitles" localSheetId="2" hidden="1">'часть 3'!$5:$5</definedName>
    <definedName name="Z_7A75CCE7_0E84_47E6_A162_5AC0354F2967_.wvu.Rows" localSheetId="3" hidden="1">'№ п-п'!$14:$15,'№ п-п'!$18:$19</definedName>
    <definedName name="Z_7DB3C1B3_F279_4BAA_A54C_7231163D6141_.wvu.FilterData" localSheetId="5" hidden="1">'42-69'!$A$7:$AA$660</definedName>
    <definedName name="Z_7F800B45_1B12_4FD8_BF8D_2D665F317240_.wvu.FilterData" localSheetId="5" hidden="1">'42-69'!$A$7:$AA$660</definedName>
    <definedName name="Z_8003C97D_E897_4AB5_8D11_A4AEEE9ACC85_.wvu.FilterData" localSheetId="5" hidden="1">'42-69'!$A$7:$AA$660</definedName>
    <definedName name="Z_8725054F_4167_4A91_9037_6D07CCC5DB03_.wvu.FilterData" localSheetId="5" hidden="1">'42-69'!$A$7:$AA$660</definedName>
    <definedName name="Z_880B7681_C748_4196_8E88_8ACA1B88DBF9_.wvu.FilterData" localSheetId="5" hidden="1">'42-69'!$A$7:$AA$660</definedName>
    <definedName name="Z_88902188_D5DE_44B0_AD71_31B250B07E2B_.wvu.FilterData" localSheetId="5" hidden="1">'42-69'!$A$7:$AA$660</definedName>
    <definedName name="Z_8F571991_ED81_4C65_B263_7535CEC7008C_.wvu.FilterData" localSheetId="5" hidden="1">'42-69'!$A$7:$AA$660</definedName>
    <definedName name="Z_971AA6D5_B469_4A54_816C_1252CCB6D265_.wvu.Cols" localSheetId="1" hidden="1">'часть 2'!$V:$V</definedName>
    <definedName name="Z_971AA6D5_B469_4A54_816C_1252CCB6D265_.wvu.FilterData" localSheetId="4" hidden="1">'2-41'!$A$12:$S$1046</definedName>
    <definedName name="Z_971AA6D5_B469_4A54_816C_1252CCB6D265_.wvu.FilterData" localSheetId="5" hidden="1">'42-69'!$A$7:$AA$660</definedName>
    <definedName name="Z_971AA6D5_B469_4A54_816C_1252CCB6D265_.wvu.FilterData" localSheetId="6" hidden="1">'70-74'!$A$5:$F$109</definedName>
    <definedName name="Z_971AA6D5_B469_4A54_816C_1252CCB6D265_.wvu.FilterData" localSheetId="0" hidden="1">'часть 1'!$A$14:$BJ$580</definedName>
    <definedName name="Z_971AA6D5_B469_4A54_816C_1252CCB6D265_.wvu.FilterData" localSheetId="1" hidden="1">'часть 2'!$A$6:$BA$560</definedName>
    <definedName name="Z_971AA6D5_B469_4A54_816C_1252CCB6D265_.wvu.FilterData" localSheetId="2" hidden="1">'часть 3'!$A$5:$P$104</definedName>
    <definedName name="Z_971AA6D5_B469_4A54_816C_1252CCB6D265_.wvu.PrintArea" localSheetId="4" hidden="1">'2-41'!$A$1:$S$1046</definedName>
    <definedName name="Z_971AA6D5_B469_4A54_816C_1252CCB6D265_.wvu.PrintArea" localSheetId="5" hidden="1">'42-69'!$A$1:$AA$1032</definedName>
    <definedName name="Z_971AA6D5_B469_4A54_816C_1252CCB6D265_.wvu.PrintArea" localSheetId="6" hidden="1">'70-74'!$A$1:$F$146</definedName>
    <definedName name="Z_971AA6D5_B469_4A54_816C_1252CCB6D265_.wvu.PrintTitles" localSheetId="4" hidden="1">'2-41'!$12:$12</definedName>
    <definedName name="Z_971AA6D5_B469_4A54_816C_1252CCB6D265_.wvu.PrintTitles" localSheetId="5" hidden="1">'42-69'!$7:$7</definedName>
    <definedName name="Z_971AA6D5_B469_4A54_816C_1252CCB6D265_.wvu.PrintTitles" localSheetId="6" hidden="1">'70-74'!$5:$5</definedName>
    <definedName name="Z_971AA6D5_B469_4A54_816C_1252CCB6D265_.wvu.PrintTitles" localSheetId="0" hidden="1">'часть 1'!$15:$15</definedName>
    <definedName name="Z_971AA6D5_B469_4A54_816C_1252CCB6D265_.wvu.PrintTitles" localSheetId="1" hidden="1">'часть 2'!$6:$6</definedName>
    <definedName name="Z_971AA6D5_B469_4A54_816C_1252CCB6D265_.wvu.PrintTitles" localSheetId="2" hidden="1">'часть 3'!$5:$5</definedName>
    <definedName name="Z_971AA6D5_B469_4A54_816C_1252CCB6D265_.wvu.Rows" localSheetId="3" hidden="1">'№ п-п'!$14:$15,'№ п-п'!$18:$19</definedName>
    <definedName name="Z_98E5B6B6_C64F_4325_ABDA_82FFCFC21AC2_.wvu.FilterData" localSheetId="5" hidden="1">'42-69'!$A$7:$AA$660</definedName>
    <definedName name="Z_A28C0ADC_4E0C_4A0A_ACB1_DA409183476D_.wvu.Cols" localSheetId="5" hidden="1">'42-69'!#REF!</definedName>
    <definedName name="Z_A28C0ADC_4E0C_4A0A_ACB1_DA409183476D_.wvu.Cols" localSheetId="1" hidden="1">'часть 2'!$V:$V</definedName>
    <definedName name="Z_A28C0ADC_4E0C_4A0A_ACB1_DA409183476D_.wvu.FilterData" localSheetId="4" hidden="1">'2-41'!$A$12:$S$517</definedName>
    <definedName name="Z_A28C0ADC_4E0C_4A0A_ACB1_DA409183476D_.wvu.FilterData" localSheetId="5" hidden="1">'42-69'!$A$7:$AA$660</definedName>
    <definedName name="Z_A28C0ADC_4E0C_4A0A_ACB1_DA409183476D_.wvu.FilterData" localSheetId="6" hidden="1">'70-74'!$A$5:$F$109</definedName>
    <definedName name="Z_A28C0ADC_4E0C_4A0A_ACB1_DA409183476D_.wvu.FilterData" localSheetId="0" hidden="1">'часть 1'!$A$14:$BJ$580</definedName>
    <definedName name="Z_A28C0ADC_4E0C_4A0A_ACB1_DA409183476D_.wvu.FilterData" localSheetId="1" hidden="1">'часть 2'!$A$6:$BA$560</definedName>
    <definedName name="Z_A28C0ADC_4E0C_4A0A_ACB1_DA409183476D_.wvu.FilterData" localSheetId="2" hidden="1">'часть 3'!$A$5:$P$104</definedName>
    <definedName name="Z_A28C0ADC_4E0C_4A0A_ACB1_DA409183476D_.wvu.PrintArea" localSheetId="4" hidden="1">'2-41'!$A$1:$S$517</definedName>
    <definedName name="Z_A28C0ADC_4E0C_4A0A_ACB1_DA409183476D_.wvu.PrintArea" localSheetId="5" hidden="1">'42-69'!$A$1:$AA$1032</definedName>
    <definedName name="Z_A28C0ADC_4E0C_4A0A_ACB1_DA409183476D_.wvu.PrintArea" localSheetId="6" hidden="1">'70-74'!$A$1:$F$109</definedName>
    <definedName name="Z_A28C0ADC_4E0C_4A0A_ACB1_DA409183476D_.wvu.PrintTitles" localSheetId="4" hidden="1">'2-41'!$12:$12</definedName>
    <definedName name="Z_A28C0ADC_4E0C_4A0A_ACB1_DA409183476D_.wvu.PrintTitles" localSheetId="5" hidden="1">'42-69'!$7:$7</definedName>
    <definedName name="Z_A28C0ADC_4E0C_4A0A_ACB1_DA409183476D_.wvu.PrintTitles" localSheetId="6" hidden="1">'70-74'!$5:$5</definedName>
    <definedName name="Z_A28C0ADC_4E0C_4A0A_ACB1_DA409183476D_.wvu.PrintTitles" localSheetId="0" hidden="1">'часть 1'!$15:$15</definedName>
    <definedName name="Z_A28C0ADC_4E0C_4A0A_ACB1_DA409183476D_.wvu.PrintTitles" localSheetId="1" hidden="1">'часть 2'!$6:$6</definedName>
    <definedName name="Z_A28C0ADC_4E0C_4A0A_ACB1_DA409183476D_.wvu.PrintTitles" localSheetId="2" hidden="1">'часть 3'!$5:$5</definedName>
    <definedName name="Z_A28C0ADC_4E0C_4A0A_ACB1_DA409183476D_.wvu.Rows" localSheetId="3" hidden="1">'№ п-п'!$14:$15,'№ п-п'!$18:$19</definedName>
    <definedName name="Z_A321FB79_B059_4A00_B85D_60ECC401FE5D_.wvu.FilterData" localSheetId="5" hidden="1">'42-69'!$A$7:$AA$660</definedName>
    <definedName name="Z_A5A38057_2A4E_4929_BCC1_C6D8896DA4F6_.wvu.FilterData" localSheetId="5" hidden="1">'42-69'!$A$7:$AA$660</definedName>
    <definedName name="Z_A6187BD3_0BA4_497C_8924_4FA3D77530F0_.wvu.Cols" localSheetId="5" hidden="1">'42-69'!#REF!</definedName>
    <definedName name="Z_A6187BD3_0BA4_497C_8924_4FA3D77530F0_.wvu.Cols" localSheetId="1" hidden="1">'часть 2'!$V:$V</definedName>
    <definedName name="Z_A6187BD3_0BA4_497C_8924_4FA3D77530F0_.wvu.FilterData" localSheetId="4" hidden="1">'2-41'!$A$12:$S$517</definedName>
    <definedName name="Z_A6187BD3_0BA4_497C_8924_4FA3D77530F0_.wvu.FilterData" localSheetId="5" hidden="1">'42-69'!$A$7:$AA$660</definedName>
    <definedName name="Z_A6187BD3_0BA4_497C_8924_4FA3D77530F0_.wvu.FilterData" localSheetId="6" hidden="1">'70-74'!$A$5:$F$109</definedName>
    <definedName name="Z_A6187BD3_0BA4_497C_8924_4FA3D77530F0_.wvu.FilterData" localSheetId="0" hidden="1">'часть 1'!$A$14:$BJ$580</definedName>
    <definedName name="Z_A6187BD3_0BA4_497C_8924_4FA3D77530F0_.wvu.FilterData" localSheetId="1" hidden="1">'часть 2'!$A$6:$BA$560</definedName>
    <definedName name="Z_A6187BD3_0BA4_497C_8924_4FA3D77530F0_.wvu.FilterData" localSheetId="2" hidden="1">'часть 3'!$A$5:$P$104</definedName>
    <definedName name="Z_A6187BD3_0BA4_497C_8924_4FA3D77530F0_.wvu.PrintArea" localSheetId="4" hidden="1">'2-41'!$A$1:$S$517</definedName>
    <definedName name="Z_A6187BD3_0BA4_497C_8924_4FA3D77530F0_.wvu.PrintArea" localSheetId="5" hidden="1">'42-69'!$A$1:$AA$1032</definedName>
    <definedName name="Z_A6187BD3_0BA4_497C_8924_4FA3D77530F0_.wvu.PrintArea" localSheetId="6" hidden="1">'70-74'!$A$1:$F$109</definedName>
    <definedName name="Z_A6187BD3_0BA4_497C_8924_4FA3D77530F0_.wvu.PrintTitles" localSheetId="4" hidden="1">'2-41'!$12:$12</definedName>
    <definedName name="Z_A6187BD3_0BA4_497C_8924_4FA3D77530F0_.wvu.PrintTitles" localSheetId="5" hidden="1">'42-69'!$7:$7</definedName>
    <definedName name="Z_A6187BD3_0BA4_497C_8924_4FA3D77530F0_.wvu.PrintTitles" localSheetId="6" hidden="1">'70-74'!$5:$5</definedName>
    <definedName name="Z_A6187BD3_0BA4_497C_8924_4FA3D77530F0_.wvu.PrintTitles" localSheetId="0" hidden="1">'часть 1'!$15:$15</definedName>
    <definedName name="Z_A6187BD3_0BA4_497C_8924_4FA3D77530F0_.wvu.PrintTitles" localSheetId="1" hidden="1">'часть 2'!$6:$6</definedName>
    <definedName name="Z_A6187BD3_0BA4_497C_8924_4FA3D77530F0_.wvu.PrintTitles" localSheetId="2" hidden="1">'часть 3'!$5:$5</definedName>
    <definedName name="Z_A6187BD3_0BA4_497C_8924_4FA3D77530F0_.wvu.Rows" localSheetId="3" hidden="1">'№ п-п'!$14:$15,'№ п-п'!$18:$19</definedName>
    <definedName name="Z_A83D7B2F_20B3_494F_BA63_C650B73EF160_.wvu.FilterData" localSheetId="5" hidden="1">'42-69'!$A$7:$AA$660</definedName>
    <definedName name="Z_AEB6E9DA_56F5_4213_892E_4F0DA44787BD_.wvu.FilterData" localSheetId="5" hidden="1">'42-69'!$A$7:$AA$660</definedName>
    <definedName name="Z_B1841E62_04AF_4786_8B2B_B1F42C88E6D1_.wvu.Cols" localSheetId="5" hidden="1">'42-69'!#REF!</definedName>
    <definedName name="Z_B1841E62_04AF_4786_8B2B_B1F42C88E6D1_.wvu.Cols" localSheetId="1" hidden="1">'часть 2'!$V:$V</definedName>
    <definedName name="Z_B1841E62_04AF_4786_8B2B_B1F42C88E6D1_.wvu.FilterData" localSheetId="4" hidden="1">'2-41'!$A$12:$S$517</definedName>
    <definedName name="Z_B1841E62_04AF_4786_8B2B_B1F42C88E6D1_.wvu.FilterData" localSheetId="5" hidden="1">'42-69'!$A$7:$AA$706</definedName>
    <definedName name="Z_B1841E62_04AF_4786_8B2B_B1F42C88E6D1_.wvu.FilterData" localSheetId="6" hidden="1">'70-74'!$A$5:$F$109</definedName>
    <definedName name="Z_B1841E62_04AF_4786_8B2B_B1F42C88E6D1_.wvu.FilterData" localSheetId="0" hidden="1">'часть 1'!$A$14:$BJ$580</definedName>
    <definedName name="Z_B1841E62_04AF_4786_8B2B_B1F42C88E6D1_.wvu.FilterData" localSheetId="1" hidden="1">'часть 2'!$A$6:$BA$560</definedName>
    <definedName name="Z_B1841E62_04AF_4786_8B2B_B1F42C88E6D1_.wvu.FilterData" localSheetId="2" hidden="1">'часть 3'!$A$5:$P$104</definedName>
    <definedName name="Z_B1841E62_04AF_4786_8B2B_B1F42C88E6D1_.wvu.PrintArea" localSheetId="4" hidden="1">'2-41'!$A$1:$S$517</definedName>
    <definedName name="Z_B1841E62_04AF_4786_8B2B_B1F42C88E6D1_.wvu.PrintArea" localSheetId="5" hidden="1">'42-69'!$A$1:$AA$1032</definedName>
    <definedName name="Z_B1841E62_04AF_4786_8B2B_B1F42C88E6D1_.wvu.PrintArea" localSheetId="6" hidden="1">'70-74'!$A$1:$F$109</definedName>
    <definedName name="Z_B1841E62_04AF_4786_8B2B_B1F42C88E6D1_.wvu.PrintTitles" localSheetId="4" hidden="1">'2-41'!$12:$12</definedName>
    <definedName name="Z_B1841E62_04AF_4786_8B2B_B1F42C88E6D1_.wvu.PrintTitles" localSheetId="5" hidden="1">'42-69'!$7:$7</definedName>
    <definedName name="Z_B1841E62_04AF_4786_8B2B_B1F42C88E6D1_.wvu.PrintTitles" localSheetId="6" hidden="1">'70-74'!$5:$5</definedName>
    <definedName name="Z_B1841E62_04AF_4786_8B2B_B1F42C88E6D1_.wvu.PrintTitles" localSheetId="0" hidden="1">'часть 1'!$15:$15</definedName>
    <definedName name="Z_B1841E62_04AF_4786_8B2B_B1F42C88E6D1_.wvu.PrintTitles" localSheetId="1" hidden="1">'часть 2'!$6:$6</definedName>
    <definedName name="Z_B1841E62_04AF_4786_8B2B_B1F42C88E6D1_.wvu.PrintTitles" localSheetId="2" hidden="1">'часть 3'!$5:$5</definedName>
    <definedName name="Z_B1841E62_04AF_4786_8B2B_B1F42C88E6D1_.wvu.Rows" localSheetId="3" hidden="1">'№ п-п'!$14:$15,'№ п-п'!$18:$19</definedName>
    <definedName name="Z_B2668406_A9E2_483C_9038_D3C53C3852B3_.wvu.FilterData" localSheetId="5" hidden="1">'42-69'!$A$7:$AA$660</definedName>
    <definedName name="Z_B9D0663C_63A0_401E_8ED1_60ADAC53D63A_.wvu.FilterData" localSheetId="5" hidden="1">'42-69'!$A$7:$AA$660</definedName>
    <definedName name="Z_BE54D047_288E_45CA_A3E2_8781AC521EB8_.wvu.FilterData" localSheetId="5" hidden="1">'42-69'!$A$7:$AA$660</definedName>
    <definedName name="Z_C72DCB43_63A7_46C9_B5CB_74FA2E0CD927_.wvu.FilterData" localSheetId="5" hidden="1">'42-69'!$A$7:$AA$660</definedName>
    <definedName name="Z_C9E4AE6E_4CA1_437A_9BAB_2F53034C90C5_.wvu.FilterData" localSheetId="5" hidden="1">'42-69'!$A$7:$AA$660</definedName>
    <definedName name="Z_CA3D85C3_A842_43A2_B866_F2F869FB930B_.wvu.FilterData" localSheetId="5" hidden="1">'42-69'!$A$7:$AA$660</definedName>
    <definedName name="Z_CBDE6D18_7D23_43BD_BD9C_663C0222EB8D_.wvu.FilterData" localSheetId="5" hidden="1">'42-69'!$A$7:$AA$660</definedName>
    <definedName name="Z_CC8F1533_D9B3_46FE_AB28_4986DEF39657_.wvu.FilterData" localSheetId="5" hidden="1">'42-69'!$A$7:$AA$660</definedName>
    <definedName name="Z_D19BCD5F_28F7_42BE_B4AA_59F65CE5711C_.wvu.FilterData" localSheetId="5" hidden="1">'42-69'!$A$7:$AA$660</definedName>
    <definedName name="Z_D9C6FA05_E1FF_462A_9752_4AAF3C578DD9_.wvu.FilterData" localSheetId="5" hidden="1">'42-69'!$A$7:$AA$660</definedName>
    <definedName name="Z_DC88C499_913F_4D15_846E_E5B9D5E047D7_.wvu.Cols" localSheetId="1" hidden="1">'часть 2'!$V:$V</definedName>
    <definedName name="Z_DC88C499_913F_4D15_846E_E5B9D5E047D7_.wvu.FilterData" localSheetId="4" hidden="1">'2-41'!$A$12:$S$517</definedName>
    <definedName name="Z_DC88C499_913F_4D15_846E_E5B9D5E047D7_.wvu.FilterData" localSheetId="5" hidden="1">'42-69'!$A$7:$AA$660</definedName>
    <definedName name="Z_DC88C499_913F_4D15_846E_E5B9D5E047D7_.wvu.FilterData" localSheetId="6" hidden="1">'70-74'!$A$5:$F$109</definedName>
    <definedName name="Z_DC88C499_913F_4D15_846E_E5B9D5E047D7_.wvu.FilterData" localSheetId="0" hidden="1">'часть 1'!$A$14:$BJ$580</definedName>
    <definedName name="Z_DC88C499_913F_4D15_846E_E5B9D5E047D7_.wvu.FilterData" localSheetId="1" hidden="1">'часть 2'!$A$6:$BA$560</definedName>
    <definedName name="Z_DC88C499_913F_4D15_846E_E5B9D5E047D7_.wvu.FilterData" localSheetId="2" hidden="1">'часть 3'!$A$5:$P$104</definedName>
    <definedName name="Z_DC88C499_913F_4D15_846E_E5B9D5E047D7_.wvu.PrintArea" localSheetId="4" hidden="1">'2-41'!$A$1:$S$517</definedName>
    <definedName name="Z_DC88C499_913F_4D15_846E_E5B9D5E047D7_.wvu.PrintArea" localSheetId="5" hidden="1">'42-69'!$A$1:$AA$1032</definedName>
    <definedName name="Z_DC88C499_913F_4D15_846E_E5B9D5E047D7_.wvu.PrintArea" localSheetId="6" hidden="1">'70-74'!$A$1:$F$109</definedName>
    <definedName name="Z_DC88C499_913F_4D15_846E_E5B9D5E047D7_.wvu.PrintTitles" localSheetId="4" hidden="1">'2-41'!$12:$12</definedName>
    <definedName name="Z_DC88C499_913F_4D15_846E_E5B9D5E047D7_.wvu.PrintTitles" localSheetId="5" hidden="1">'42-69'!$7:$7</definedName>
    <definedName name="Z_DC88C499_913F_4D15_846E_E5B9D5E047D7_.wvu.PrintTitles" localSheetId="6" hidden="1">'70-74'!$5:$5</definedName>
    <definedName name="Z_DC88C499_913F_4D15_846E_E5B9D5E047D7_.wvu.PrintTitles" localSheetId="0" hidden="1">'часть 1'!$15:$15</definedName>
    <definedName name="Z_DC88C499_913F_4D15_846E_E5B9D5E047D7_.wvu.PrintTitles" localSheetId="1" hidden="1">'часть 2'!$6:$6</definedName>
    <definedName name="Z_DC88C499_913F_4D15_846E_E5B9D5E047D7_.wvu.PrintTitles" localSheetId="2" hidden="1">'часть 3'!$5:$5</definedName>
    <definedName name="Z_DC88C499_913F_4D15_846E_E5B9D5E047D7_.wvu.Rows" localSheetId="3" hidden="1">'№ п-п'!$14:$15,'№ п-п'!$18:$19</definedName>
    <definedName name="Z_DFE5B545_478C_4B86_847C_1FEE882C6F69_.wvu.Cols" localSheetId="1" hidden="1">'часть 2'!$V:$V</definedName>
    <definedName name="Z_DFE5B545_478C_4B86_847C_1FEE882C6F69_.wvu.FilterData" localSheetId="4" hidden="1">'2-41'!$A$12:$S$517</definedName>
    <definedName name="Z_DFE5B545_478C_4B86_847C_1FEE882C6F69_.wvu.FilterData" localSheetId="5" hidden="1">'42-69'!$A$7:$AA$660</definedName>
    <definedName name="Z_DFE5B545_478C_4B86_847C_1FEE882C6F69_.wvu.FilterData" localSheetId="6" hidden="1">'70-74'!$A$5:$F$109</definedName>
    <definedName name="Z_DFE5B545_478C_4B86_847C_1FEE882C6F69_.wvu.FilterData" localSheetId="0" hidden="1">'часть 1'!$A$14:$BJ$580</definedName>
    <definedName name="Z_DFE5B545_478C_4B86_847C_1FEE882C6F69_.wvu.FilterData" localSheetId="1" hidden="1">'часть 2'!$A$6:$BA$560</definedName>
    <definedName name="Z_DFE5B545_478C_4B86_847C_1FEE882C6F69_.wvu.FilterData" localSheetId="2" hidden="1">'часть 3'!$A$5:$P$104</definedName>
    <definedName name="Z_DFE5B545_478C_4B86_847C_1FEE882C6F69_.wvu.PrintArea" localSheetId="4" hidden="1">'2-41'!$A$1:$S$517</definedName>
    <definedName name="Z_DFE5B545_478C_4B86_847C_1FEE882C6F69_.wvu.PrintArea" localSheetId="5" hidden="1">'42-69'!$A$1:$AA$1031</definedName>
    <definedName name="Z_DFE5B545_478C_4B86_847C_1FEE882C6F69_.wvu.PrintArea" localSheetId="6" hidden="1">'70-74'!$A$1:$F$109</definedName>
    <definedName name="Z_DFE5B545_478C_4B86_847C_1FEE882C6F69_.wvu.PrintTitles" localSheetId="4" hidden="1">'2-41'!$12:$12</definedName>
    <definedName name="Z_DFE5B545_478C_4B86_847C_1FEE882C6F69_.wvu.PrintTitles" localSheetId="5" hidden="1">'42-69'!$7:$7</definedName>
    <definedName name="Z_DFE5B545_478C_4B86_847C_1FEE882C6F69_.wvu.PrintTitles" localSheetId="6" hidden="1">'70-74'!$5:$5</definedName>
    <definedName name="Z_DFE5B545_478C_4B86_847C_1FEE882C6F69_.wvu.PrintTitles" localSheetId="0" hidden="1">'часть 1'!$15:$15</definedName>
    <definedName name="Z_DFE5B545_478C_4B86_847C_1FEE882C6F69_.wvu.PrintTitles" localSheetId="1" hidden="1">'часть 2'!$6:$6</definedName>
    <definedName name="Z_DFE5B545_478C_4B86_847C_1FEE882C6F69_.wvu.PrintTitles" localSheetId="2" hidden="1">'часть 3'!$5:$5</definedName>
    <definedName name="Z_DFE5B545_478C_4B86_847C_1FEE882C6F69_.wvu.Rows" localSheetId="3" hidden="1">'№ п-п'!$14:$15,'№ п-п'!$18:$19</definedName>
    <definedName name="Z_E2335EEE_90CD_44B5_B44F_67D0A5B89BF0_.wvu.FilterData" localSheetId="5" hidden="1">'42-69'!$A$7:$AA$660</definedName>
    <definedName name="Z_EA8946CA_5107_46AB_B930_29C3BB414A14_.wvu.FilterData" localSheetId="5" hidden="1">'42-69'!$A$7:$AA$660</definedName>
    <definedName name="Z_EF79F93F_B59D_4442_BDF7_22471F71A66E_.wvu.FilterData" localSheetId="5" hidden="1">'42-69'!$A$7:$AA$660</definedName>
    <definedName name="Z_F61B5223_12DC_4DBE_9593_ED93F1AA70BA_.wvu.FilterData" localSheetId="5" hidden="1">'42-69'!$A$7:$AA$660</definedName>
    <definedName name="Z_F6AA583A_65C3_409D_9CF2_7CB42EE241BE_.wvu.FilterData" localSheetId="5" hidden="1">'42-69'!$A$7:$AA$660</definedName>
    <definedName name="Z_F77DA852_6232_407C_9ABA_011B3432E9E3_.wvu.FilterData" localSheetId="5" hidden="1">'42-69'!$A$7:$AA$660</definedName>
    <definedName name="Z_FCB9068D_0529_4C17_8705_03722B6A9E17_.wvu.FilterData" localSheetId="5" hidden="1">'42-69'!$A$7:$AA$660</definedName>
    <definedName name="Z_FCF4D91B_0F54_4F15_9842_76F9B75A11F5_.wvu.FilterData" localSheetId="5" hidden="1">'42-69'!$A$7:$AA$660</definedName>
    <definedName name="Z_FEE20D38_B3DC_4C0F_81BA_40B7A314A69A_.wvu.FilterData" localSheetId="5" hidden="1">'42-69'!$A$7:$AA$660</definedName>
    <definedName name="_xlnm.Print_Titles" localSheetId="4">'2-41'!$12:$12</definedName>
    <definedName name="_xlnm.Print_Titles" localSheetId="5">'42-69'!$7:$7</definedName>
    <definedName name="_xlnm.Print_Titles" localSheetId="6">'70-74'!$5:$5</definedName>
    <definedName name="_xlnm.Print_Titles" localSheetId="0">'часть 1'!$15:$15</definedName>
    <definedName name="_xlnm.Print_Titles" localSheetId="1">'часть 2'!$6:$6</definedName>
    <definedName name="_xlnm.Print_Titles" localSheetId="2">'часть 3'!$5:$5</definedName>
    <definedName name="_xlnm.Print_Area" localSheetId="4">'2-41'!$A$1:$S$1054</definedName>
    <definedName name="_xlnm.Print_Area" localSheetId="5">'42-69'!$A$1:$AA$1029</definedName>
    <definedName name="_xlnm.Print_Area" localSheetId="6">'70-74'!$A$1:$F$147</definedName>
    <definedName name="Перечень" localSheetId="0">#REF!</definedName>
    <definedName name="Перечень">#REF!</definedName>
    <definedName name="Перечень2" localSheetId="0">#REF!</definedName>
    <definedName name="Перечень2">#REF!</definedName>
    <definedName name="Перечень3" localSheetId="0">#REF!</definedName>
    <definedName name="Перечень3">#REF!</definedName>
    <definedName name="Перечень4">#REF!</definedName>
  </definedNames>
  <calcPr calcId="162913"/>
  <customWorkbookViews>
    <customWorkbookView name="Попов - Личное представление" guid="{971AA6D5-B469-4A54-816C-1252CCB6D265}" mergeInterval="0" personalView="1" maximized="1" xWindow="1" yWindow="1" windowWidth="1916" windowHeight="755" activeSheetId="5"/>
    <customWorkbookView name="Ольга Костоусова - Личное представление" guid="{DFE5B545-478C-4B86-847C-1FEE882C6F69}" mergeInterval="0" personalView="1" maximized="1" xWindow="-8" yWindow="-8" windowWidth="1616" windowHeight="876" activeSheetId="6"/>
    <customWorkbookView name="Михаил Сакулин - Личное представление" guid="{4C44C113-DA02-468D-99C5-83FA6693F42F}" mergeInterval="0" personalView="1" maximized="1" xWindow="-8" yWindow="-8" windowWidth="1616" windowHeight="886" activeSheetId="6"/>
    <customWorkbookView name="Анастасия Андреева - Личное представление" guid="{570403C4-1D93-4175-B4D8-BD47D46CE99C}" mergeInterval="0" personalView="1" maximized="1" xWindow="-8" yWindow="-8" windowWidth="1936" windowHeight="1056" activeSheetId="6"/>
    <customWorkbookView name="Максим Егоров - Личное представление" guid="{B1841E62-04AF-4786-8B2B-B1F42C88E6D1}" mergeInterval="0" personalView="1" maximized="1" xWindow="-8" yWindow="-8" windowWidth="1936" windowHeight="1056" activeSheetId="6"/>
    <customWorkbookView name="Галина Липашева - Личное представление" guid="{A28C0ADC-4E0C-4A0A-ACB1-DA409183476D}" mergeInterval="0" personalView="1" maximized="1" xWindow="-8" yWindow="-8" windowWidth="1936" windowHeight="1056" activeSheetId="6"/>
    <customWorkbookView name="Евгений Григорьев - Личное представление" guid="{144E5A37-1CF2-41F0-BEF8-CB5D4D392E2A}" mergeInterval="0" personalView="1" maximized="1" xWindow="-8" yWindow="-8" windowWidth="1616" windowHeight="876" activeSheetId="6"/>
    <customWorkbookView name="Михаил Шувалов - Личное представление" guid="{7A75CCE7-0E84-47E6-A162-5AC0354F2967}" mergeInterval="0" personalView="1" maximized="1" xWindow="-8" yWindow="-8" windowWidth="1616" windowHeight="886" activeSheetId="6"/>
    <customWorkbookView name="User18 - Личное представление" guid="{A6187BD3-0BA4-497C-8924-4FA3D77530F0}" mergeInterval="0" personalView="1" maximized="1" xWindow="-8" yWindow="-8" windowWidth="1616" windowHeight="876" activeSheetId="6"/>
    <customWorkbookView name="Юлия Гуцева - Личное представление" guid="{DC88C499-913F-4D15-846E-E5B9D5E047D7}" mergeInterval="0" personalView="1" maximized="1" xWindow="-8" yWindow="-8" windowWidth="1616" windowHeight="876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05" i="5" l="1"/>
  <c r="O366" i="5"/>
  <c r="N366" i="5"/>
  <c r="O280" i="5"/>
  <c r="O281" i="5"/>
  <c r="O283" i="5"/>
  <c r="O284" i="5"/>
  <c r="O285" i="5"/>
  <c r="O286" i="5"/>
  <c r="O288" i="5"/>
  <c r="O289" i="5"/>
  <c r="O290" i="5"/>
  <c r="O291" i="5"/>
  <c r="O292" i="5"/>
  <c r="O293" i="5"/>
  <c r="O294" i="5"/>
  <c r="O296" i="5"/>
  <c r="O297" i="5"/>
  <c r="O298" i="5"/>
  <c r="O299" i="5"/>
  <c r="O300" i="5"/>
  <c r="O301" i="5"/>
  <c r="O302" i="5"/>
  <c r="O303" i="5"/>
  <c r="O305" i="5"/>
  <c r="O306" i="5"/>
  <c r="O307" i="5"/>
  <c r="O308" i="5"/>
  <c r="O309" i="5"/>
  <c r="O310" i="5"/>
  <c r="O311" i="5"/>
  <c r="O312" i="5"/>
  <c r="O313" i="5"/>
  <c r="O314" i="5"/>
  <c r="O316" i="5"/>
  <c r="O318" i="5"/>
  <c r="O319" i="5"/>
  <c r="O320" i="5"/>
  <c r="O321" i="5"/>
  <c r="O322" i="5"/>
  <c r="O323" i="5"/>
  <c r="O324" i="5"/>
  <c r="O326" i="5"/>
  <c r="O327" i="5"/>
  <c r="O328" i="5"/>
  <c r="O329" i="5"/>
  <c r="O330" i="5"/>
  <c r="O332" i="5"/>
  <c r="O334" i="5"/>
  <c r="O335" i="5"/>
  <c r="O337" i="5"/>
  <c r="O338" i="5"/>
  <c r="O339" i="5"/>
  <c r="O340" i="5"/>
  <c r="O342" i="5"/>
  <c r="O344" i="5"/>
  <c r="O346" i="5"/>
  <c r="O348" i="5"/>
  <c r="O349" i="5"/>
  <c r="O350" i="5"/>
  <c r="O352" i="5"/>
  <c r="O353" i="5"/>
  <c r="O355" i="5"/>
  <c r="O357" i="5"/>
  <c r="O358" i="5"/>
  <c r="O359" i="5"/>
  <c r="O360" i="5"/>
  <c r="O361" i="5"/>
  <c r="O279" i="5"/>
  <c r="O274" i="5"/>
  <c r="O275" i="5"/>
  <c r="O276" i="5"/>
  <c r="O273" i="5"/>
  <c r="O211" i="5"/>
  <c r="O212" i="5"/>
  <c r="O213" i="5"/>
  <c r="O214" i="5"/>
  <c r="O215" i="5"/>
  <c r="O216" i="5"/>
  <c r="O217" i="5"/>
  <c r="O218" i="5"/>
  <c r="O219" i="5"/>
  <c r="O199" i="5"/>
  <c r="O200" i="5"/>
  <c r="O201" i="5"/>
  <c r="O202" i="5"/>
  <c r="O203" i="5"/>
  <c r="O204" i="5"/>
  <c r="O205" i="5"/>
  <c r="O206" i="5"/>
  <c r="O207" i="5"/>
  <c r="O208" i="5"/>
  <c r="O209" i="5"/>
  <c r="O210" i="5"/>
  <c r="O198" i="5"/>
  <c r="D335" i="6"/>
  <c r="C335" i="6" s="1"/>
  <c r="D334" i="6"/>
  <c r="C334" i="6" s="1"/>
  <c r="D140" i="6"/>
  <c r="C140" i="6" s="1"/>
  <c r="D139" i="6"/>
  <c r="C139" i="6" s="1"/>
  <c r="D138" i="6"/>
  <c r="C138" i="6" s="1"/>
  <c r="D137" i="6"/>
  <c r="C137" i="6" s="1"/>
  <c r="D136" i="6"/>
  <c r="C136" i="6" s="1"/>
  <c r="D135" i="6"/>
  <c r="C135" i="6" s="1"/>
  <c r="D134" i="6"/>
  <c r="C134" i="6" s="1"/>
  <c r="D133" i="6"/>
  <c r="C133" i="6" s="1"/>
  <c r="D132" i="6"/>
  <c r="C132" i="6" s="1"/>
  <c r="D131" i="6"/>
  <c r="C131" i="6" s="1"/>
  <c r="D130" i="6"/>
  <c r="C130" i="6" s="1"/>
  <c r="D129" i="6"/>
  <c r="C129" i="6" s="1"/>
  <c r="D128" i="6"/>
  <c r="C128" i="6" s="1"/>
  <c r="D127" i="6"/>
  <c r="C127" i="6" s="1"/>
  <c r="D126" i="6"/>
  <c r="C126" i="6" s="1"/>
  <c r="D125" i="6"/>
  <c r="C125" i="6" s="1"/>
  <c r="D124" i="6"/>
  <c r="C124" i="6" s="1"/>
  <c r="D123" i="6"/>
  <c r="C123" i="6" s="1"/>
  <c r="D122" i="6"/>
  <c r="C122" i="6" s="1"/>
  <c r="D121" i="6"/>
  <c r="C121" i="6" s="1"/>
  <c r="D120" i="6"/>
  <c r="C120" i="6" s="1"/>
  <c r="I366" i="5"/>
  <c r="J366" i="5"/>
  <c r="K366" i="5"/>
  <c r="M366" i="5"/>
  <c r="H366" i="5"/>
  <c r="Q380" i="5"/>
  <c r="Q379" i="5" s="1"/>
  <c r="Q366" i="5" s="1"/>
  <c r="P380" i="5"/>
  <c r="P379" i="5" s="1"/>
  <c r="P366" i="5" s="1"/>
  <c r="L380" i="5"/>
  <c r="L379" i="5"/>
  <c r="L366" i="5" s="1"/>
  <c r="O171" i="5"/>
  <c r="I171" i="5"/>
  <c r="J171" i="5"/>
  <c r="K171" i="5"/>
  <c r="M171" i="5"/>
  <c r="N171" i="5"/>
  <c r="P171" i="5"/>
  <c r="Q171" i="5"/>
  <c r="H171" i="5"/>
  <c r="H170" i="5" s="1"/>
  <c r="L192" i="5"/>
  <c r="L191" i="5"/>
  <c r="L190" i="5"/>
  <c r="L189" i="5"/>
  <c r="L188" i="5"/>
  <c r="L187" i="5"/>
  <c r="L186" i="5"/>
  <c r="L185" i="5"/>
  <c r="L184" i="5"/>
  <c r="L183" i="5"/>
  <c r="L182" i="5"/>
  <c r="L181" i="5"/>
  <c r="L180" i="5"/>
  <c r="L179" i="5"/>
  <c r="L178" i="5"/>
  <c r="L177" i="5"/>
  <c r="L176" i="5"/>
  <c r="L175" i="5"/>
  <c r="L174" i="5"/>
  <c r="L173" i="5"/>
  <c r="L172" i="5"/>
  <c r="D298" i="6"/>
  <c r="C298" i="6" s="1"/>
  <c r="N151" i="6"/>
  <c r="D162" i="6"/>
  <c r="C162" i="6" s="1"/>
  <c r="D68" i="6"/>
  <c r="C68" i="6" s="1"/>
  <c r="D66" i="6"/>
  <c r="C66" i="6" s="1"/>
  <c r="D958" i="6"/>
  <c r="C958" i="6" s="1"/>
  <c r="P983" i="5"/>
  <c r="O983" i="5"/>
  <c r="D898" i="6"/>
  <c r="C898" i="6" s="1"/>
  <c r="D676" i="6"/>
  <c r="C676" i="6" s="1"/>
  <c r="L171" i="5" l="1"/>
  <c r="D266" i="6" l="1"/>
  <c r="C266" i="6" s="1"/>
  <c r="H272" i="5"/>
  <c r="E302" i="6"/>
  <c r="F302" i="6"/>
  <c r="G302" i="6"/>
  <c r="H302" i="6"/>
  <c r="I302" i="6"/>
  <c r="J302" i="6"/>
  <c r="K302" i="6"/>
  <c r="L302" i="6"/>
  <c r="M302" i="6"/>
  <c r="N302" i="6"/>
  <c r="O302" i="6"/>
  <c r="P302" i="6"/>
  <c r="Q302" i="6"/>
  <c r="R302" i="6"/>
  <c r="S302" i="6"/>
  <c r="T302" i="6"/>
  <c r="U302" i="6"/>
  <c r="V302" i="6"/>
  <c r="W302" i="6"/>
  <c r="X302" i="6"/>
  <c r="Y302" i="6"/>
  <c r="Z302" i="6"/>
  <c r="AA302" i="6"/>
  <c r="D303" i="6"/>
  <c r="C303" i="6" s="1"/>
  <c r="C302" i="6" s="1"/>
  <c r="I315" i="5"/>
  <c r="J315" i="5"/>
  <c r="K315" i="5"/>
  <c r="D62" i="7" s="1"/>
  <c r="L315" i="5"/>
  <c r="M315" i="5"/>
  <c r="N315" i="5"/>
  <c r="P315" i="5"/>
  <c r="Q315" i="5"/>
  <c r="H315" i="5"/>
  <c r="C62" i="7" s="1"/>
  <c r="E464" i="6"/>
  <c r="F464" i="6"/>
  <c r="G464" i="6"/>
  <c r="H464" i="6"/>
  <c r="I464" i="6"/>
  <c r="J464" i="6"/>
  <c r="K464" i="6"/>
  <c r="L464" i="6"/>
  <c r="M464" i="6"/>
  <c r="N464" i="6"/>
  <c r="O464" i="6"/>
  <c r="P464" i="6"/>
  <c r="Q464" i="6"/>
  <c r="R464" i="6"/>
  <c r="S464" i="6"/>
  <c r="T464" i="6"/>
  <c r="U464" i="6"/>
  <c r="V464" i="6"/>
  <c r="W464" i="6"/>
  <c r="X464" i="6"/>
  <c r="Y464" i="6"/>
  <c r="Z464" i="6"/>
  <c r="AA464" i="6"/>
  <c r="D466" i="6"/>
  <c r="C466" i="6" s="1"/>
  <c r="I483" i="5"/>
  <c r="J483" i="5"/>
  <c r="K483" i="5"/>
  <c r="L483" i="5"/>
  <c r="M483" i="5"/>
  <c r="N483" i="5"/>
  <c r="O483" i="5"/>
  <c r="P483" i="5"/>
  <c r="Q483" i="5"/>
  <c r="H483" i="5"/>
  <c r="V653" i="6"/>
  <c r="P653" i="6"/>
  <c r="Z612" i="6"/>
  <c r="F62" i="7" l="1"/>
  <c r="O315" i="5"/>
  <c r="D302" i="6"/>
  <c r="P725" i="6"/>
  <c r="O526" i="5" l="1"/>
  <c r="O527" i="5"/>
  <c r="O528" i="5"/>
  <c r="O529" i="5"/>
  <c r="O530" i="5"/>
  <c r="O531" i="5"/>
  <c r="O532" i="5"/>
  <c r="O533" i="5"/>
  <c r="O534" i="5"/>
  <c r="O535" i="5"/>
  <c r="O536" i="5"/>
  <c r="O537" i="5"/>
  <c r="O538" i="5"/>
  <c r="O539" i="5"/>
  <c r="O540" i="5"/>
  <c r="O541" i="5"/>
  <c r="O542" i="5"/>
  <c r="O543" i="5"/>
  <c r="O544" i="5"/>
  <c r="O545" i="5"/>
  <c r="O546" i="5"/>
  <c r="O547" i="5"/>
  <c r="O548" i="5"/>
  <c r="O549" i="5"/>
  <c r="O550" i="5"/>
  <c r="O551" i="5"/>
  <c r="O552" i="5"/>
  <c r="O553" i="5"/>
  <c r="O554" i="5"/>
  <c r="O555" i="5"/>
  <c r="O556" i="5"/>
  <c r="O557" i="5"/>
  <c r="O558" i="5"/>
  <c r="O559" i="5"/>
  <c r="O560" i="5"/>
  <c r="O561" i="5"/>
  <c r="O562" i="5"/>
  <c r="O563" i="5"/>
  <c r="O564" i="5"/>
  <c r="O565" i="5"/>
  <c r="O566" i="5"/>
  <c r="O567" i="5"/>
  <c r="O568" i="5"/>
  <c r="O569" i="5"/>
  <c r="O570" i="5"/>
  <c r="O571" i="5"/>
  <c r="O572" i="5"/>
  <c r="O573" i="5"/>
  <c r="O574" i="5"/>
  <c r="O575" i="5"/>
  <c r="O576" i="5"/>
  <c r="O577" i="5"/>
  <c r="O578" i="5"/>
  <c r="O579" i="5"/>
  <c r="O580" i="5"/>
  <c r="O581" i="5"/>
  <c r="O582" i="5"/>
  <c r="O583" i="5"/>
  <c r="O584" i="5"/>
  <c r="O585" i="5"/>
  <c r="O586" i="5"/>
  <c r="O587" i="5"/>
  <c r="O588" i="5"/>
  <c r="O589" i="5"/>
  <c r="O590" i="5"/>
  <c r="O591" i="5"/>
  <c r="O592" i="5"/>
  <c r="O593" i="5"/>
  <c r="O594" i="5"/>
  <c r="O595" i="5"/>
  <c r="O596" i="5"/>
  <c r="O597" i="5"/>
  <c r="O598" i="5"/>
  <c r="O599" i="5"/>
  <c r="O600" i="5"/>
  <c r="O601" i="5"/>
  <c r="O602" i="5"/>
  <c r="O603" i="5"/>
  <c r="O604" i="5"/>
  <c r="O605" i="5"/>
  <c r="O606" i="5"/>
  <c r="O607" i="5"/>
  <c r="O608" i="5"/>
  <c r="O609" i="5"/>
  <c r="O610" i="5"/>
  <c r="O611" i="5"/>
  <c r="O612" i="5"/>
  <c r="O613" i="5"/>
  <c r="O614" i="5"/>
  <c r="O615" i="5"/>
  <c r="O616" i="5"/>
  <c r="O617" i="5"/>
  <c r="O618" i="5"/>
  <c r="O619" i="5"/>
  <c r="O620" i="5"/>
  <c r="O621" i="5"/>
  <c r="O622" i="5"/>
  <c r="O623" i="5"/>
  <c r="O624" i="5"/>
  <c r="O625" i="5"/>
  <c r="O626" i="5"/>
  <c r="O627" i="5"/>
  <c r="O628" i="5"/>
  <c r="O629" i="5"/>
  <c r="O630" i="5"/>
  <c r="O631" i="5"/>
  <c r="O632" i="5"/>
  <c r="O633" i="5"/>
  <c r="O634" i="5"/>
  <c r="O635" i="5"/>
  <c r="O636" i="5"/>
  <c r="O637" i="5"/>
  <c r="O638" i="5"/>
  <c r="O639" i="5"/>
  <c r="O640" i="5"/>
  <c r="O641" i="5"/>
  <c r="O642" i="5"/>
  <c r="O643" i="5"/>
  <c r="O644" i="5"/>
  <c r="O645" i="5"/>
  <c r="O646" i="5"/>
  <c r="O647" i="5"/>
  <c r="O648" i="5"/>
  <c r="O649" i="5"/>
  <c r="O650" i="5"/>
  <c r="O651" i="5"/>
  <c r="O652" i="5"/>
  <c r="O653" i="5"/>
  <c r="O654" i="5"/>
  <c r="O655" i="5"/>
  <c r="O656" i="5"/>
  <c r="O657" i="5"/>
  <c r="O658" i="5"/>
  <c r="O659" i="5"/>
  <c r="O660" i="5"/>
  <c r="O661" i="5"/>
  <c r="O662" i="5"/>
  <c r="O663" i="5"/>
  <c r="O664" i="5"/>
  <c r="O665" i="5"/>
  <c r="O666" i="5"/>
  <c r="O667" i="5"/>
  <c r="O668" i="5"/>
  <c r="O669" i="5"/>
  <c r="O670" i="5"/>
  <c r="O671" i="5"/>
  <c r="O672" i="5"/>
  <c r="O673" i="5"/>
  <c r="O674" i="5"/>
  <c r="O675" i="5"/>
  <c r="O676" i="5"/>
  <c r="O677" i="5"/>
  <c r="O678" i="5"/>
  <c r="O679" i="5"/>
  <c r="O680" i="5"/>
  <c r="O681" i="5"/>
  <c r="O682" i="5"/>
  <c r="O683" i="5"/>
  <c r="O684" i="5"/>
  <c r="E349" i="6"/>
  <c r="F349" i="6"/>
  <c r="G349" i="6"/>
  <c r="H349" i="6"/>
  <c r="I349" i="6"/>
  <c r="J349" i="6"/>
  <c r="K349" i="6"/>
  <c r="L349" i="6"/>
  <c r="M349" i="6"/>
  <c r="N349" i="6"/>
  <c r="O349" i="6"/>
  <c r="P349" i="6"/>
  <c r="Q349" i="6"/>
  <c r="R349" i="6"/>
  <c r="S349" i="6"/>
  <c r="T349" i="6"/>
  <c r="U349" i="6"/>
  <c r="V349" i="6"/>
  <c r="W349" i="6"/>
  <c r="X349" i="6"/>
  <c r="Y349" i="6"/>
  <c r="Z349" i="6"/>
  <c r="AA349" i="6"/>
  <c r="E312" i="6"/>
  <c r="F312" i="6"/>
  <c r="G312" i="6"/>
  <c r="H312" i="6"/>
  <c r="I312" i="6"/>
  <c r="J312" i="6"/>
  <c r="K312" i="6"/>
  <c r="L312" i="6"/>
  <c r="M312" i="6"/>
  <c r="N312" i="6"/>
  <c r="O312" i="6"/>
  <c r="P312" i="6"/>
  <c r="Q312" i="6"/>
  <c r="R312" i="6"/>
  <c r="S312" i="6"/>
  <c r="T312" i="6"/>
  <c r="U312" i="6"/>
  <c r="V312" i="6"/>
  <c r="W312" i="6"/>
  <c r="X312" i="6"/>
  <c r="Y312" i="6"/>
  <c r="Z312" i="6"/>
  <c r="AA312" i="6"/>
  <c r="L197" i="5"/>
  <c r="E184" i="6"/>
  <c r="G184" i="6"/>
  <c r="H184" i="6"/>
  <c r="I184" i="6"/>
  <c r="J184" i="6"/>
  <c r="K184" i="6"/>
  <c r="M184" i="6"/>
  <c r="N184" i="6"/>
  <c r="O184" i="6"/>
  <c r="P184" i="6"/>
  <c r="S184" i="6"/>
  <c r="T184" i="6"/>
  <c r="U184" i="6"/>
  <c r="V184" i="6"/>
  <c r="Z184" i="6"/>
  <c r="H356" i="5"/>
  <c r="H351" i="5"/>
  <c r="H347" i="5"/>
  <c r="H336" i="5"/>
  <c r="H333" i="5"/>
  <c r="H331" i="5"/>
  <c r="H325" i="5"/>
  <c r="H317" i="5"/>
  <c r="H304" i="5"/>
  <c r="H295" i="5"/>
  <c r="H287" i="5"/>
  <c r="H282" i="5"/>
  <c r="H270" i="5"/>
  <c r="H268" i="5"/>
  <c r="H265" i="5"/>
  <c r="I254" i="5"/>
  <c r="J254" i="5"/>
  <c r="K254" i="5"/>
  <c r="L254" i="5"/>
  <c r="M254" i="5"/>
  <c r="N254" i="5"/>
  <c r="O254" i="5"/>
  <c r="P254" i="5"/>
  <c r="Q254" i="5"/>
  <c r="H251" i="5"/>
  <c r="H248" i="5"/>
  <c r="H241" i="5"/>
  <c r="I232" i="5"/>
  <c r="J232" i="5"/>
  <c r="K232" i="5"/>
  <c r="L232" i="5"/>
  <c r="M232" i="5"/>
  <c r="N232" i="5"/>
  <c r="O232" i="5"/>
  <c r="P232" i="5"/>
  <c r="Q232" i="5"/>
  <c r="I220" i="5"/>
  <c r="J220" i="5"/>
  <c r="K220" i="5"/>
  <c r="L220" i="5"/>
  <c r="M220" i="5"/>
  <c r="N220" i="5"/>
  <c r="O220" i="5"/>
  <c r="P220" i="5"/>
  <c r="Q220" i="5"/>
  <c r="I197" i="5"/>
  <c r="K197" i="5"/>
  <c r="M197" i="5"/>
  <c r="N197" i="5"/>
  <c r="O197" i="5"/>
  <c r="P197" i="5"/>
  <c r="Q197" i="5"/>
  <c r="D11" i="6"/>
  <c r="C11" i="6" s="1"/>
  <c r="D102" i="6"/>
  <c r="C102" i="6" s="1"/>
  <c r="D97" i="6"/>
  <c r="C97" i="6" s="1"/>
  <c r="D98" i="6"/>
  <c r="C98" i="6" s="1"/>
  <c r="D99" i="6"/>
  <c r="C99" i="6" s="1"/>
  <c r="D100" i="6"/>
  <c r="C100" i="6" s="1"/>
  <c r="D101" i="6"/>
  <c r="C101" i="6" s="1"/>
  <c r="D12" i="6"/>
  <c r="D13" i="6"/>
  <c r="D14" i="6"/>
  <c r="D15" i="6"/>
  <c r="C15" i="6" s="1"/>
  <c r="D16" i="6"/>
  <c r="D17" i="6"/>
  <c r="C17" i="6" s="1"/>
  <c r="D18" i="6"/>
  <c r="C18" i="6" s="1"/>
  <c r="D19" i="6"/>
  <c r="C19" i="6" s="1"/>
  <c r="D20" i="6"/>
  <c r="D22" i="6"/>
  <c r="C22" i="6" s="1"/>
  <c r="D23" i="6"/>
  <c r="C23" i="6" s="1"/>
  <c r="D24" i="6"/>
  <c r="C24" i="6" s="1"/>
  <c r="D25" i="6"/>
  <c r="C25" i="6" s="1"/>
  <c r="D26" i="6"/>
  <c r="D27" i="6"/>
  <c r="C27" i="6" s="1"/>
  <c r="D28" i="6"/>
  <c r="C28" i="6" s="1"/>
  <c r="D29" i="6"/>
  <c r="C29" i="6" s="1"/>
  <c r="D30" i="6"/>
  <c r="C30" i="6" s="1"/>
  <c r="D32" i="6"/>
  <c r="C32" i="6" s="1"/>
  <c r="D34" i="6"/>
  <c r="C34" i="6" s="1"/>
  <c r="D35" i="6"/>
  <c r="C35" i="6" s="1"/>
  <c r="D36" i="6"/>
  <c r="C36" i="6" s="1"/>
  <c r="D38" i="6"/>
  <c r="C38" i="6" s="1"/>
  <c r="D40" i="6"/>
  <c r="C40" i="6" s="1"/>
  <c r="D42" i="6"/>
  <c r="C42" i="6" s="1"/>
  <c r="D43" i="6"/>
  <c r="C43" i="6" s="1"/>
  <c r="D44" i="6"/>
  <c r="C44" i="6" s="1"/>
  <c r="D45" i="6"/>
  <c r="C45" i="6" s="1"/>
  <c r="D47" i="6"/>
  <c r="C47" i="6" s="1"/>
  <c r="D48" i="6"/>
  <c r="C48" i="6" s="1"/>
  <c r="D50" i="6"/>
  <c r="C50" i="6" s="1"/>
  <c r="D51" i="6"/>
  <c r="C51" i="6" s="1"/>
  <c r="D52" i="6"/>
  <c r="C52" i="6" s="1"/>
  <c r="D53" i="6"/>
  <c r="C53" i="6" s="1"/>
  <c r="D55" i="6"/>
  <c r="C55" i="6" s="1"/>
  <c r="D56" i="6"/>
  <c r="C56" i="6" s="1"/>
  <c r="D57" i="6"/>
  <c r="C57" i="6" s="1"/>
  <c r="D59" i="6"/>
  <c r="C59" i="6" s="1"/>
  <c r="D61" i="6"/>
  <c r="C61" i="6" s="1"/>
  <c r="D63" i="6"/>
  <c r="C63" i="6" s="1"/>
  <c r="D64" i="6"/>
  <c r="C64" i="6" s="1"/>
  <c r="D65" i="6"/>
  <c r="C65" i="6" s="1"/>
  <c r="D67" i="6"/>
  <c r="C67" i="6" s="1"/>
  <c r="D69" i="6"/>
  <c r="C69" i="6" s="1"/>
  <c r="D70" i="6"/>
  <c r="C70" i="6" s="1"/>
  <c r="D71" i="6"/>
  <c r="C71" i="6" s="1"/>
  <c r="D80" i="6"/>
  <c r="C80" i="6" s="1"/>
  <c r="D81" i="6"/>
  <c r="C81" i="6" s="1"/>
  <c r="D82" i="6"/>
  <c r="C82" i="6" s="1"/>
  <c r="D83" i="6"/>
  <c r="C83" i="6" s="1"/>
  <c r="D84" i="6"/>
  <c r="C84" i="6" s="1"/>
  <c r="D85" i="6"/>
  <c r="C85" i="6" s="1"/>
  <c r="D86" i="6"/>
  <c r="C86" i="6" s="1"/>
  <c r="D88" i="6"/>
  <c r="C88" i="6" s="1"/>
  <c r="D90" i="6"/>
  <c r="C90" i="6" s="1"/>
  <c r="D91" i="6"/>
  <c r="C91" i="6" s="1"/>
  <c r="D92" i="6"/>
  <c r="C92" i="6" s="1"/>
  <c r="D93" i="6"/>
  <c r="C93" i="6" s="1"/>
  <c r="D94" i="6"/>
  <c r="C94" i="6" s="1"/>
  <c r="D95" i="6"/>
  <c r="C95" i="6" s="1"/>
  <c r="D104" i="6"/>
  <c r="C104" i="6" s="1"/>
  <c r="D105" i="6"/>
  <c r="C105" i="6" s="1"/>
  <c r="D106" i="6"/>
  <c r="C106" i="6" s="1"/>
  <c r="D107" i="6"/>
  <c r="C107" i="6" s="1"/>
  <c r="D109" i="6"/>
  <c r="C109" i="6" s="1"/>
  <c r="D111" i="6"/>
  <c r="C111" i="6" s="1"/>
  <c r="D113" i="6"/>
  <c r="C113" i="6" s="1"/>
  <c r="D114" i="6"/>
  <c r="C114" i="6" s="1"/>
  <c r="D115" i="6"/>
  <c r="C115" i="6" s="1"/>
  <c r="D317" i="6"/>
  <c r="C317" i="6" s="1"/>
  <c r="D142" i="6"/>
  <c r="C142" i="6" s="1"/>
  <c r="D143" i="6"/>
  <c r="C143" i="6" s="1"/>
  <c r="D144" i="6"/>
  <c r="C144" i="6" s="1"/>
  <c r="D145" i="6"/>
  <c r="C145" i="6" s="1"/>
  <c r="D146" i="6"/>
  <c r="C146" i="6" s="1"/>
  <c r="D147" i="6"/>
  <c r="C147" i="6" s="1"/>
  <c r="D148" i="6"/>
  <c r="C148" i="6" s="1"/>
  <c r="D149" i="6"/>
  <c r="C149" i="6" s="1"/>
  <c r="D150" i="6"/>
  <c r="C150" i="6" s="1"/>
  <c r="D152" i="6"/>
  <c r="C152" i="6" s="1"/>
  <c r="D153" i="6"/>
  <c r="C153" i="6" s="1"/>
  <c r="D154" i="6"/>
  <c r="C154" i="6" s="1"/>
  <c r="D155" i="6"/>
  <c r="C155" i="6" s="1"/>
  <c r="D156" i="6"/>
  <c r="C156" i="6" s="1"/>
  <c r="D157" i="6"/>
  <c r="C157" i="6" s="1"/>
  <c r="D158" i="6"/>
  <c r="C158" i="6" s="1"/>
  <c r="D159" i="6"/>
  <c r="C159" i="6" s="1"/>
  <c r="D160" i="6"/>
  <c r="C160" i="6" s="1"/>
  <c r="D161" i="6"/>
  <c r="C161" i="6" s="1"/>
  <c r="D163" i="6"/>
  <c r="C163" i="6" s="1"/>
  <c r="D165" i="6"/>
  <c r="C165" i="6" s="1"/>
  <c r="D167" i="6"/>
  <c r="C167" i="6" s="1"/>
  <c r="D168" i="6"/>
  <c r="C168" i="6" s="1"/>
  <c r="D170" i="6"/>
  <c r="C170" i="6" s="1"/>
  <c r="D171" i="6"/>
  <c r="C171" i="6" s="1"/>
  <c r="D173" i="6"/>
  <c r="C173" i="6" s="1"/>
  <c r="D175" i="6"/>
  <c r="C175" i="6" s="1"/>
  <c r="D177" i="6"/>
  <c r="C177" i="6" s="1"/>
  <c r="D179" i="6"/>
  <c r="C179" i="6" s="1"/>
  <c r="D180" i="6"/>
  <c r="C180" i="6" s="1"/>
  <c r="D181" i="6"/>
  <c r="C181" i="6" s="1"/>
  <c r="C12" i="6"/>
  <c r="C13" i="6"/>
  <c r="C14" i="6"/>
  <c r="C16" i="6"/>
  <c r="C26" i="6"/>
  <c r="L103" i="5"/>
  <c r="E10" i="6"/>
  <c r="F10" i="6"/>
  <c r="G10" i="6"/>
  <c r="H10" i="6"/>
  <c r="I10" i="6"/>
  <c r="J10" i="6"/>
  <c r="K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O17" i="5"/>
  <c r="L17" i="5"/>
  <c r="F10" i="7" s="1"/>
  <c r="I1043" i="5"/>
  <c r="J1043" i="5"/>
  <c r="K1043" i="5"/>
  <c r="L1043" i="5"/>
  <c r="M1043" i="5"/>
  <c r="N1043" i="5"/>
  <c r="Q1043" i="5"/>
  <c r="I1035" i="5"/>
  <c r="J1035" i="5"/>
  <c r="K1035" i="5"/>
  <c r="L1035" i="5"/>
  <c r="M1035" i="5"/>
  <c r="N1035" i="5"/>
  <c r="O1035" i="5"/>
  <c r="P1035" i="5"/>
  <c r="Q1035" i="5"/>
  <c r="I1031" i="5"/>
  <c r="J1031" i="5"/>
  <c r="K1031" i="5"/>
  <c r="L1031" i="5"/>
  <c r="M1031" i="5"/>
  <c r="N1031" i="5"/>
  <c r="O1031" i="5"/>
  <c r="P1031" i="5"/>
  <c r="Q1031" i="5"/>
  <c r="H1031" i="5"/>
  <c r="I1017" i="5"/>
  <c r="J1017" i="5"/>
  <c r="K1017" i="5"/>
  <c r="L1017" i="5"/>
  <c r="M1017" i="5"/>
  <c r="N1017" i="5"/>
  <c r="Q1017" i="5"/>
  <c r="I1014" i="5"/>
  <c r="J1014" i="5"/>
  <c r="K1014" i="5"/>
  <c r="L1014" i="5"/>
  <c r="M1014" i="5"/>
  <c r="N1014" i="5"/>
  <c r="O1014" i="5"/>
  <c r="P1014" i="5"/>
  <c r="Q1014" i="5"/>
  <c r="H1014" i="5"/>
  <c r="I1011" i="5"/>
  <c r="J1011" i="5"/>
  <c r="K1011" i="5"/>
  <c r="L1011" i="5"/>
  <c r="M1011" i="5"/>
  <c r="N1011" i="5"/>
  <c r="O1011" i="5"/>
  <c r="Q1011" i="5"/>
  <c r="H1011" i="5"/>
  <c r="I1005" i="5"/>
  <c r="J1005" i="5"/>
  <c r="K1005" i="5"/>
  <c r="M1005" i="5"/>
  <c r="N1005" i="5"/>
  <c r="Q1005" i="5"/>
  <c r="I1002" i="5"/>
  <c r="J1002" i="5"/>
  <c r="K1002" i="5"/>
  <c r="L1002" i="5"/>
  <c r="M1002" i="5"/>
  <c r="N1002" i="5"/>
  <c r="O1002" i="5"/>
  <c r="P1002" i="5"/>
  <c r="Q1002" i="5"/>
  <c r="H1002" i="5"/>
  <c r="I998" i="5"/>
  <c r="J998" i="5"/>
  <c r="K998" i="5"/>
  <c r="L998" i="5"/>
  <c r="M998" i="5"/>
  <c r="N998" i="5"/>
  <c r="O998" i="5"/>
  <c r="P998" i="5"/>
  <c r="Q998" i="5"/>
  <c r="H998" i="5"/>
  <c r="I995" i="5"/>
  <c r="J995" i="5"/>
  <c r="K995" i="5"/>
  <c r="L995" i="5"/>
  <c r="M995" i="5"/>
  <c r="N995" i="5"/>
  <c r="O995" i="5"/>
  <c r="H995" i="5"/>
  <c r="I981" i="5"/>
  <c r="J981" i="5"/>
  <c r="K981" i="5"/>
  <c r="L981" i="5"/>
  <c r="M981" i="5"/>
  <c r="N981" i="5"/>
  <c r="Q981" i="5"/>
  <c r="H981" i="5"/>
  <c r="I972" i="5"/>
  <c r="J972" i="5"/>
  <c r="K972" i="5"/>
  <c r="L972" i="5"/>
  <c r="M972" i="5"/>
  <c r="N972" i="5"/>
  <c r="O972" i="5"/>
  <c r="P972" i="5"/>
  <c r="Q972" i="5"/>
  <c r="I945" i="5"/>
  <c r="J945" i="5"/>
  <c r="K945" i="5"/>
  <c r="L945" i="5"/>
  <c r="M945" i="5"/>
  <c r="N945" i="5"/>
  <c r="O945" i="5"/>
  <c r="Q945" i="5"/>
  <c r="I936" i="5"/>
  <c r="J936" i="5"/>
  <c r="K936" i="5"/>
  <c r="L936" i="5"/>
  <c r="M936" i="5"/>
  <c r="N936" i="5"/>
  <c r="Q936" i="5"/>
  <c r="I929" i="5"/>
  <c r="J929" i="5"/>
  <c r="K929" i="5"/>
  <c r="L929" i="5"/>
  <c r="M929" i="5"/>
  <c r="N929" i="5"/>
  <c r="O929" i="5"/>
  <c r="Q929" i="5"/>
  <c r="I897" i="5"/>
  <c r="J897" i="5"/>
  <c r="K897" i="5"/>
  <c r="L897" i="5"/>
  <c r="M897" i="5"/>
  <c r="N897" i="5"/>
  <c r="I890" i="5"/>
  <c r="J890" i="5"/>
  <c r="K890" i="5"/>
  <c r="L890" i="5"/>
  <c r="M890" i="5"/>
  <c r="N890" i="5"/>
  <c r="O890" i="5"/>
  <c r="P890" i="5"/>
  <c r="Q890" i="5"/>
  <c r="I862" i="5"/>
  <c r="J862" i="5"/>
  <c r="K862" i="5"/>
  <c r="L862" i="5"/>
  <c r="M862" i="5"/>
  <c r="N862" i="5"/>
  <c r="P862" i="5"/>
  <c r="Q862" i="5"/>
  <c r="I859" i="5"/>
  <c r="J859" i="5"/>
  <c r="K859" i="5"/>
  <c r="L859" i="5"/>
  <c r="M859" i="5"/>
  <c r="N859" i="5"/>
  <c r="O859" i="5"/>
  <c r="P859" i="5"/>
  <c r="Q859" i="5"/>
  <c r="H859" i="5"/>
  <c r="H848" i="5"/>
  <c r="I844" i="5"/>
  <c r="J844" i="5"/>
  <c r="K844" i="5"/>
  <c r="L844" i="5"/>
  <c r="M844" i="5"/>
  <c r="N844" i="5"/>
  <c r="O844" i="5"/>
  <c r="P844" i="5"/>
  <c r="Q844" i="5"/>
  <c r="H844" i="5"/>
  <c r="I837" i="5"/>
  <c r="J837" i="5"/>
  <c r="K837" i="5"/>
  <c r="L837" i="5"/>
  <c r="M837" i="5"/>
  <c r="N837" i="5"/>
  <c r="P837" i="5"/>
  <c r="Q837" i="5"/>
  <c r="I833" i="5"/>
  <c r="J833" i="5"/>
  <c r="K833" i="5"/>
  <c r="L833" i="5"/>
  <c r="M833" i="5"/>
  <c r="N833" i="5"/>
  <c r="O833" i="5"/>
  <c r="P833" i="5"/>
  <c r="Q833" i="5"/>
  <c r="H833" i="5"/>
  <c r="I829" i="5"/>
  <c r="J829" i="5"/>
  <c r="K829" i="5"/>
  <c r="L829" i="5"/>
  <c r="M829" i="5"/>
  <c r="N829" i="5"/>
  <c r="O829" i="5"/>
  <c r="P829" i="5"/>
  <c r="Q829" i="5"/>
  <c r="I806" i="5"/>
  <c r="J806" i="5"/>
  <c r="K806" i="5"/>
  <c r="L806" i="5"/>
  <c r="M806" i="5"/>
  <c r="N806" i="5"/>
  <c r="P806" i="5"/>
  <c r="Q806" i="5"/>
  <c r="I795" i="5"/>
  <c r="J795" i="5"/>
  <c r="K795" i="5"/>
  <c r="L795" i="5"/>
  <c r="M795" i="5"/>
  <c r="N795" i="5"/>
  <c r="O795" i="5"/>
  <c r="Q795" i="5"/>
  <c r="I783" i="5"/>
  <c r="J783" i="5"/>
  <c r="K783" i="5"/>
  <c r="L783" i="5"/>
  <c r="M783" i="5"/>
  <c r="N783" i="5"/>
  <c r="O783" i="5"/>
  <c r="P783" i="5"/>
  <c r="Q783" i="5"/>
  <c r="I774" i="5"/>
  <c r="J774" i="5"/>
  <c r="K774" i="5"/>
  <c r="L774" i="5"/>
  <c r="M774" i="5"/>
  <c r="N774" i="5"/>
  <c r="Q774" i="5"/>
  <c r="I757" i="5"/>
  <c r="J757" i="5"/>
  <c r="K757" i="5"/>
  <c r="L757" i="5"/>
  <c r="M757" i="5"/>
  <c r="N757" i="5"/>
  <c r="P757" i="5"/>
  <c r="Q757" i="5"/>
  <c r="I746" i="5"/>
  <c r="J746" i="5"/>
  <c r="K746" i="5"/>
  <c r="L746" i="5"/>
  <c r="M746" i="5"/>
  <c r="N746" i="5"/>
  <c r="Q746" i="5"/>
  <c r="I728" i="5"/>
  <c r="J728" i="5"/>
  <c r="K728" i="5"/>
  <c r="L728" i="5"/>
  <c r="M728" i="5"/>
  <c r="N728" i="5"/>
  <c r="P728" i="5"/>
  <c r="Q728" i="5"/>
  <c r="Q686" i="5"/>
  <c r="I686" i="5"/>
  <c r="J686" i="5"/>
  <c r="K686" i="5"/>
  <c r="L686" i="5"/>
  <c r="M686" i="5"/>
  <c r="N686" i="5"/>
  <c r="P686" i="5"/>
  <c r="H686" i="5"/>
  <c r="K524" i="5"/>
  <c r="L524" i="5"/>
  <c r="M524" i="5"/>
  <c r="N524" i="5"/>
  <c r="Q524" i="5"/>
  <c r="I511" i="5"/>
  <c r="J511" i="5"/>
  <c r="K511" i="5"/>
  <c r="L511" i="5"/>
  <c r="M511" i="5"/>
  <c r="N511" i="5"/>
  <c r="O511" i="5"/>
  <c r="P511" i="5"/>
  <c r="Q511" i="5"/>
  <c r="H511" i="5"/>
  <c r="I505" i="5"/>
  <c r="J505" i="5"/>
  <c r="K505" i="5"/>
  <c r="L505" i="5"/>
  <c r="M505" i="5"/>
  <c r="N505" i="5"/>
  <c r="P505" i="5"/>
  <c r="Q505" i="5"/>
  <c r="H505" i="5"/>
  <c r="I489" i="5"/>
  <c r="J489" i="5"/>
  <c r="K489" i="5"/>
  <c r="L489" i="5"/>
  <c r="M489" i="5"/>
  <c r="N489" i="5"/>
  <c r="P489" i="5"/>
  <c r="Q489" i="5"/>
  <c r="I486" i="5"/>
  <c r="J486" i="5"/>
  <c r="K486" i="5"/>
  <c r="L486" i="5"/>
  <c r="M486" i="5"/>
  <c r="N486" i="5"/>
  <c r="O486" i="5"/>
  <c r="P486" i="5"/>
  <c r="Q486" i="5"/>
  <c r="H486" i="5"/>
  <c r="I479" i="5"/>
  <c r="J479" i="5"/>
  <c r="K479" i="5"/>
  <c r="L479" i="5"/>
  <c r="M479" i="5"/>
  <c r="N479" i="5"/>
  <c r="P479" i="5"/>
  <c r="Q479" i="5"/>
  <c r="H479" i="5"/>
  <c r="I464" i="5"/>
  <c r="K464" i="5"/>
  <c r="L464" i="5"/>
  <c r="M464" i="5"/>
  <c r="N464" i="5"/>
  <c r="P464" i="5"/>
  <c r="Q464" i="5"/>
  <c r="I459" i="5"/>
  <c r="J459" i="5"/>
  <c r="K459" i="5"/>
  <c r="L459" i="5"/>
  <c r="M459" i="5"/>
  <c r="N459" i="5"/>
  <c r="O459" i="5"/>
  <c r="P459" i="5"/>
  <c r="Q459" i="5"/>
  <c r="H459" i="5"/>
  <c r="I454" i="5"/>
  <c r="J454" i="5"/>
  <c r="K454" i="5"/>
  <c r="L454" i="5"/>
  <c r="M454" i="5"/>
  <c r="N454" i="5"/>
  <c r="O454" i="5"/>
  <c r="P454" i="5"/>
  <c r="Q454" i="5"/>
  <c r="H454" i="5"/>
  <c r="I451" i="5"/>
  <c r="J451" i="5"/>
  <c r="K451" i="5"/>
  <c r="L451" i="5"/>
  <c r="M451" i="5"/>
  <c r="N451" i="5"/>
  <c r="O451" i="5"/>
  <c r="P451" i="5"/>
  <c r="Q451" i="5"/>
  <c r="H451" i="5"/>
  <c r="I443" i="5"/>
  <c r="J443" i="5"/>
  <c r="K443" i="5"/>
  <c r="L443" i="5"/>
  <c r="M443" i="5"/>
  <c r="N443" i="5"/>
  <c r="P443" i="5"/>
  <c r="Q443" i="5"/>
  <c r="I433" i="5"/>
  <c r="J433" i="5"/>
  <c r="K433" i="5"/>
  <c r="L433" i="5"/>
  <c r="M433" i="5"/>
  <c r="N433" i="5"/>
  <c r="P433" i="5"/>
  <c r="Q433" i="5"/>
  <c r="H433" i="5"/>
  <c r="I428" i="5"/>
  <c r="J428" i="5"/>
  <c r="K428" i="5"/>
  <c r="L428" i="5"/>
  <c r="M428" i="5"/>
  <c r="N428" i="5"/>
  <c r="O428" i="5"/>
  <c r="P428" i="5"/>
  <c r="Q428" i="5"/>
  <c r="H428" i="5"/>
  <c r="I425" i="5"/>
  <c r="J425" i="5"/>
  <c r="K425" i="5"/>
  <c r="L425" i="5"/>
  <c r="M425" i="5"/>
  <c r="N425" i="5"/>
  <c r="P425" i="5"/>
  <c r="Q425" i="5"/>
  <c r="H425" i="5"/>
  <c r="I421" i="5"/>
  <c r="J421" i="5"/>
  <c r="K421" i="5"/>
  <c r="L421" i="5"/>
  <c r="M421" i="5"/>
  <c r="N421" i="5"/>
  <c r="O421" i="5"/>
  <c r="P421" i="5"/>
  <c r="Q421" i="5"/>
  <c r="I416" i="5"/>
  <c r="J416" i="5"/>
  <c r="K416" i="5"/>
  <c r="L416" i="5"/>
  <c r="M416" i="5"/>
  <c r="N416" i="5"/>
  <c r="P416" i="5"/>
  <c r="Q416" i="5"/>
  <c r="I409" i="5"/>
  <c r="J409" i="5"/>
  <c r="K409" i="5"/>
  <c r="L409" i="5"/>
  <c r="M409" i="5"/>
  <c r="N409" i="5"/>
  <c r="O409" i="5"/>
  <c r="P409" i="5"/>
  <c r="Q409" i="5"/>
  <c r="I403" i="5"/>
  <c r="J403" i="5"/>
  <c r="K403" i="5"/>
  <c r="L403" i="5"/>
  <c r="M403" i="5"/>
  <c r="N403" i="5"/>
  <c r="O403" i="5"/>
  <c r="P403" i="5"/>
  <c r="Q403" i="5"/>
  <c r="H403" i="5"/>
  <c r="I385" i="5"/>
  <c r="J385" i="5"/>
  <c r="K385" i="5"/>
  <c r="L385" i="5"/>
  <c r="M385" i="5"/>
  <c r="N385" i="5"/>
  <c r="O385" i="5"/>
  <c r="P385" i="5"/>
  <c r="Q385" i="5"/>
  <c r="H385" i="5"/>
  <c r="I356" i="5"/>
  <c r="J356" i="5"/>
  <c r="K356" i="5"/>
  <c r="L356" i="5"/>
  <c r="O356" i="5" s="1"/>
  <c r="M356" i="5"/>
  <c r="N356" i="5"/>
  <c r="P356" i="5"/>
  <c r="Q356" i="5"/>
  <c r="I354" i="5"/>
  <c r="J354" i="5"/>
  <c r="K354" i="5"/>
  <c r="L354" i="5"/>
  <c r="O354" i="5" s="1"/>
  <c r="M354" i="5"/>
  <c r="N354" i="5"/>
  <c r="P354" i="5"/>
  <c r="Q354" i="5"/>
  <c r="H354" i="5"/>
  <c r="I351" i="5"/>
  <c r="J351" i="5"/>
  <c r="K351" i="5"/>
  <c r="L351" i="5"/>
  <c r="O351" i="5" s="1"/>
  <c r="M351" i="5"/>
  <c r="N351" i="5"/>
  <c r="P351" i="5"/>
  <c r="Q351" i="5"/>
  <c r="I347" i="5"/>
  <c r="J347" i="5"/>
  <c r="K347" i="5"/>
  <c r="L347" i="5"/>
  <c r="O347" i="5" s="1"/>
  <c r="M347" i="5"/>
  <c r="N347" i="5"/>
  <c r="P347" i="5"/>
  <c r="Q347" i="5"/>
  <c r="I336" i="5"/>
  <c r="J336" i="5"/>
  <c r="K336" i="5"/>
  <c r="L336" i="5"/>
  <c r="O336" i="5" s="1"/>
  <c r="M336" i="5"/>
  <c r="N336" i="5"/>
  <c r="P336" i="5"/>
  <c r="Q336" i="5"/>
  <c r="I333" i="5"/>
  <c r="J333" i="5"/>
  <c r="K333" i="5"/>
  <c r="L333" i="5"/>
  <c r="O333" i="5" s="1"/>
  <c r="M333" i="5"/>
  <c r="N333" i="5"/>
  <c r="P333" i="5"/>
  <c r="Q333" i="5"/>
  <c r="I325" i="5"/>
  <c r="J325" i="5"/>
  <c r="K325" i="5"/>
  <c r="L325" i="5"/>
  <c r="O325" i="5" s="1"/>
  <c r="M325" i="5"/>
  <c r="N325" i="5"/>
  <c r="P325" i="5"/>
  <c r="Q325" i="5"/>
  <c r="I317" i="5"/>
  <c r="J317" i="5"/>
  <c r="K317" i="5"/>
  <c r="L317" i="5"/>
  <c r="O317" i="5" s="1"/>
  <c r="M317" i="5"/>
  <c r="N317" i="5"/>
  <c r="P317" i="5"/>
  <c r="Q317" i="5"/>
  <c r="I304" i="5"/>
  <c r="J304" i="5"/>
  <c r="K304" i="5"/>
  <c r="L304" i="5"/>
  <c r="O304" i="5" s="1"/>
  <c r="M304" i="5"/>
  <c r="N304" i="5"/>
  <c r="P304" i="5"/>
  <c r="Q304" i="5"/>
  <c r="I295" i="5"/>
  <c r="J295" i="5"/>
  <c r="K295" i="5"/>
  <c r="L295" i="5"/>
  <c r="O295" i="5" s="1"/>
  <c r="M295" i="5"/>
  <c r="N295" i="5"/>
  <c r="P295" i="5"/>
  <c r="Q295" i="5"/>
  <c r="I287" i="5"/>
  <c r="J287" i="5"/>
  <c r="K287" i="5"/>
  <c r="L287" i="5"/>
  <c r="O287" i="5" s="1"/>
  <c r="M287" i="5"/>
  <c r="N287" i="5"/>
  <c r="P287" i="5"/>
  <c r="Q287" i="5"/>
  <c r="I282" i="5"/>
  <c r="J282" i="5"/>
  <c r="K282" i="5"/>
  <c r="L282" i="5"/>
  <c r="O282" i="5" s="1"/>
  <c r="M282" i="5"/>
  <c r="N282" i="5"/>
  <c r="P282" i="5"/>
  <c r="Q282" i="5"/>
  <c r="I272" i="5"/>
  <c r="J272" i="5"/>
  <c r="K272" i="5"/>
  <c r="L272" i="5"/>
  <c r="M272" i="5"/>
  <c r="N272" i="5"/>
  <c r="P272" i="5"/>
  <c r="Q272" i="5"/>
  <c r="I265" i="5"/>
  <c r="J265" i="5"/>
  <c r="K265" i="5"/>
  <c r="L265" i="5"/>
  <c r="M265" i="5"/>
  <c r="N265" i="5"/>
  <c r="P265" i="5"/>
  <c r="Q265" i="5"/>
  <c r="I260" i="5"/>
  <c r="J260" i="5"/>
  <c r="K260" i="5"/>
  <c r="L260" i="5"/>
  <c r="M260" i="5"/>
  <c r="N260" i="5"/>
  <c r="O260" i="5"/>
  <c r="P260" i="5"/>
  <c r="Q260" i="5"/>
  <c r="H260" i="5"/>
  <c r="H254" i="5"/>
  <c r="I251" i="5"/>
  <c r="J251" i="5"/>
  <c r="K251" i="5"/>
  <c r="L251" i="5"/>
  <c r="M251" i="5"/>
  <c r="N251" i="5"/>
  <c r="O251" i="5"/>
  <c r="P251" i="5"/>
  <c r="Q251" i="5"/>
  <c r="I248" i="5"/>
  <c r="J248" i="5"/>
  <c r="K248" i="5"/>
  <c r="L248" i="5"/>
  <c r="M248" i="5"/>
  <c r="N248" i="5"/>
  <c r="P248" i="5"/>
  <c r="Q248" i="5"/>
  <c r="I245" i="5"/>
  <c r="J245" i="5"/>
  <c r="K245" i="5"/>
  <c r="L245" i="5"/>
  <c r="M245" i="5"/>
  <c r="N245" i="5"/>
  <c r="P245" i="5"/>
  <c r="Q245" i="5"/>
  <c r="I241" i="5"/>
  <c r="J241" i="5"/>
  <c r="K241" i="5"/>
  <c r="L241" i="5"/>
  <c r="M241" i="5"/>
  <c r="N241" i="5"/>
  <c r="P241" i="5"/>
  <c r="Q241" i="5"/>
  <c r="I163" i="5"/>
  <c r="J163" i="5"/>
  <c r="K163" i="5"/>
  <c r="L163" i="5"/>
  <c r="M163" i="5"/>
  <c r="N163" i="5"/>
  <c r="P163" i="5"/>
  <c r="Q163" i="5"/>
  <c r="I158" i="5"/>
  <c r="J158" i="5"/>
  <c r="K158" i="5"/>
  <c r="L158" i="5"/>
  <c r="M158" i="5"/>
  <c r="N158" i="5"/>
  <c r="O158" i="5"/>
  <c r="P158" i="5"/>
  <c r="Q158" i="5"/>
  <c r="I151" i="5"/>
  <c r="J151" i="5"/>
  <c r="K151" i="5"/>
  <c r="L151" i="5"/>
  <c r="M151" i="5"/>
  <c r="N151" i="5"/>
  <c r="O151" i="5"/>
  <c r="P151" i="5"/>
  <c r="Q151" i="5"/>
  <c r="H151" i="5"/>
  <c r="I136" i="5"/>
  <c r="J136" i="5"/>
  <c r="K136" i="5"/>
  <c r="L136" i="5"/>
  <c r="M136" i="5"/>
  <c r="N136" i="5"/>
  <c r="O136" i="5"/>
  <c r="P136" i="5"/>
  <c r="Q136" i="5"/>
  <c r="I126" i="5"/>
  <c r="J126" i="5"/>
  <c r="K126" i="5"/>
  <c r="L126" i="5"/>
  <c r="M126" i="5"/>
  <c r="N126" i="5"/>
  <c r="O126" i="5"/>
  <c r="P126" i="5"/>
  <c r="Q126" i="5"/>
  <c r="I123" i="5"/>
  <c r="J123" i="5"/>
  <c r="K123" i="5"/>
  <c r="L123" i="5"/>
  <c r="M123" i="5"/>
  <c r="N123" i="5"/>
  <c r="P123" i="5"/>
  <c r="Q123" i="5"/>
  <c r="H123" i="5"/>
  <c r="P119" i="5"/>
  <c r="Q119" i="5"/>
  <c r="I119" i="5"/>
  <c r="J119" i="5"/>
  <c r="K119" i="5"/>
  <c r="L119" i="5"/>
  <c r="M119" i="5"/>
  <c r="N119" i="5"/>
  <c r="H119" i="5"/>
  <c r="K103" i="5"/>
  <c r="M103" i="5"/>
  <c r="N103" i="5"/>
  <c r="O103" i="5"/>
  <c r="H103" i="5"/>
  <c r="H96" i="5"/>
  <c r="I96" i="5"/>
  <c r="J96" i="5"/>
  <c r="K96" i="5"/>
  <c r="L96" i="5"/>
  <c r="M96" i="5"/>
  <c r="N96" i="5"/>
  <c r="O96" i="5"/>
  <c r="P96" i="5"/>
  <c r="Q96" i="5"/>
  <c r="H86" i="5"/>
  <c r="K86" i="5"/>
  <c r="I86" i="5"/>
  <c r="J86" i="5"/>
  <c r="L86" i="5"/>
  <c r="M86" i="5"/>
  <c r="N86" i="5"/>
  <c r="O86" i="5"/>
  <c r="P86" i="5"/>
  <c r="Q86" i="5"/>
  <c r="I79" i="5"/>
  <c r="J79" i="5"/>
  <c r="K79" i="5"/>
  <c r="L79" i="5"/>
  <c r="M79" i="5"/>
  <c r="N79" i="5"/>
  <c r="O79" i="5"/>
  <c r="I69" i="5"/>
  <c r="J69" i="5"/>
  <c r="K69" i="5"/>
  <c r="L69" i="5"/>
  <c r="M69" i="5"/>
  <c r="O69" i="5"/>
  <c r="P69" i="5"/>
  <c r="Q69" i="5"/>
  <c r="H69" i="5"/>
  <c r="I61" i="5"/>
  <c r="J61" i="5"/>
  <c r="K61" i="5"/>
  <c r="L61" i="5"/>
  <c r="M61" i="5"/>
  <c r="N61" i="5"/>
  <c r="O61" i="5"/>
  <c r="P61" i="5"/>
  <c r="Q61" i="5"/>
  <c r="H61" i="5"/>
  <c r="P56" i="5"/>
  <c r="Q56" i="5"/>
  <c r="I56" i="5"/>
  <c r="J56" i="5"/>
  <c r="K56" i="5"/>
  <c r="L56" i="5"/>
  <c r="M56" i="5"/>
  <c r="N56" i="5"/>
  <c r="H56" i="5"/>
  <c r="I53" i="5"/>
  <c r="J53" i="5"/>
  <c r="K53" i="5"/>
  <c r="L53" i="5"/>
  <c r="M53" i="5"/>
  <c r="N53" i="5"/>
  <c r="O53" i="5"/>
  <c r="H53" i="5"/>
  <c r="I48" i="5"/>
  <c r="J48" i="5"/>
  <c r="K48" i="5"/>
  <c r="L48" i="5"/>
  <c r="M48" i="5"/>
  <c r="N48" i="5"/>
  <c r="O48" i="5"/>
  <c r="P48" i="5"/>
  <c r="Q48" i="5"/>
  <c r="H48" i="5"/>
  <c r="I44" i="5"/>
  <c r="J44" i="5"/>
  <c r="K44" i="5"/>
  <c r="L44" i="5"/>
  <c r="M44" i="5"/>
  <c r="N44" i="5"/>
  <c r="O44" i="5"/>
  <c r="P44" i="5"/>
  <c r="Q44" i="5"/>
  <c r="H44" i="5"/>
  <c r="I40" i="5"/>
  <c r="J40" i="5"/>
  <c r="K40" i="5"/>
  <c r="L40" i="5"/>
  <c r="M40" i="5"/>
  <c r="N40" i="5"/>
  <c r="O40" i="5"/>
  <c r="P40" i="5"/>
  <c r="Q40" i="5"/>
  <c r="H40" i="5"/>
  <c r="I38" i="5"/>
  <c r="J38" i="5"/>
  <c r="K38" i="5"/>
  <c r="L38" i="5"/>
  <c r="M38" i="5"/>
  <c r="N38" i="5"/>
  <c r="O38" i="5"/>
  <c r="P38" i="5"/>
  <c r="Q38" i="5"/>
  <c r="I28" i="5"/>
  <c r="J28" i="5"/>
  <c r="K28" i="5"/>
  <c r="L28" i="5"/>
  <c r="M28" i="5"/>
  <c r="N28" i="5"/>
  <c r="O28" i="5"/>
  <c r="P28" i="5"/>
  <c r="Q28" i="5"/>
  <c r="K17" i="5"/>
  <c r="M17" i="5"/>
  <c r="N17" i="5"/>
  <c r="P17" i="5"/>
  <c r="Q17" i="5"/>
  <c r="E247" i="6"/>
  <c r="F247" i="6"/>
  <c r="G247" i="6"/>
  <c r="H247" i="6"/>
  <c r="I247" i="6"/>
  <c r="J247" i="6"/>
  <c r="K247" i="6"/>
  <c r="L247" i="6"/>
  <c r="M247" i="6"/>
  <c r="N247" i="6"/>
  <c r="O247" i="6"/>
  <c r="P247" i="6"/>
  <c r="Q247" i="6"/>
  <c r="R247" i="6"/>
  <c r="S247" i="6"/>
  <c r="T247" i="6"/>
  <c r="U247" i="6"/>
  <c r="V247" i="6"/>
  <c r="W247" i="6"/>
  <c r="X247" i="6"/>
  <c r="Y247" i="6"/>
  <c r="Z247" i="6"/>
  <c r="AA247" i="6"/>
  <c r="C62" i="6" l="1"/>
  <c r="D10" i="6"/>
  <c r="E62" i="6" l="1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Z259" i="6"/>
  <c r="E259" i="6"/>
  <c r="F259" i="6"/>
  <c r="G259" i="6"/>
  <c r="H259" i="6"/>
  <c r="I259" i="6"/>
  <c r="J259" i="6"/>
  <c r="K259" i="6"/>
  <c r="L259" i="6"/>
  <c r="M259" i="6"/>
  <c r="N259" i="6"/>
  <c r="O259" i="6"/>
  <c r="P259" i="6"/>
  <c r="Q259" i="6"/>
  <c r="R259" i="6"/>
  <c r="S259" i="6"/>
  <c r="T259" i="6"/>
  <c r="U259" i="6"/>
  <c r="V259" i="6"/>
  <c r="W259" i="6"/>
  <c r="X259" i="6"/>
  <c r="Y259" i="6"/>
  <c r="AA259" i="6"/>
  <c r="H197" i="5"/>
  <c r="D206" i="6"/>
  <c r="C206" i="6" s="1"/>
  <c r="D62" i="6" l="1"/>
  <c r="D513" i="6"/>
  <c r="E320" i="6"/>
  <c r="F320" i="6"/>
  <c r="G320" i="6"/>
  <c r="H320" i="6"/>
  <c r="I320" i="6"/>
  <c r="J320" i="6"/>
  <c r="K320" i="6"/>
  <c r="L320" i="6"/>
  <c r="M320" i="6"/>
  <c r="N320" i="6"/>
  <c r="O320" i="6"/>
  <c r="P320" i="6"/>
  <c r="Q320" i="6"/>
  <c r="R320" i="6"/>
  <c r="S320" i="6"/>
  <c r="T320" i="6"/>
  <c r="U320" i="6"/>
  <c r="V320" i="6"/>
  <c r="W320" i="6"/>
  <c r="X320" i="6"/>
  <c r="Y320" i="6"/>
  <c r="Z320" i="6"/>
  <c r="AA320" i="6"/>
  <c r="D322" i="6"/>
  <c r="C322" i="6" s="1"/>
  <c r="D3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H220" i="5"/>
  <c r="H28" i="5"/>
  <c r="F207" i="6"/>
  <c r="G207" i="6"/>
  <c r="H207" i="6"/>
  <c r="I207" i="6"/>
  <c r="J207" i="6"/>
  <c r="K207" i="6"/>
  <c r="L207" i="6"/>
  <c r="M207" i="6"/>
  <c r="N207" i="6"/>
  <c r="O207" i="6"/>
  <c r="P207" i="6"/>
  <c r="Q207" i="6"/>
  <c r="R207" i="6"/>
  <c r="S207" i="6"/>
  <c r="T207" i="6"/>
  <c r="U207" i="6"/>
  <c r="V207" i="6"/>
  <c r="W207" i="6"/>
  <c r="X207" i="6"/>
  <c r="Y207" i="6"/>
  <c r="Z207" i="6"/>
  <c r="AA207" i="6"/>
  <c r="E207" i="6"/>
  <c r="D21" i="6" l="1"/>
  <c r="D320" i="6"/>
  <c r="D251" i="6"/>
  <c r="C251" i="6" s="1"/>
  <c r="D250" i="6"/>
  <c r="C250" i="6" s="1"/>
  <c r="C244" i="6"/>
  <c r="C21" i="6" l="1"/>
  <c r="E323" i="6"/>
  <c r="F323" i="6"/>
  <c r="G323" i="6"/>
  <c r="H323" i="6"/>
  <c r="I323" i="6"/>
  <c r="J323" i="6"/>
  <c r="K323" i="6"/>
  <c r="L323" i="6"/>
  <c r="M323" i="6"/>
  <c r="N323" i="6"/>
  <c r="O323" i="6"/>
  <c r="P323" i="6"/>
  <c r="Q323" i="6"/>
  <c r="R323" i="6"/>
  <c r="S323" i="6"/>
  <c r="T323" i="6"/>
  <c r="U323" i="6"/>
  <c r="V323" i="6"/>
  <c r="W323" i="6"/>
  <c r="X323" i="6"/>
  <c r="Y323" i="6"/>
  <c r="Z323" i="6"/>
  <c r="AA323" i="6"/>
  <c r="D324" i="6"/>
  <c r="C324" i="6" s="1"/>
  <c r="D325" i="6"/>
  <c r="C325" i="6" s="1"/>
  <c r="D326" i="6"/>
  <c r="C326" i="6" s="1"/>
  <c r="D327" i="6"/>
  <c r="C327" i="6" s="1"/>
  <c r="D328" i="6"/>
  <c r="C328" i="6" s="1"/>
  <c r="D329" i="6"/>
  <c r="C329" i="6" s="1"/>
  <c r="D330" i="6"/>
  <c r="C330" i="6" s="1"/>
  <c r="D332" i="6"/>
  <c r="C332" i="6" s="1"/>
  <c r="D333" i="6"/>
  <c r="C333" i="6" s="1"/>
  <c r="D336" i="6"/>
  <c r="C336" i="6" s="1"/>
  <c r="D337" i="6"/>
  <c r="C337" i="6" s="1"/>
  <c r="C321" i="6"/>
  <c r="C320" i="6" s="1"/>
  <c r="E238" i="6"/>
  <c r="F238" i="6"/>
  <c r="G238" i="6"/>
  <c r="H238" i="6"/>
  <c r="I238" i="6"/>
  <c r="K238" i="6"/>
  <c r="L238" i="6"/>
  <c r="M238" i="6"/>
  <c r="N238" i="6"/>
  <c r="O238" i="6"/>
  <c r="P238" i="6"/>
  <c r="Q238" i="6"/>
  <c r="R238" i="6"/>
  <c r="S238" i="6"/>
  <c r="T238" i="6"/>
  <c r="U238" i="6"/>
  <c r="V238" i="6"/>
  <c r="W238" i="6"/>
  <c r="Y238" i="6"/>
  <c r="Z238" i="6"/>
  <c r="AA238" i="6"/>
  <c r="C240" i="6"/>
  <c r="D240" i="6" l="1"/>
  <c r="D281" i="6" l="1"/>
  <c r="K293" i="5" l="1"/>
  <c r="I293" i="5"/>
  <c r="J293" i="5"/>
  <c r="H293" i="5"/>
  <c r="E282" i="6" l="1"/>
  <c r="E280" i="6" s="1"/>
  <c r="F282" i="6"/>
  <c r="F280" i="6" s="1"/>
  <c r="G282" i="6"/>
  <c r="G280" i="6" s="1"/>
  <c r="H282" i="6"/>
  <c r="H280" i="6" s="1"/>
  <c r="I282" i="6"/>
  <c r="I280" i="6" s="1"/>
  <c r="J282" i="6"/>
  <c r="J280" i="6" s="1"/>
  <c r="K282" i="6"/>
  <c r="K280" i="6" s="1"/>
  <c r="L282" i="6"/>
  <c r="L280" i="6" s="1"/>
  <c r="M282" i="6"/>
  <c r="M280" i="6" s="1"/>
  <c r="N282" i="6"/>
  <c r="N280" i="6" s="1"/>
  <c r="O282" i="6"/>
  <c r="P282" i="6"/>
  <c r="Q282" i="6"/>
  <c r="Q280" i="6" s="1"/>
  <c r="R282" i="6"/>
  <c r="R280" i="6" s="1"/>
  <c r="S282" i="6"/>
  <c r="S280" i="6" s="1"/>
  <c r="T282" i="6"/>
  <c r="T280" i="6" s="1"/>
  <c r="U282" i="6"/>
  <c r="U280" i="6" s="1"/>
  <c r="V282" i="6"/>
  <c r="V280" i="6" s="1"/>
  <c r="W282" i="6"/>
  <c r="W280" i="6" s="1"/>
  <c r="X282" i="6"/>
  <c r="X280" i="6" s="1"/>
  <c r="Y282" i="6"/>
  <c r="Y280" i="6" s="1"/>
  <c r="Z282" i="6"/>
  <c r="AA282" i="6"/>
  <c r="AA280" i="6" s="1"/>
  <c r="D286" i="6"/>
  <c r="C286" i="6" s="1"/>
  <c r="D287" i="6"/>
  <c r="C287" i="6" s="1"/>
  <c r="D288" i="6"/>
  <c r="C288" i="6" s="1"/>
  <c r="D289" i="6"/>
  <c r="C289" i="6" s="1"/>
  <c r="D290" i="6"/>
  <c r="C290" i="6" s="1"/>
  <c r="M293" i="5"/>
  <c r="N293" i="5"/>
  <c r="P293" i="5"/>
  <c r="Q293" i="5"/>
  <c r="E956" i="6"/>
  <c r="F956" i="6"/>
  <c r="G956" i="6"/>
  <c r="H956" i="6"/>
  <c r="I956" i="6"/>
  <c r="J956" i="6"/>
  <c r="K956" i="6"/>
  <c r="L956" i="6"/>
  <c r="M956" i="6"/>
  <c r="N956" i="6"/>
  <c r="O956" i="6"/>
  <c r="P956" i="6"/>
  <c r="Q956" i="6"/>
  <c r="R956" i="6"/>
  <c r="S956" i="6"/>
  <c r="T956" i="6"/>
  <c r="U956" i="6"/>
  <c r="V956" i="6"/>
  <c r="W956" i="6"/>
  <c r="X956" i="6"/>
  <c r="Y956" i="6"/>
  <c r="Z956" i="6"/>
  <c r="AA956" i="6"/>
  <c r="D959" i="6"/>
  <c r="C959" i="6" s="1"/>
  <c r="E228" i="6"/>
  <c r="F228" i="6"/>
  <c r="G228" i="6"/>
  <c r="H228" i="6"/>
  <c r="I228" i="6"/>
  <c r="J228" i="6"/>
  <c r="K228" i="6"/>
  <c r="L228" i="6"/>
  <c r="M228" i="6"/>
  <c r="N228" i="6"/>
  <c r="O228" i="6"/>
  <c r="P228" i="6"/>
  <c r="Q228" i="6"/>
  <c r="R228" i="6"/>
  <c r="S228" i="6"/>
  <c r="T228" i="6"/>
  <c r="U228" i="6"/>
  <c r="V228" i="6"/>
  <c r="W228" i="6"/>
  <c r="X228" i="6"/>
  <c r="Y228" i="6"/>
  <c r="Z228" i="6"/>
  <c r="AA228" i="6"/>
  <c r="D231" i="6"/>
  <c r="C231" i="6" s="1"/>
  <c r="D316" i="6"/>
  <c r="C316" i="6" s="1"/>
  <c r="E241" i="6"/>
  <c r="F241" i="6"/>
  <c r="G241" i="6"/>
  <c r="H241" i="6"/>
  <c r="I241" i="6"/>
  <c r="J241" i="6"/>
  <c r="K241" i="6"/>
  <c r="L241" i="6"/>
  <c r="M241" i="6"/>
  <c r="N241" i="6"/>
  <c r="O241" i="6"/>
  <c r="P241" i="6"/>
  <c r="Q241" i="6"/>
  <c r="R241" i="6"/>
  <c r="S241" i="6"/>
  <c r="T241" i="6"/>
  <c r="U241" i="6"/>
  <c r="V241" i="6"/>
  <c r="W241" i="6"/>
  <c r="X241" i="6"/>
  <c r="Y241" i="6"/>
  <c r="Z241" i="6"/>
  <c r="AA241" i="6"/>
  <c r="D246" i="6"/>
  <c r="C246" i="6" s="1"/>
  <c r="E920" i="6"/>
  <c r="F920" i="6"/>
  <c r="G920" i="6"/>
  <c r="H920" i="6"/>
  <c r="I920" i="6"/>
  <c r="J920" i="6"/>
  <c r="K920" i="6"/>
  <c r="L920" i="6"/>
  <c r="M920" i="6"/>
  <c r="N920" i="6"/>
  <c r="O920" i="6"/>
  <c r="P920" i="6"/>
  <c r="Q920" i="6"/>
  <c r="R920" i="6"/>
  <c r="S920" i="6"/>
  <c r="T920" i="6"/>
  <c r="U920" i="6"/>
  <c r="V920" i="6"/>
  <c r="W920" i="6"/>
  <c r="X920" i="6"/>
  <c r="Y920" i="6"/>
  <c r="Z920" i="6"/>
  <c r="AA920" i="6"/>
  <c r="E424" i="6"/>
  <c r="F424" i="6"/>
  <c r="G424" i="6"/>
  <c r="H424" i="6"/>
  <c r="I424" i="6"/>
  <c r="J424" i="6"/>
  <c r="K424" i="6"/>
  <c r="L424" i="6"/>
  <c r="M424" i="6"/>
  <c r="N424" i="6"/>
  <c r="O424" i="6"/>
  <c r="P424" i="6"/>
  <c r="Q424" i="6"/>
  <c r="R424" i="6"/>
  <c r="S424" i="6"/>
  <c r="T424" i="6"/>
  <c r="U424" i="6"/>
  <c r="V424" i="6"/>
  <c r="W424" i="6"/>
  <c r="X424" i="6"/>
  <c r="Y424" i="6"/>
  <c r="Z424" i="6"/>
  <c r="E304" i="6"/>
  <c r="F304" i="6"/>
  <c r="G304" i="6"/>
  <c r="H304" i="6"/>
  <c r="I304" i="6"/>
  <c r="J304" i="6"/>
  <c r="K304" i="6"/>
  <c r="L304" i="6"/>
  <c r="M304" i="6"/>
  <c r="N304" i="6"/>
  <c r="O304" i="6"/>
  <c r="P304" i="6"/>
  <c r="Q304" i="6"/>
  <c r="R304" i="6"/>
  <c r="S304" i="6"/>
  <c r="T304" i="6"/>
  <c r="U304" i="6"/>
  <c r="V304" i="6"/>
  <c r="W304" i="6"/>
  <c r="X304" i="6"/>
  <c r="Y304" i="6"/>
  <c r="Z304" i="6"/>
  <c r="AA304" i="6"/>
  <c r="D262" i="6"/>
  <c r="C262" i="6" s="1"/>
  <c r="F71" i="7"/>
  <c r="D71" i="7"/>
  <c r="C71" i="7"/>
  <c r="AA347" i="6"/>
  <c r="D347" i="6"/>
  <c r="E347" i="6"/>
  <c r="F347" i="6"/>
  <c r="G347" i="6"/>
  <c r="H347" i="6"/>
  <c r="I347" i="6"/>
  <c r="J347" i="6"/>
  <c r="K347" i="6"/>
  <c r="L347" i="6"/>
  <c r="M347" i="6"/>
  <c r="N347" i="6"/>
  <c r="O347" i="6"/>
  <c r="P347" i="6"/>
  <c r="Q347" i="6"/>
  <c r="R347" i="6"/>
  <c r="S347" i="6"/>
  <c r="T347" i="6"/>
  <c r="U347" i="6"/>
  <c r="V347" i="6"/>
  <c r="W347" i="6"/>
  <c r="X347" i="6"/>
  <c r="Y347" i="6"/>
  <c r="Z347" i="6"/>
  <c r="C348" i="6"/>
  <c r="C347" i="6" s="1"/>
  <c r="I345" i="5"/>
  <c r="J345" i="5"/>
  <c r="K345" i="5"/>
  <c r="L345" i="5"/>
  <c r="O345" i="5" s="1"/>
  <c r="M345" i="5"/>
  <c r="N345" i="5"/>
  <c r="P345" i="5"/>
  <c r="Q345" i="5"/>
  <c r="H345" i="5"/>
  <c r="H945" i="5"/>
  <c r="C431" i="6"/>
  <c r="D268" i="6"/>
  <c r="C268" i="6" s="1"/>
  <c r="D267" i="6"/>
  <c r="C267" i="6" s="1"/>
  <c r="H443" i="5"/>
  <c r="D311" i="6"/>
  <c r="C311" i="6" s="1"/>
  <c r="D310" i="6"/>
  <c r="C310" i="6" s="1"/>
  <c r="O742" i="5"/>
  <c r="E252" i="6"/>
  <c r="F252" i="6"/>
  <c r="G252" i="6"/>
  <c r="H252" i="6"/>
  <c r="I252" i="6"/>
  <c r="J252" i="6"/>
  <c r="K252" i="6"/>
  <c r="L252" i="6"/>
  <c r="M252" i="6"/>
  <c r="N252" i="6"/>
  <c r="O252" i="6"/>
  <c r="P252" i="6"/>
  <c r="Q252" i="6"/>
  <c r="R252" i="6"/>
  <c r="S252" i="6"/>
  <c r="T252" i="6"/>
  <c r="U252" i="6"/>
  <c r="V252" i="6"/>
  <c r="W252" i="6"/>
  <c r="X252" i="6"/>
  <c r="Y252" i="6"/>
  <c r="Z252" i="6"/>
  <c r="AA252" i="6"/>
  <c r="D254" i="6"/>
  <c r="C254" i="6" s="1"/>
  <c r="U112" i="6"/>
  <c r="V112" i="6"/>
  <c r="W112" i="6"/>
  <c r="X112" i="6"/>
  <c r="Y112" i="6"/>
  <c r="Z112" i="6"/>
  <c r="E111" i="7" l="1"/>
  <c r="E77" i="7"/>
  <c r="E43" i="7"/>
  <c r="E9" i="7"/>
  <c r="E7" i="7" s="1"/>
  <c r="C985" i="6"/>
  <c r="E986" i="6"/>
  <c r="F986" i="6"/>
  <c r="G986" i="6"/>
  <c r="H986" i="6"/>
  <c r="I986" i="6"/>
  <c r="J986" i="6"/>
  <c r="K986" i="6"/>
  <c r="L986" i="6"/>
  <c r="M986" i="6"/>
  <c r="N986" i="6"/>
  <c r="O986" i="6"/>
  <c r="P986" i="6"/>
  <c r="Q986" i="6"/>
  <c r="R986" i="6"/>
  <c r="S986" i="6"/>
  <c r="T986" i="6"/>
  <c r="U986" i="6"/>
  <c r="V986" i="6"/>
  <c r="W986" i="6"/>
  <c r="X986" i="6"/>
  <c r="Y986" i="6"/>
  <c r="Z986" i="6"/>
  <c r="AA986" i="6"/>
  <c r="D987" i="6"/>
  <c r="D988" i="6"/>
  <c r="C988" i="6" s="1"/>
  <c r="E989" i="6"/>
  <c r="F989" i="6"/>
  <c r="G989" i="6"/>
  <c r="H989" i="6"/>
  <c r="I989" i="6"/>
  <c r="J989" i="6"/>
  <c r="K989" i="6"/>
  <c r="L989" i="6"/>
  <c r="M989" i="6"/>
  <c r="N989" i="6"/>
  <c r="O989" i="6"/>
  <c r="P989" i="6"/>
  <c r="Q989" i="6"/>
  <c r="R989" i="6"/>
  <c r="S989" i="6"/>
  <c r="T989" i="6"/>
  <c r="U989" i="6"/>
  <c r="V989" i="6"/>
  <c r="W989" i="6"/>
  <c r="X989" i="6"/>
  <c r="Y989" i="6"/>
  <c r="Z989" i="6"/>
  <c r="AA989" i="6"/>
  <c r="D990" i="6"/>
  <c r="D991" i="6"/>
  <c r="C991" i="6" s="1"/>
  <c r="E992" i="6"/>
  <c r="F992" i="6"/>
  <c r="G992" i="6"/>
  <c r="H992" i="6"/>
  <c r="I992" i="6"/>
  <c r="J992" i="6"/>
  <c r="K992" i="6"/>
  <c r="L992" i="6"/>
  <c r="M992" i="6"/>
  <c r="N992" i="6"/>
  <c r="O992" i="6"/>
  <c r="P992" i="6"/>
  <c r="Q992" i="6"/>
  <c r="R992" i="6"/>
  <c r="S992" i="6"/>
  <c r="T992" i="6"/>
  <c r="U992" i="6"/>
  <c r="V992" i="6"/>
  <c r="W992" i="6"/>
  <c r="X992" i="6"/>
  <c r="Y992" i="6"/>
  <c r="Z992" i="6"/>
  <c r="AA992" i="6"/>
  <c r="D993" i="6"/>
  <c r="D994" i="6"/>
  <c r="C994" i="6" s="1"/>
  <c r="D995" i="6"/>
  <c r="C995" i="6" s="1"/>
  <c r="D996" i="6"/>
  <c r="C996" i="6" s="1"/>
  <c r="D997" i="6"/>
  <c r="C997" i="6" s="1"/>
  <c r="D998" i="6"/>
  <c r="C998" i="6" s="1"/>
  <c r="D999" i="6"/>
  <c r="C999" i="6" s="1"/>
  <c r="D1000" i="6"/>
  <c r="C1000" i="6" s="1"/>
  <c r="D1001" i="6"/>
  <c r="C1001" i="6" s="1"/>
  <c r="D1002" i="6"/>
  <c r="C1002" i="6" s="1"/>
  <c r="D1003" i="6"/>
  <c r="C1003" i="6" s="1"/>
  <c r="D1004" i="6"/>
  <c r="C1004" i="6" s="1"/>
  <c r="E1018" i="6"/>
  <c r="F1018" i="6"/>
  <c r="G1018" i="6"/>
  <c r="H1018" i="6"/>
  <c r="I1018" i="6"/>
  <c r="J1018" i="6"/>
  <c r="K1018" i="6"/>
  <c r="L1018" i="6"/>
  <c r="M1018" i="6"/>
  <c r="N1018" i="6"/>
  <c r="O1018" i="6"/>
  <c r="P1018" i="6"/>
  <c r="Q1018" i="6"/>
  <c r="R1018" i="6"/>
  <c r="S1018" i="6"/>
  <c r="T1018" i="6"/>
  <c r="U1018" i="6"/>
  <c r="V1018" i="6"/>
  <c r="W1018" i="6"/>
  <c r="X1018" i="6"/>
  <c r="Y1018" i="6"/>
  <c r="Z1018" i="6"/>
  <c r="AA1018" i="6"/>
  <c r="E1006" i="6"/>
  <c r="F1006" i="6"/>
  <c r="G1006" i="6"/>
  <c r="H1006" i="6"/>
  <c r="I1006" i="6"/>
  <c r="J1006" i="6"/>
  <c r="K1006" i="6"/>
  <c r="L1006" i="6"/>
  <c r="M1006" i="6"/>
  <c r="N1006" i="6"/>
  <c r="O1006" i="6"/>
  <c r="P1006" i="6"/>
  <c r="Q1006" i="6"/>
  <c r="R1006" i="6"/>
  <c r="S1006" i="6"/>
  <c r="T1006" i="6"/>
  <c r="U1006" i="6"/>
  <c r="V1006" i="6"/>
  <c r="W1006" i="6"/>
  <c r="X1006" i="6"/>
  <c r="Y1006" i="6"/>
  <c r="Z1006" i="6"/>
  <c r="AA1006" i="6"/>
  <c r="E947" i="6"/>
  <c r="F947" i="6"/>
  <c r="G947" i="6"/>
  <c r="H947" i="6"/>
  <c r="I947" i="6"/>
  <c r="J947" i="6"/>
  <c r="K947" i="6"/>
  <c r="L947" i="6"/>
  <c r="M947" i="6"/>
  <c r="N947" i="6"/>
  <c r="O947" i="6"/>
  <c r="P947" i="6"/>
  <c r="Q947" i="6"/>
  <c r="R947" i="6"/>
  <c r="S947" i="6"/>
  <c r="T947" i="6"/>
  <c r="U947" i="6"/>
  <c r="V947" i="6"/>
  <c r="W947" i="6"/>
  <c r="X947" i="6"/>
  <c r="Y947" i="6"/>
  <c r="Z947" i="6"/>
  <c r="E911" i="6"/>
  <c r="F911" i="6"/>
  <c r="G911" i="6"/>
  <c r="H911" i="6"/>
  <c r="I911" i="6"/>
  <c r="J911" i="6"/>
  <c r="K911" i="6"/>
  <c r="L911" i="6"/>
  <c r="M911" i="6"/>
  <c r="N911" i="6"/>
  <c r="O911" i="6"/>
  <c r="P911" i="6"/>
  <c r="Q911" i="6"/>
  <c r="R911" i="6"/>
  <c r="S911" i="6"/>
  <c r="T911" i="6"/>
  <c r="U911" i="6"/>
  <c r="V911" i="6"/>
  <c r="W911" i="6"/>
  <c r="X911" i="6"/>
  <c r="Y911" i="6"/>
  <c r="Z911" i="6"/>
  <c r="AA911" i="6"/>
  <c r="E904" i="6"/>
  <c r="F904" i="6"/>
  <c r="G904" i="6"/>
  <c r="H904" i="6"/>
  <c r="I904" i="6"/>
  <c r="J904" i="6"/>
  <c r="K904" i="6"/>
  <c r="L904" i="6"/>
  <c r="M904" i="6"/>
  <c r="N904" i="6"/>
  <c r="O904" i="6"/>
  <c r="P904" i="6"/>
  <c r="Q904" i="6"/>
  <c r="R904" i="6"/>
  <c r="S904" i="6"/>
  <c r="T904" i="6"/>
  <c r="U904" i="6"/>
  <c r="V904" i="6"/>
  <c r="W904" i="6"/>
  <c r="X904" i="6"/>
  <c r="Y904" i="6"/>
  <c r="Z904" i="6"/>
  <c r="AA904" i="6"/>
  <c r="E872" i="6"/>
  <c r="F872" i="6"/>
  <c r="G872" i="6"/>
  <c r="H872" i="6"/>
  <c r="I872" i="6"/>
  <c r="J872" i="6"/>
  <c r="K872" i="6"/>
  <c r="L872" i="6"/>
  <c r="M872" i="6"/>
  <c r="N872" i="6"/>
  <c r="O872" i="6"/>
  <c r="P872" i="6"/>
  <c r="Q872" i="6"/>
  <c r="R872" i="6"/>
  <c r="S872" i="6"/>
  <c r="T872" i="6"/>
  <c r="U872" i="6"/>
  <c r="V872" i="6"/>
  <c r="W872" i="6"/>
  <c r="X872" i="6"/>
  <c r="Y872" i="6"/>
  <c r="Z872" i="6"/>
  <c r="AA872" i="6"/>
  <c r="E865" i="6"/>
  <c r="F865" i="6"/>
  <c r="G865" i="6"/>
  <c r="H865" i="6"/>
  <c r="I865" i="6"/>
  <c r="J865" i="6"/>
  <c r="K865" i="6"/>
  <c r="L865" i="6"/>
  <c r="M865" i="6"/>
  <c r="N865" i="6"/>
  <c r="O865" i="6"/>
  <c r="P865" i="6"/>
  <c r="Q865" i="6"/>
  <c r="R865" i="6"/>
  <c r="S865" i="6"/>
  <c r="T865" i="6"/>
  <c r="U865" i="6"/>
  <c r="V865" i="6"/>
  <c r="W865" i="6"/>
  <c r="X865" i="6"/>
  <c r="Y865" i="6"/>
  <c r="Z865" i="6"/>
  <c r="E837" i="6"/>
  <c r="F837" i="6"/>
  <c r="G837" i="6"/>
  <c r="H837" i="6"/>
  <c r="I837" i="6"/>
  <c r="J837" i="6"/>
  <c r="K837" i="6"/>
  <c r="L837" i="6"/>
  <c r="M837" i="6"/>
  <c r="N837" i="6"/>
  <c r="O837" i="6"/>
  <c r="P837" i="6"/>
  <c r="Q837" i="6"/>
  <c r="R837" i="6"/>
  <c r="S837" i="6"/>
  <c r="T837" i="6"/>
  <c r="U837" i="6"/>
  <c r="V837" i="6"/>
  <c r="W837" i="6"/>
  <c r="X837" i="6"/>
  <c r="Y837" i="6"/>
  <c r="Z837" i="6"/>
  <c r="E823" i="6"/>
  <c r="F823" i="6"/>
  <c r="G823" i="6"/>
  <c r="H823" i="6"/>
  <c r="I823" i="6"/>
  <c r="J823" i="6"/>
  <c r="K823" i="6"/>
  <c r="L823" i="6"/>
  <c r="M823" i="6"/>
  <c r="N823" i="6"/>
  <c r="O823" i="6"/>
  <c r="P823" i="6"/>
  <c r="Q823" i="6"/>
  <c r="R823" i="6"/>
  <c r="S823" i="6"/>
  <c r="T823" i="6"/>
  <c r="U823" i="6"/>
  <c r="V823" i="6"/>
  <c r="W823" i="6"/>
  <c r="X823" i="6"/>
  <c r="Y823" i="6"/>
  <c r="Z823" i="6"/>
  <c r="AA823" i="6"/>
  <c r="E781" i="6"/>
  <c r="F781" i="6"/>
  <c r="G781" i="6"/>
  <c r="H781" i="6"/>
  <c r="I781" i="6"/>
  <c r="J781" i="6"/>
  <c r="K781" i="6"/>
  <c r="L781" i="6"/>
  <c r="M781" i="6"/>
  <c r="N781" i="6"/>
  <c r="O781" i="6"/>
  <c r="P781" i="6"/>
  <c r="Q781" i="6"/>
  <c r="R781" i="6"/>
  <c r="S781" i="6"/>
  <c r="T781" i="6"/>
  <c r="U781" i="6"/>
  <c r="V781" i="6"/>
  <c r="W781" i="6"/>
  <c r="X781" i="6"/>
  <c r="Y781" i="6"/>
  <c r="Z781" i="6"/>
  <c r="AA781" i="6"/>
  <c r="E770" i="6"/>
  <c r="F770" i="6"/>
  <c r="G770" i="6"/>
  <c r="H770" i="6"/>
  <c r="I770" i="6"/>
  <c r="J770" i="6"/>
  <c r="K770" i="6"/>
  <c r="L770" i="6"/>
  <c r="M770" i="6"/>
  <c r="N770" i="6"/>
  <c r="O770" i="6"/>
  <c r="P770" i="6"/>
  <c r="Q770" i="6"/>
  <c r="R770" i="6"/>
  <c r="S770" i="6"/>
  <c r="T770" i="6"/>
  <c r="U770" i="6"/>
  <c r="V770" i="6"/>
  <c r="W770" i="6"/>
  <c r="X770" i="6"/>
  <c r="Y770" i="6"/>
  <c r="Z770" i="6"/>
  <c r="E758" i="6"/>
  <c r="F758" i="6"/>
  <c r="G758" i="6"/>
  <c r="H758" i="6"/>
  <c r="I758" i="6"/>
  <c r="J758" i="6"/>
  <c r="K758" i="6"/>
  <c r="L758" i="6"/>
  <c r="M758" i="6"/>
  <c r="N758" i="6"/>
  <c r="O758" i="6"/>
  <c r="P758" i="6"/>
  <c r="Q758" i="6"/>
  <c r="R758" i="6"/>
  <c r="S758" i="6"/>
  <c r="T758" i="6"/>
  <c r="U758" i="6"/>
  <c r="V758" i="6"/>
  <c r="W758" i="6"/>
  <c r="X758" i="6"/>
  <c r="Y758" i="6"/>
  <c r="Z758" i="6"/>
  <c r="E488" i="6"/>
  <c r="F488" i="6"/>
  <c r="G488" i="6"/>
  <c r="H488" i="6"/>
  <c r="I488" i="6"/>
  <c r="J488" i="6"/>
  <c r="K488" i="6"/>
  <c r="L488" i="6"/>
  <c r="M488" i="6"/>
  <c r="N488" i="6"/>
  <c r="O488" i="6"/>
  <c r="P488" i="6"/>
  <c r="Q488" i="6"/>
  <c r="R488" i="6"/>
  <c r="S488" i="6"/>
  <c r="T488" i="6"/>
  <c r="U488" i="6"/>
  <c r="V488" i="6"/>
  <c r="W488" i="6"/>
  <c r="X488" i="6"/>
  <c r="Y488" i="6"/>
  <c r="Z488" i="6"/>
  <c r="AA488" i="6"/>
  <c r="E445" i="6"/>
  <c r="F445" i="6"/>
  <c r="G445" i="6"/>
  <c r="H445" i="6"/>
  <c r="I445" i="6"/>
  <c r="J445" i="6"/>
  <c r="K445" i="6"/>
  <c r="L445" i="6"/>
  <c r="M445" i="6"/>
  <c r="N445" i="6"/>
  <c r="O445" i="6"/>
  <c r="P445" i="6"/>
  <c r="Q445" i="6"/>
  <c r="R445" i="6"/>
  <c r="S445" i="6"/>
  <c r="T445" i="6"/>
  <c r="U445" i="6"/>
  <c r="V445" i="6"/>
  <c r="W445" i="6"/>
  <c r="X445" i="6"/>
  <c r="Y445" i="6"/>
  <c r="Z445" i="6"/>
  <c r="Z440" i="6"/>
  <c r="E440" i="6"/>
  <c r="F440" i="6"/>
  <c r="G440" i="6"/>
  <c r="H440" i="6"/>
  <c r="I440" i="6"/>
  <c r="J440" i="6"/>
  <c r="K440" i="6"/>
  <c r="L440" i="6"/>
  <c r="M440" i="6"/>
  <c r="N440" i="6"/>
  <c r="O440" i="6"/>
  <c r="P440" i="6"/>
  <c r="Q440" i="6"/>
  <c r="R440" i="6"/>
  <c r="S440" i="6"/>
  <c r="T440" i="6"/>
  <c r="U440" i="6"/>
  <c r="V440" i="6"/>
  <c r="W440" i="6"/>
  <c r="X440" i="6"/>
  <c r="Y440" i="6"/>
  <c r="E435" i="6"/>
  <c r="F435" i="6"/>
  <c r="G435" i="6"/>
  <c r="H435" i="6"/>
  <c r="I435" i="6"/>
  <c r="J435" i="6"/>
  <c r="K435" i="6"/>
  <c r="L435" i="6"/>
  <c r="M435" i="6"/>
  <c r="N435" i="6"/>
  <c r="O435" i="6"/>
  <c r="P435" i="6"/>
  <c r="Q435" i="6"/>
  <c r="R435" i="6"/>
  <c r="S435" i="6"/>
  <c r="T435" i="6"/>
  <c r="U435" i="6"/>
  <c r="V435" i="6"/>
  <c r="W435" i="6"/>
  <c r="X435" i="6"/>
  <c r="Y435" i="6"/>
  <c r="Z435" i="6"/>
  <c r="E390" i="6"/>
  <c r="F390" i="6"/>
  <c r="G390" i="6"/>
  <c r="H390" i="6"/>
  <c r="I390" i="6"/>
  <c r="J390" i="6"/>
  <c r="K390" i="6"/>
  <c r="L390" i="6"/>
  <c r="M390" i="6"/>
  <c r="N390" i="6"/>
  <c r="O390" i="6"/>
  <c r="P390" i="6"/>
  <c r="Q390" i="6"/>
  <c r="R390" i="6"/>
  <c r="S390" i="6"/>
  <c r="T390" i="6"/>
  <c r="U390" i="6"/>
  <c r="V390" i="6"/>
  <c r="W390" i="6"/>
  <c r="X390" i="6"/>
  <c r="Y390" i="6"/>
  <c r="Z390" i="6"/>
  <c r="AA390" i="6"/>
  <c r="E384" i="6"/>
  <c r="F384" i="6"/>
  <c r="G384" i="6"/>
  <c r="H384" i="6"/>
  <c r="I384" i="6"/>
  <c r="J384" i="6"/>
  <c r="K384" i="6"/>
  <c r="L384" i="6"/>
  <c r="M384" i="6"/>
  <c r="N384" i="6"/>
  <c r="O384" i="6"/>
  <c r="P384" i="6"/>
  <c r="Q384" i="6"/>
  <c r="R384" i="6"/>
  <c r="S384" i="6"/>
  <c r="T384" i="6"/>
  <c r="U384" i="6"/>
  <c r="V384" i="6"/>
  <c r="W384" i="6"/>
  <c r="X384" i="6"/>
  <c r="Y384" i="6"/>
  <c r="Z384" i="6"/>
  <c r="E366" i="6"/>
  <c r="F366" i="6"/>
  <c r="G366" i="6"/>
  <c r="H366" i="6"/>
  <c r="I366" i="6"/>
  <c r="J366" i="6"/>
  <c r="K366" i="6"/>
  <c r="L366" i="6"/>
  <c r="M366" i="6"/>
  <c r="N366" i="6"/>
  <c r="O366" i="6"/>
  <c r="P366" i="6"/>
  <c r="Q366" i="6"/>
  <c r="R366" i="6"/>
  <c r="S366" i="6"/>
  <c r="T366" i="6"/>
  <c r="U366" i="6"/>
  <c r="V366" i="6"/>
  <c r="W366" i="6"/>
  <c r="X366" i="6"/>
  <c r="Y366" i="6"/>
  <c r="Z366" i="6"/>
  <c r="E151" i="6"/>
  <c r="F151" i="6"/>
  <c r="G151" i="6"/>
  <c r="H151" i="6"/>
  <c r="I151" i="6"/>
  <c r="J151" i="6"/>
  <c r="K151" i="6"/>
  <c r="L151" i="6"/>
  <c r="M151" i="6"/>
  <c r="O151" i="6"/>
  <c r="P151" i="6"/>
  <c r="Q151" i="6"/>
  <c r="R151" i="6"/>
  <c r="S151" i="6"/>
  <c r="T151" i="6"/>
  <c r="U151" i="6"/>
  <c r="V151" i="6"/>
  <c r="W151" i="6"/>
  <c r="X151" i="6"/>
  <c r="Y151" i="6"/>
  <c r="Z151" i="6"/>
  <c r="AA151" i="6"/>
  <c r="E141" i="6"/>
  <c r="F141" i="6"/>
  <c r="G141" i="6"/>
  <c r="H141" i="6"/>
  <c r="I141" i="6"/>
  <c r="J141" i="6"/>
  <c r="K141" i="6"/>
  <c r="L141" i="6"/>
  <c r="M141" i="6"/>
  <c r="N141" i="6"/>
  <c r="O141" i="6"/>
  <c r="P141" i="6"/>
  <c r="Q141" i="6"/>
  <c r="R141" i="6"/>
  <c r="S141" i="6"/>
  <c r="T141" i="6"/>
  <c r="U141" i="6"/>
  <c r="V141" i="6"/>
  <c r="W141" i="6"/>
  <c r="X141" i="6"/>
  <c r="Y141" i="6"/>
  <c r="Z141" i="6"/>
  <c r="AA141" i="6"/>
  <c r="E119" i="6"/>
  <c r="F119" i="6"/>
  <c r="G119" i="6"/>
  <c r="H119" i="6"/>
  <c r="I119" i="6"/>
  <c r="J119" i="6"/>
  <c r="K119" i="6"/>
  <c r="L119" i="6"/>
  <c r="M119" i="6"/>
  <c r="N119" i="6"/>
  <c r="O119" i="6"/>
  <c r="P119" i="6"/>
  <c r="Q119" i="6"/>
  <c r="R119" i="6"/>
  <c r="S119" i="6"/>
  <c r="T119" i="6"/>
  <c r="U119" i="6"/>
  <c r="V119" i="6"/>
  <c r="W119" i="6"/>
  <c r="X119" i="6"/>
  <c r="Y119" i="6"/>
  <c r="Z119" i="6"/>
  <c r="AA119" i="6"/>
  <c r="O96" i="6"/>
  <c r="P96" i="6"/>
  <c r="Q96" i="6"/>
  <c r="R96" i="6"/>
  <c r="S96" i="6"/>
  <c r="T96" i="6"/>
  <c r="U96" i="6"/>
  <c r="V96" i="6"/>
  <c r="W96" i="6"/>
  <c r="X96" i="6"/>
  <c r="Y96" i="6"/>
  <c r="Z96" i="6"/>
  <c r="AA96" i="6"/>
  <c r="E89" i="6"/>
  <c r="F89" i="6"/>
  <c r="G89" i="6"/>
  <c r="H89" i="6"/>
  <c r="I89" i="6"/>
  <c r="J89" i="6"/>
  <c r="K89" i="6"/>
  <c r="L89" i="6"/>
  <c r="M89" i="6"/>
  <c r="N89" i="6"/>
  <c r="O89" i="6"/>
  <c r="P89" i="6"/>
  <c r="Q89" i="6"/>
  <c r="R89" i="6"/>
  <c r="S89" i="6"/>
  <c r="T89" i="6"/>
  <c r="U89" i="6"/>
  <c r="V89" i="6"/>
  <c r="W89" i="6"/>
  <c r="X89" i="6"/>
  <c r="Y89" i="6"/>
  <c r="Z89" i="6"/>
  <c r="AA8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K72" i="6"/>
  <c r="L72" i="6"/>
  <c r="M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T33" i="6"/>
  <c r="U33" i="6"/>
  <c r="V33" i="6"/>
  <c r="W33" i="6"/>
  <c r="X33" i="6"/>
  <c r="Y33" i="6"/>
  <c r="Z33" i="6"/>
  <c r="AA33" i="6"/>
  <c r="H1043" i="5"/>
  <c r="H972" i="5"/>
  <c r="H929" i="5"/>
  <c r="I848" i="5"/>
  <c r="J848" i="5"/>
  <c r="K848" i="5"/>
  <c r="L848" i="5"/>
  <c r="M848" i="5"/>
  <c r="N848" i="5"/>
  <c r="H783" i="5"/>
  <c r="H489" i="5"/>
  <c r="H409" i="5"/>
  <c r="H245" i="5"/>
  <c r="H232" i="5"/>
  <c r="H163" i="5"/>
  <c r="J149" i="5"/>
  <c r="H136" i="5"/>
  <c r="H126" i="5"/>
  <c r="H115" i="5"/>
  <c r="H79" i="5"/>
  <c r="H38" i="5"/>
  <c r="H17" i="5"/>
  <c r="C428" i="6"/>
  <c r="D210" i="6"/>
  <c r="D211" i="6"/>
  <c r="C211" i="6" s="1"/>
  <c r="D375" i="6"/>
  <c r="C375" i="6" s="1"/>
  <c r="D376" i="6"/>
  <c r="C376" i="6" s="1"/>
  <c r="D377" i="6"/>
  <c r="C377" i="6" s="1"/>
  <c r="D378" i="6"/>
  <c r="C378" i="6" s="1"/>
  <c r="D379" i="6"/>
  <c r="C379" i="6" s="1"/>
  <c r="D380" i="6"/>
  <c r="C380" i="6" s="1"/>
  <c r="D381" i="6"/>
  <c r="C381" i="6" s="1"/>
  <c r="D382" i="6"/>
  <c r="C382" i="6" s="1"/>
  <c r="D383" i="6"/>
  <c r="C383" i="6" s="1"/>
  <c r="D374" i="6"/>
  <c r="C374" i="6" s="1"/>
  <c r="D370" i="6"/>
  <c r="C370" i="6" s="1"/>
  <c r="D369" i="6"/>
  <c r="C369" i="6" s="1"/>
  <c r="D194" i="6"/>
  <c r="C194" i="6" s="1"/>
  <c r="D195" i="6"/>
  <c r="C195" i="6" s="1"/>
  <c r="D196" i="6"/>
  <c r="C196" i="6" s="1"/>
  <c r="D197" i="6"/>
  <c r="C197" i="6" s="1"/>
  <c r="D198" i="6"/>
  <c r="C198" i="6" s="1"/>
  <c r="D199" i="6"/>
  <c r="C199" i="6" s="1"/>
  <c r="D200" i="6"/>
  <c r="C200" i="6" s="1"/>
  <c r="D201" i="6"/>
  <c r="C201" i="6" s="1"/>
  <c r="D202" i="6"/>
  <c r="C202" i="6" s="1"/>
  <c r="D203" i="6"/>
  <c r="C203" i="6" s="1"/>
  <c r="D204" i="6"/>
  <c r="C204" i="6" s="1"/>
  <c r="D205" i="6"/>
  <c r="C205" i="6" s="1"/>
  <c r="D189" i="6"/>
  <c r="D190" i="6"/>
  <c r="D191" i="6"/>
  <c r="C191" i="6" s="1"/>
  <c r="D192" i="6"/>
  <c r="C192" i="6" s="1"/>
  <c r="D193" i="6"/>
  <c r="C193" i="6" s="1"/>
  <c r="D188" i="6"/>
  <c r="C188" i="6" s="1"/>
  <c r="D187" i="6"/>
  <c r="C187" i="6" s="1"/>
  <c r="D186" i="6"/>
  <c r="C186" i="6" s="1"/>
  <c r="D46" i="6" l="1"/>
  <c r="C46" i="6" s="1"/>
  <c r="D89" i="6"/>
  <c r="C89" i="6" s="1"/>
  <c r="D119" i="6"/>
  <c r="C119" i="6" s="1"/>
  <c r="D37" i="6"/>
  <c r="C37" i="6" s="1"/>
  <c r="D79" i="6"/>
  <c r="C79" i="6" s="1"/>
  <c r="D33" i="6"/>
  <c r="C33" i="6" s="1"/>
  <c r="D41" i="6"/>
  <c r="C41" i="6" s="1"/>
  <c r="D54" i="6"/>
  <c r="C54" i="6" s="1"/>
  <c r="D151" i="6"/>
  <c r="C151" i="6" s="1"/>
  <c r="D49" i="6"/>
  <c r="C49" i="6" s="1"/>
  <c r="D141" i="6"/>
  <c r="C141" i="6" s="1"/>
  <c r="D986" i="6"/>
  <c r="D989" i="6"/>
  <c r="C990" i="6"/>
  <c r="C989" i="6" s="1"/>
  <c r="C987" i="6"/>
  <c r="C986" i="6" s="1"/>
  <c r="C993" i="6"/>
  <c r="F74" i="7"/>
  <c r="D74" i="7"/>
  <c r="C74" i="7"/>
  <c r="C357" i="6"/>
  <c r="E172" i="6"/>
  <c r="F172" i="6"/>
  <c r="G172" i="6"/>
  <c r="H172" i="6"/>
  <c r="I172" i="6"/>
  <c r="J172" i="6"/>
  <c r="K172" i="6"/>
  <c r="L172" i="6"/>
  <c r="M172" i="6"/>
  <c r="N172" i="6"/>
  <c r="O172" i="6"/>
  <c r="P172" i="6"/>
  <c r="Q172" i="6"/>
  <c r="R172" i="6"/>
  <c r="S172" i="6"/>
  <c r="T172" i="6"/>
  <c r="W172" i="6"/>
  <c r="X172" i="6"/>
  <c r="Y172" i="6"/>
  <c r="Z172" i="6"/>
  <c r="AA172" i="6"/>
  <c r="E174" i="6"/>
  <c r="F174" i="6"/>
  <c r="G174" i="6"/>
  <c r="H174" i="6"/>
  <c r="I174" i="6"/>
  <c r="J174" i="6"/>
  <c r="K174" i="6"/>
  <c r="L174" i="6"/>
  <c r="M174" i="6"/>
  <c r="N174" i="6"/>
  <c r="O174" i="6"/>
  <c r="P174" i="6"/>
  <c r="Q174" i="6"/>
  <c r="R174" i="6"/>
  <c r="S174" i="6"/>
  <c r="T174" i="6"/>
  <c r="U174" i="6"/>
  <c r="V174" i="6"/>
  <c r="W174" i="6"/>
  <c r="X174" i="6"/>
  <c r="Y174" i="6"/>
  <c r="Z174" i="6"/>
  <c r="AA174" i="6"/>
  <c r="D174" i="6" l="1"/>
  <c r="C174" i="6" s="1"/>
  <c r="D172" i="6"/>
  <c r="C172" i="6" s="1"/>
  <c r="C1019" i="6"/>
  <c r="C225" i="6" l="1"/>
  <c r="AA424" i="6"/>
  <c r="D126" i="7"/>
  <c r="F126" i="7"/>
  <c r="Q848" i="5"/>
  <c r="C126" i="7"/>
  <c r="D56" i="7"/>
  <c r="F56" i="7"/>
  <c r="C56" i="7"/>
  <c r="D22" i="7"/>
  <c r="F22" i="7"/>
  <c r="C22" i="7"/>
  <c r="E414" i="6"/>
  <c r="F414" i="6"/>
  <c r="G414" i="6"/>
  <c r="H414" i="6"/>
  <c r="I414" i="6"/>
  <c r="J414" i="6"/>
  <c r="K414" i="6"/>
  <c r="L414" i="6"/>
  <c r="M414" i="6"/>
  <c r="N414" i="6"/>
  <c r="O414" i="6"/>
  <c r="P414" i="6"/>
  <c r="Q414" i="6"/>
  <c r="R414" i="6"/>
  <c r="S414" i="6"/>
  <c r="T414" i="6"/>
  <c r="U414" i="6"/>
  <c r="V414" i="6"/>
  <c r="W414" i="6"/>
  <c r="X414" i="6"/>
  <c r="Y414" i="6"/>
  <c r="Z414" i="6"/>
  <c r="AA414" i="6"/>
  <c r="D121" i="7"/>
  <c r="F121" i="7"/>
  <c r="H806" i="5"/>
  <c r="C121" i="7" s="1"/>
  <c r="D87" i="7"/>
  <c r="F87" i="7"/>
  <c r="C87" i="7"/>
  <c r="D53" i="7"/>
  <c r="C53" i="7"/>
  <c r="D18" i="7"/>
  <c r="F18" i="7"/>
  <c r="C18" i="7"/>
  <c r="AA445" i="6"/>
  <c r="E291" i="6"/>
  <c r="H291" i="6"/>
  <c r="J291" i="6"/>
  <c r="M291" i="6"/>
  <c r="N291" i="6"/>
  <c r="O291" i="6"/>
  <c r="P291" i="6"/>
  <c r="Q291" i="6"/>
  <c r="R291" i="6"/>
  <c r="S291" i="6"/>
  <c r="T291" i="6"/>
  <c r="U291" i="6"/>
  <c r="V291" i="6"/>
  <c r="W291" i="6"/>
  <c r="X291" i="6"/>
  <c r="Y291" i="6"/>
  <c r="Z291" i="6"/>
  <c r="AA291" i="6"/>
  <c r="D130" i="7"/>
  <c r="F130" i="7"/>
  <c r="Q897" i="5"/>
  <c r="H897" i="5"/>
  <c r="C130" i="7" s="1"/>
  <c r="D95" i="7"/>
  <c r="F95" i="7"/>
  <c r="H464" i="5"/>
  <c r="C95" i="7" s="1"/>
  <c r="D61" i="7"/>
  <c r="F61" i="7"/>
  <c r="C61" i="7"/>
  <c r="D27" i="7"/>
  <c r="F27" i="7"/>
  <c r="P103" i="5"/>
  <c r="Q103" i="5"/>
  <c r="C27" i="7"/>
  <c r="E110" i="6"/>
  <c r="F110" i="6"/>
  <c r="G110" i="6"/>
  <c r="H110" i="6"/>
  <c r="I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W110" i="6"/>
  <c r="X110" i="6"/>
  <c r="Y110" i="6"/>
  <c r="Z110" i="6"/>
  <c r="AA110" i="6"/>
  <c r="E458" i="6"/>
  <c r="F458" i="6"/>
  <c r="G458" i="6"/>
  <c r="H458" i="6"/>
  <c r="I458" i="6"/>
  <c r="J458" i="6"/>
  <c r="K458" i="6"/>
  <c r="L458" i="6"/>
  <c r="M458" i="6"/>
  <c r="N458" i="6"/>
  <c r="O458" i="6"/>
  <c r="P458" i="6"/>
  <c r="Q458" i="6"/>
  <c r="R458" i="6"/>
  <c r="S458" i="6"/>
  <c r="T458" i="6"/>
  <c r="U458" i="6"/>
  <c r="V458" i="6"/>
  <c r="W458" i="6"/>
  <c r="X458" i="6"/>
  <c r="Y458" i="6"/>
  <c r="Z458" i="6"/>
  <c r="AA458" i="6"/>
  <c r="D132" i="7"/>
  <c r="F132" i="7"/>
  <c r="H936" i="5"/>
  <c r="C132" i="7" s="1"/>
  <c r="I477" i="5"/>
  <c r="J477" i="5"/>
  <c r="K477" i="5"/>
  <c r="D97" i="7" s="1"/>
  <c r="L477" i="5"/>
  <c r="M477" i="5"/>
  <c r="N477" i="5"/>
  <c r="O477" i="5"/>
  <c r="P477" i="5"/>
  <c r="Q477" i="5"/>
  <c r="H477" i="5"/>
  <c r="C97" i="7" s="1"/>
  <c r="I117" i="5"/>
  <c r="J117" i="5"/>
  <c r="K117" i="5"/>
  <c r="D29" i="7" s="1"/>
  <c r="L117" i="5"/>
  <c r="M117" i="5"/>
  <c r="N117" i="5"/>
  <c r="O117" i="5"/>
  <c r="P117" i="5"/>
  <c r="Q117" i="5"/>
  <c r="H117" i="5"/>
  <c r="C29" i="7" s="1"/>
  <c r="E176" i="6"/>
  <c r="F176" i="6"/>
  <c r="G176" i="6"/>
  <c r="H176" i="6"/>
  <c r="I176" i="6"/>
  <c r="J176" i="6"/>
  <c r="K176" i="6"/>
  <c r="L176" i="6"/>
  <c r="M176" i="6"/>
  <c r="N176" i="6"/>
  <c r="O176" i="6"/>
  <c r="P176" i="6"/>
  <c r="Q176" i="6"/>
  <c r="R176" i="6"/>
  <c r="S176" i="6"/>
  <c r="T176" i="6"/>
  <c r="U176" i="6"/>
  <c r="V176" i="6"/>
  <c r="W176" i="6"/>
  <c r="X176" i="6"/>
  <c r="Y176" i="6"/>
  <c r="Z176" i="6"/>
  <c r="AA176" i="6"/>
  <c r="D144" i="7"/>
  <c r="C144" i="7"/>
  <c r="I161" i="5"/>
  <c r="J161" i="5"/>
  <c r="K161" i="5"/>
  <c r="D40" i="7" s="1"/>
  <c r="L161" i="5"/>
  <c r="M161" i="5"/>
  <c r="N161" i="5"/>
  <c r="O161" i="5"/>
  <c r="Q161" i="5"/>
  <c r="H161" i="5"/>
  <c r="C40" i="7" s="1"/>
  <c r="D432" i="6"/>
  <c r="E432" i="6"/>
  <c r="F432" i="6"/>
  <c r="G432" i="6"/>
  <c r="H432" i="6"/>
  <c r="I432" i="6"/>
  <c r="J432" i="6"/>
  <c r="K432" i="6"/>
  <c r="L432" i="6"/>
  <c r="M432" i="6"/>
  <c r="N432" i="6"/>
  <c r="O432" i="6"/>
  <c r="P432" i="6"/>
  <c r="Q432" i="6"/>
  <c r="R432" i="6"/>
  <c r="S432" i="6"/>
  <c r="T432" i="6"/>
  <c r="U432" i="6"/>
  <c r="V432" i="6"/>
  <c r="W432" i="6"/>
  <c r="X432" i="6"/>
  <c r="Y432" i="6"/>
  <c r="Z432" i="6"/>
  <c r="AA432" i="6"/>
  <c r="E269" i="6"/>
  <c r="F269" i="6"/>
  <c r="G269" i="6"/>
  <c r="H269" i="6"/>
  <c r="I269" i="6"/>
  <c r="J269" i="6"/>
  <c r="K269" i="6"/>
  <c r="L269" i="6"/>
  <c r="M269" i="6"/>
  <c r="N269" i="6"/>
  <c r="O269" i="6"/>
  <c r="P269" i="6"/>
  <c r="Q269" i="6"/>
  <c r="R269" i="6"/>
  <c r="S269" i="6"/>
  <c r="T269" i="6"/>
  <c r="U269" i="6"/>
  <c r="V269" i="6"/>
  <c r="W269" i="6"/>
  <c r="X269" i="6"/>
  <c r="Y269" i="6"/>
  <c r="Z269" i="6"/>
  <c r="AA269" i="6"/>
  <c r="E834" i="6"/>
  <c r="F834" i="6"/>
  <c r="G834" i="6"/>
  <c r="H834" i="6"/>
  <c r="I834" i="6"/>
  <c r="J834" i="6"/>
  <c r="K834" i="6"/>
  <c r="L834" i="6"/>
  <c r="M834" i="6"/>
  <c r="N834" i="6"/>
  <c r="O834" i="6"/>
  <c r="P834" i="6"/>
  <c r="Q834" i="6"/>
  <c r="R834" i="6"/>
  <c r="S834" i="6"/>
  <c r="T834" i="6"/>
  <c r="U834" i="6"/>
  <c r="V834" i="6"/>
  <c r="W834" i="6"/>
  <c r="X834" i="6"/>
  <c r="Y834" i="6"/>
  <c r="Z834" i="6"/>
  <c r="AA834" i="6"/>
  <c r="D127" i="7"/>
  <c r="C127" i="7"/>
  <c r="D92" i="7"/>
  <c r="C92" i="7"/>
  <c r="D57" i="7"/>
  <c r="F57" i="7"/>
  <c r="C57" i="7"/>
  <c r="D23" i="7"/>
  <c r="F23" i="7"/>
  <c r="P79" i="5"/>
  <c r="Q79" i="5"/>
  <c r="C23" i="7"/>
  <c r="D119" i="7"/>
  <c r="F119" i="7"/>
  <c r="E409" i="6"/>
  <c r="F409" i="6"/>
  <c r="G409" i="6"/>
  <c r="H409" i="6"/>
  <c r="I409" i="6"/>
  <c r="J409" i="6"/>
  <c r="K409" i="6"/>
  <c r="L409" i="6"/>
  <c r="M409" i="6"/>
  <c r="N409" i="6"/>
  <c r="O409" i="6"/>
  <c r="P409" i="6"/>
  <c r="Q409" i="6"/>
  <c r="R409" i="6"/>
  <c r="S409" i="6"/>
  <c r="T409" i="6"/>
  <c r="U409" i="6"/>
  <c r="V409" i="6"/>
  <c r="W409" i="6"/>
  <c r="X409" i="6"/>
  <c r="Y409" i="6"/>
  <c r="Z409" i="6"/>
  <c r="AA409" i="6"/>
  <c r="AA758" i="6"/>
  <c r="D85" i="7"/>
  <c r="C85" i="7"/>
  <c r="D51" i="7"/>
  <c r="F51" i="7"/>
  <c r="C51" i="7"/>
  <c r="D16" i="7"/>
  <c r="F16" i="7"/>
  <c r="C16" i="7"/>
  <c r="D146" i="7"/>
  <c r="F146" i="7"/>
  <c r="C146" i="7"/>
  <c r="D494" i="6"/>
  <c r="E494" i="6"/>
  <c r="F494" i="6"/>
  <c r="G494" i="6"/>
  <c r="H494" i="6"/>
  <c r="I494" i="6"/>
  <c r="J494" i="6"/>
  <c r="K494" i="6"/>
  <c r="L494" i="6"/>
  <c r="M494" i="6"/>
  <c r="N494" i="6"/>
  <c r="O494" i="6"/>
  <c r="P494" i="6"/>
  <c r="Q494" i="6"/>
  <c r="R494" i="6"/>
  <c r="S494" i="6"/>
  <c r="T494" i="6"/>
  <c r="U494" i="6"/>
  <c r="V494" i="6"/>
  <c r="W494" i="6"/>
  <c r="X494" i="6"/>
  <c r="Y494" i="6"/>
  <c r="Z494" i="6"/>
  <c r="AA494" i="6"/>
  <c r="D109" i="7"/>
  <c r="C109" i="7"/>
  <c r="D208" i="6"/>
  <c r="C210" i="6"/>
  <c r="D315" i="6"/>
  <c r="C315" i="6" s="1"/>
  <c r="D465" i="6"/>
  <c r="D314" i="6"/>
  <c r="C314" i="6" s="1"/>
  <c r="D313" i="6"/>
  <c r="D99" i="7"/>
  <c r="C99" i="7"/>
  <c r="D64" i="7"/>
  <c r="F64" i="7"/>
  <c r="C64" i="7"/>
  <c r="E343" i="6"/>
  <c r="F343" i="6"/>
  <c r="G343" i="6"/>
  <c r="H343" i="6"/>
  <c r="I343" i="6"/>
  <c r="J343" i="6"/>
  <c r="K343" i="6"/>
  <c r="L343" i="6"/>
  <c r="M343" i="6"/>
  <c r="N343" i="6"/>
  <c r="O343" i="6"/>
  <c r="P343" i="6"/>
  <c r="Q343" i="6"/>
  <c r="R343" i="6"/>
  <c r="S343" i="6"/>
  <c r="T343" i="6"/>
  <c r="U343" i="6"/>
  <c r="V343" i="6"/>
  <c r="W343" i="6"/>
  <c r="X343" i="6"/>
  <c r="Y343" i="6"/>
  <c r="Z343" i="6"/>
  <c r="AA343" i="6"/>
  <c r="D344" i="6"/>
  <c r="C344" i="6" s="1"/>
  <c r="I341" i="5"/>
  <c r="J341" i="5"/>
  <c r="K341" i="5"/>
  <c r="D69" i="7" s="1"/>
  <c r="L341" i="5"/>
  <c r="O341" i="5" s="1"/>
  <c r="M341" i="5"/>
  <c r="N341" i="5"/>
  <c r="P341" i="5"/>
  <c r="Q341" i="5"/>
  <c r="H341" i="5"/>
  <c r="D265" i="6"/>
  <c r="C265" i="6" s="1"/>
  <c r="AA366" i="6"/>
  <c r="C465" i="6" l="1"/>
  <c r="C464" i="6" s="1"/>
  <c r="D464" i="6"/>
  <c r="D312" i="6"/>
  <c r="C69" i="7"/>
  <c r="D110" i="6"/>
  <c r="C110" i="6" s="1"/>
  <c r="D176" i="6"/>
  <c r="C176" i="6" s="1"/>
  <c r="C208" i="6"/>
  <c r="D331" i="6"/>
  <c r="C313" i="6"/>
  <c r="C312" i="6" s="1"/>
  <c r="C343" i="6"/>
  <c r="F40" i="7"/>
  <c r="F29" i="7"/>
  <c r="F109" i="7"/>
  <c r="F69" i="7"/>
  <c r="F85" i="7"/>
  <c r="F92" i="7"/>
  <c r="F144" i="7"/>
  <c r="F127" i="7"/>
  <c r="F97" i="7"/>
  <c r="F99" i="7"/>
  <c r="F53" i="7"/>
  <c r="C119" i="7"/>
  <c r="D343" i="6"/>
  <c r="D1009" i="6"/>
  <c r="C1009" i="6" s="1"/>
  <c r="D963" i="6"/>
  <c r="C963" i="6" s="1"/>
  <c r="O988" i="5"/>
  <c r="D897" i="6"/>
  <c r="C897" i="6" s="1"/>
  <c r="D300" i="6"/>
  <c r="C300" i="6" s="1"/>
  <c r="E970" i="6"/>
  <c r="F970" i="6"/>
  <c r="G970" i="6"/>
  <c r="H970" i="6"/>
  <c r="I970" i="6"/>
  <c r="J970" i="6"/>
  <c r="K970" i="6"/>
  <c r="L970" i="6"/>
  <c r="M970" i="6"/>
  <c r="N970" i="6"/>
  <c r="O970" i="6"/>
  <c r="P970" i="6"/>
  <c r="Q970" i="6"/>
  <c r="R970" i="6"/>
  <c r="S970" i="6"/>
  <c r="T970" i="6"/>
  <c r="U970" i="6"/>
  <c r="V970" i="6"/>
  <c r="W970" i="6"/>
  <c r="X970" i="6"/>
  <c r="Y970" i="6"/>
  <c r="Z970" i="6"/>
  <c r="AA970" i="6"/>
  <c r="D137" i="7"/>
  <c r="P995" i="5"/>
  <c r="Q995" i="5"/>
  <c r="C137" i="7"/>
  <c r="D972" i="6"/>
  <c r="C972" i="6" s="1"/>
  <c r="C946" i="6"/>
  <c r="C945" i="6" s="1"/>
  <c r="AA945" i="6"/>
  <c r="Z945" i="6"/>
  <c r="Y945" i="6"/>
  <c r="X945" i="6"/>
  <c r="W945" i="6"/>
  <c r="T945" i="6"/>
  <c r="S945" i="6"/>
  <c r="R945" i="6"/>
  <c r="Q945" i="6"/>
  <c r="P945" i="6"/>
  <c r="O945" i="6"/>
  <c r="N945" i="6"/>
  <c r="M945" i="6"/>
  <c r="L945" i="6"/>
  <c r="K945" i="6"/>
  <c r="J945" i="6"/>
  <c r="I945" i="6"/>
  <c r="H945" i="6"/>
  <c r="G945" i="6"/>
  <c r="F945" i="6"/>
  <c r="E945" i="6"/>
  <c r="D945" i="6"/>
  <c r="O971" i="5"/>
  <c r="Q970" i="5"/>
  <c r="P970" i="5"/>
  <c r="N970" i="5"/>
  <c r="M970" i="5"/>
  <c r="L970" i="5"/>
  <c r="K970" i="5"/>
  <c r="D134" i="7" s="1"/>
  <c r="J970" i="5"/>
  <c r="I970" i="5"/>
  <c r="H970" i="5"/>
  <c r="C134" i="7" s="1"/>
  <c r="D903" i="6"/>
  <c r="C903" i="6" s="1"/>
  <c r="D131" i="7"/>
  <c r="F131" i="7"/>
  <c r="C131" i="7"/>
  <c r="D828" i="6"/>
  <c r="C828" i="6" s="1"/>
  <c r="D769" i="6"/>
  <c r="C769" i="6" s="1"/>
  <c r="D971" i="6"/>
  <c r="C971" i="6" s="1"/>
  <c r="D902" i="6"/>
  <c r="C902" i="6" s="1"/>
  <c r="E819" i="6"/>
  <c r="F819" i="6"/>
  <c r="G819" i="6"/>
  <c r="H819" i="6"/>
  <c r="I819" i="6"/>
  <c r="J819" i="6"/>
  <c r="K819" i="6"/>
  <c r="L819" i="6"/>
  <c r="M819" i="6"/>
  <c r="N819" i="6"/>
  <c r="O819" i="6"/>
  <c r="P819" i="6"/>
  <c r="Q819" i="6"/>
  <c r="R819" i="6"/>
  <c r="S819" i="6"/>
  <c r="T819" i="6"/>
  <c r="U819" i="6"/>
  <c r="V819" i="6"/>
  <c r="W819" i="6"/>
  <c r="X819" i="6"/>
  <c r="Y819" i="6"/>
  <c r="Z819" i="6"/>
  <c r="AA819" i="6"/>
  <c r="D822" i="6"/>
  <c r="C822" i="6" s="1"/>
  <c r="D1005" i="6"/>
  <c r="H1017" i="5"/>
  <c r="AA865" i="6"/>
  <c r="H890" i="5"/>
  <c r="D871" i="6"/>
  <c r="C871" i="6" s="1"/>
  <c r="D870" i="6"/>
  <c r="C870" i="6" s="1"/>
  <c r="D803" i="6"/>
  <c r="C803" i="6" s="1"/>
  <c r="D900" i="6"/>
  <c r="C900" i="6" s="1"/>
  <c r="D901" i="6"/>
  <c r="C901" i="6" s="1"/>
  <c r="D899" i="6"/>
  <c r="C899" i="6" s="1"/>
  <c r="O924" i="5"/>
  <c r="D896" i="6"/>
  <c r="C896" i="6" s="1"/>
  <c r="D895" i="6"/>
  <c r="C895" i="6" s="1"/>
  <c r="D894" i="6"/>
  <c r="C894" i="6" s="1"/>
  <c r="D893" i="6"/>
  <c r="C893" i="6" s="1"/>
  <c r="D892" i="6"/>
  <c r="C892" i="6" s="1"/>
  <c r="D891" i="6"/>
  <c r="C891" i="6" s="1"/>
  <c r="O921" i="5"/>
  <c r="O920" i="5"/>
  <c r="O919" i="5"/>
  <c r="P918" i="5"/>
  <c r="O918" i="5"/>
  <c r="P917" i="5"/>
  <c r="O917" i="5"/>
  <c r="O916" i="5"/>
  <c r="D833" i="6"/>
  <c r="C833" i="6" s="1"/>
  <c r="C331" i="6" l="1"/>
  <c r="C323" i="6" s="1"/>
  <c r="D323" i="6"/>
  <c r="C1005" i="6"/>
  <c r="C992" i="6" s="1"/>
  <c r="D992" i="6"/>
  <c r="O970" i="5"/>
  <c r="F134" i="7"/>
  <c r="F137" i="7"/>
  <c r="C970" i="6"/>
  <c r="D970" i="6"/>
  <c r="E977" i="6" l="1"/>
  <c r="F977" i="6"/>
  <c r="G977" i="6"/>
  <c r="H977" i="6"/>
  <c r="I977" i="6"/>
  <c r="J977" i="6"/>
  <c r="K977" i="6"/>
  <c r="L977" i="6"/>
  <c r="M977" i="6"/>
  <c r="N977" i="6"/>
  <c r="O977" i="6"/>
  <c r="P977" i="6"/>
  <c r="Q977" i="6"/>
  <c r="R977" i="6"/>
  <c r="S977" i="6"/>
  <c r="T977" i="6"/>
  <c r="U977" i="6"/>
  <c r="V977" i="6"/>
  <c r="W977" i="6"/>
  <c r="X977" i="6"/>
  <c r="Y977" i="6"/>
  <c r="Z977" i="6"/>
  <c r="AA977" i="6"/>
  <c r="D979" i="6"/>
  <c r="C979" i="6" s="1"/>
  <c r="D978" i="6"/>
  <c r="C978" i="6" s="1"/>
  <c r="E480" i="6"/>
  <c r="F480" i="6"/>
  <c r="G480" i="6"/>
  <c r="H480" i="6"/>
  <c r="I480" i="6"/>
  <c r="J480" i="6"/>
  <c r="K480" i="6"/>
  <c r="L480" i="6"/>
  <c r="M480" i="6"/>
  <c r="N480" i="6"/>
  <c r="O480" i="6"/>
  <c r="P480" i="6"/>
  <c r="Q480" i="6"/>
  <c r="R480" i="6"/>
  <c r="S480" i="6"/>
  <c r="T480" i="6"/>
  <c r="U480" i="6"/>
  <c r="V480" i="6"/>
  <c r="W480" i="6"/>
  <c r="X480" i="6"/>
  <c r="Y480" i="6"/>
  <c r="Z480" i="6"/>
  <c r="AA480" i="6"/>
  <c r="D481" i="6"/>
  <c r="C481" i="6" s="1"/>
  <c r="C480" i="6" s="1"/>
  <c r="E164" i="6"/>
  <c r="F164" i="6"/>
  <c r="G164" i="6"/>
  <c r="H164" i="6"/>
  <c r="I164" i="6"/>
  <c r="J164" i="6"/>
  <c r="K164" i="6"/>
  <c r="L164" i="6"/>
  <c r="M164" i="6"/>
  <c r="N164" i="6"/>
  <c r="O164" i="6"/>
  <c r="P164" i="6"/>
  <c r="Q164" i="6"/>
  <c r="R164" i="6"/>
  <c r="S164" i="6"/>
  <c r="T164" i="6"/>
  <c r="U164" i="6"/>
  <c r="V164" i="6"/>
  <c r="W164" i="6"/>
  <c r="X164" i="6"/>
  <c r="Y164" i="6"/>
  <c r="Z164" i="6"/>
  <c r="AA164" i="6"/>
  <c r="I497" i="5"/>
  <c r="J497" i="5"/>
  <c r="K497" i="5"/>
  <c r="L497" i="5"/>
  <c r="M497" i="5"/>
  <c r="N497" i="5"/>
  <c r="O497" i="5"/>
  <c r="P497" i="5"/>
  <c r="Q497" i="5"/>
  <c r="H497" i="5"/>
  <c r="I149" i="5"/>
  <c r="K149" i="5"/>
  <c r="D35" i="7" s="1"/>
  <c r="L149" i="5"/>
  <c r="M149" i="5"/>
  <c r="N149" i="5"/>
  <c r="O149" i="5"/>
  <c r="P149" i="5"/>
  <c r="Q149" i="5"/>
  <c r="H149" i="5"/>
  <c r="C35" i="7" s="1"/>
  <c r="D164" i="6" l="1"/>
  <c r="C164" i="6" s="1"/>
  <c r="F35" i="7"/>
  <c r="D977" i="6"/>
  <c r="C977" i="6"/>
  <c r="D480" i="6"/>
  <c r="D832" i="6" l="1"/>
  <c r="C832" i="6" s="1"/>
  <c r="D430" i="6"/>
  <c r="C430" i="6" s="1"/>
  <c r="D452" i="6" l="1"/>
  <c r="C452" i="6" s="1"/>
  <c r="E456" i="6"/>
  <c r="F456" i="6"/>
  <c r="G456" i="6"/>
  <c r="H456" i="6"/>
  <c r="I456" i="6"/>
  <c r="J456" i="6"/>
  <c r="K456" i="6"/>
  <c r="L456" i="6"/>
  <c r="M456" i="6"/>
  <c r="N456" i="6"/>
  <c r="O456" i="6"/>
  <c r="P456" i="6"/>
  <c r="Q456" i="6"/>
  <c r="R456" i="6"/>
  <c r="S456" i="6"/>
  <c r="T456" i="6"/>
  <c r="U456" i="6"/>
  <c r="V456" i="6"/>
  <c r="W456" i="6"/>
  <c r="X456" i="6"/>
  <c r="Y456" i="6"/>
  <c r="Z456" i="6"/>
  <c r="AA456" i="6"/>
  <c r="D457" i="6"/>
  <c r="C457" i="6" s="1"/>
  <c r="C456" i="6" s="1"/>
  <c r="D952" i="6"/>
  <c r="C952" i="6" s="1"/>
  <c r="D953" i="6"/>
  <c r="C953" i="6" s="1"/>
  <c r="K116" i="6"/>
  <c r="L116" i="6"/>
  <c r="M116" i="6"/>
  <c r="O116" i="6"/>
  <c r="P116" i="6"/>
  <c r="Q116" i="6"/>
  <c r="S116" i="6"/>
  <c r="U116" i="6"/>
  <c r="V116" i="6"/>
  <c r="W116" i="6"/>
  <c r="Y116" i="6"/>
  <c r="Z116" i="6"/>
  <c r="AA116" i="6"/>
  <c r="D456" i="6" l="1"/>
  <c r="D220" i="6"/>
  <c r="C220" i="6" s="1"/>
  <c r="D393" i="6"/>
  <c r="C393" i="6" s="1"/>
  <c r="D394" i="6"/>
  <c r="C394" i="6" s="1"/>
  <c r="D395" i="6"/>
  <c r="C395" i="6" s="1"/>
  <c r="D396" i="6"/>
  <c r="C396" i="6" s="1"/>
  <c r="D392" i="6"/>
  <c r="C392" i="6" s="1"/>
  <c r="D391" i="6"/>
  <c r="C391" i="6" l="1"/>
  <c r="C390" i="6" s="1"/>
  <c r="D390" i="6"/>
  <c r="D831" i="6"/>
  <c r="C831" i="6" s="1"/>
  <c r="D830" i="6"/>
  <c r="C830" i="6" s="1"/>
  <c r="D829" i="6"/>
  <c r="C829" i="6" s="1"/>
  <c r="O856" i="5"/>
  <c r="O855" i="5"/>
  <c r="P854" i="5"/>
  <c r="P848" i="5" s="1"/>
  <c r="O854" i="5"/>
  <c r="E661" i="6" l="1"/>
  <c r="F661" i="6"/>
  <c r="G661" i="6"/>
  <c r="H661" i="6"/>
  <c r="I661" i="6"/>
  <c r="J661" i="6"/>
  <c r="K661" i="6"/>
  <c r="L661" i="6"/>
  <c r="M661" i="6"/>
  <c r="N661" i="6"/>
  <c r="O661" i="6"/>
  <c r="P661" i="6"/>
  <c r="Q661" i="6"/>
  <c r="R661" i="6"/>
  <c r="S661" i="6"/>
  <c r="T661" i="6"/>
  <c r="U661" i="6"/>
  <c r="V661" i="6"/>
  <c r="W661" i="6"/>
  <c r="X661" i="6"/>
  <c r="Y661" i="6"/>
  <c r="Z661" i="6"/>
  <c r="AA661" i="6"/>
  <c r="D692" i="6"/>
  <c r="C692" i="6" s="1"/>
  <c r="D693" i="6"/>
  <c r="C693" i="6" s="1"/>
  <c r="D694" i="6"/>
  <c r="C694" i="6" s="1"/>
  <c r="D695" i="6"/>
  <c r="C695" i="6" s="1"/>
  <c r="D696" i="6"/>
  <c r="C696" i="6" s="1"/>
  <c r="D697" i="6"/>
  <c r="C697" i="6" s="1"/>
  <c r="D698" i="6"/>
  <c r="C698" i="6" s="1"/>
  <c r="D699" i="6"/>
  <c r="C699" i="6" s="1"/>
  <c r="D700" i="6"/>
  <c r="C700" i="6" s="1"/>
  <c r="D701" i="6"/>
  <c r="C701" i="6" s="1"/>
  <c r="D702" i="6"/>
  <c r="C702" i="6" s="1"/>
  <c r="AA384" i="6"/>
  <c r="D113" i="7"/>
  <c r="O687" i="5"/>
  <c r="O686" i="5" s="1"/>
  <c r="L185" i="6" l="1"/>
  <c r="L184" i="6" s="1"/>
  <c r="F185" i="6"/>
  <c r="L20" i="6"/>
  <c r="J659" i="5"/>
  <c r="J657" i="5"/>
  <c r="J639" i="5"/>
  <c r="J636" i="5"/>
  <c r="J631" i="5"/>
  <c r="J609" i="5"/>
  <c r="J608" i="5"/>
  <c r="J607" i="5"/>
  <c r="J606" i="5"/>
  <c r="J605" i="5"/>
  <c r="J604" i="5"/>
  <c r="J603" i="5"/>
  <c r="J602" i="5"/>
  <c r="J601" i="5"/>
  <c r="J600" i="5"/>
  <c r="J599" i="5"/>
  <c r="J598" i="5"/>
  <c r="J597" i="5"/>
  <c r="J596" i="5"/>
  <c r="J595" i="5"/>
  <c r="J594" i="5"/>
  <c r="J593" i="5"/>
  <c r="J592" i="5"/>
  <c r="J591" i="5"/>
  <c r="J590" i="5"/>
  <c r="J589" i="5"/>
  <c r="J588" i="5"/>
  <c r="J587" i="5"/>
  <c r="J586" i="5"/>
  <c r="J585" i="5"/>
  <c r="J584" i="5"/>
  <c r="J583" i="5"/>
  <c r="J582" i="5"/>
  <c r="J581" i="5"/>
  <c r="J580" i="5"/>
  <c r="J579" i="5"/>
  <c r="J578" i="5"/>
  <c r="J576" i="5"/>
  <c r="J575" i="5"/>
  <c r="J574" i="5"/>
  <c r="J573" i="5"/>
  <c r="J572" i="5"/>
  <c r="J571" i="5"/>
  <c r="J569" i="5"/>
  <c r="J568" i="5"/>
  <c r="J567" i="5"/>
  <c r="J566" i="5"/>
  <c r="J565" i="5"/>
  <c r="J564" i="5"/>
  <c r="J563" i="5"/>
  <c r="J562" i="5"/>
  <c r="J561" i="5"/>
  <c r="J560" i="5"/>
  <c r="J559" i="5"/>
  <c r="J558" i="5"/>
  <c r="J556" i="5"/>
  <c r="J555" i="5"/>
  <c r="J554" i="5"/>
  <c r="J553" i="5"/>
  <c r="J552" i="5"/>
  <c r="J551" i="5"/>
  <c r="J550" i="5"/>
  <c r="J549" i="5"/>
  <c r="J548" i="5"/>
  <c r="H548" i="5"/>
  <c r="J547" i="5"/>
  <c r="I547" i="5"/>
  <c r="I524" i="5" s="1"/>
  <c r="J546" i="5"/>
  <c r="J545" i="5"/>
  <c r="J543" i="5"/>
  <c r="J540" i="5"/>
  <c r="J539" i="5"/>
  <c r="H539" i="5"/>
  <c r="J536" i="5"/>
  <c r="J531" i="5"/>
  <c r="J202" i="5"/>
  <c r="J197" i="5" s="1"/>
  <c r="J26" i="5"/>
  <c r="I25" i="5"/>
  <c r="I17" i="5" s="1"/>
  <c r="J24" i="5"/>
  <c r="J22" i="5"/>
  <c r="J21" i="5"/>
  <c r="C885" i="6"/>
  <c r="E87" i="6"/>
  <c r="F87" i="6"/>
  <c r="G87" i="6"/>
  <c r="H87" i="6"/>
  <c r="I87" i="6"/>
  <c r="J87" i="6"/>
  <c r="K87" i="6"/>
  <c r="L87" i="6"/>
  <c r="M87" i="6"/>
  <c r="N87" i="6"/>
  <c r="O87" i="6"/>
  <c r="P87" i="6"/>
  <c r="Q87" i="6"/>
  <c r="R87" i="6"/>
  <c r="S87" i="6"/>
  <c r="T87" i="6"/>
  <c r="U87" i="6"/>
  <c r="V87" i="6"/>
  <c r="W87" i="6"/>
  <c r="X87" i="6"/>
  <c r="Y87" i="6"/>
  <c r="Z87" i="6"/>
  <c r="AA87" i="6"/>
  <c r="I94" i="5"/>
  <c r="J94" i="5"/>
  <c r="K94" i="5"/>
  <c r="D25" i="7" s="1"/>
  <c r="L94" i="5"/>
  <c r="M94" i="5"/>
  <c r="N94" i="5"/>
  <c r="O94" i="5"/>
  <c r="P94" i="5"/>
  <c r="Q94" i="5"/>
  <c r="H94" i="5"/>
  <c r="C25" i="7" s="1"/>
  <c r="D824" i="6"/>
  <c r="D825" i="6"/>
  <c r="C825" i="6" s="1"/>
  <c r="D827" i="6"/>
  <c r="C827" i="6" s="1"/>
  <c r="D826" i="6"/>
  <c r="C826" i="6" s="1"/>
  <c r="D263" i="6"/>
  <c r="C263" i="6" s="1"/>
  <c r="D482" i="6"/>
  <c r="E482" i="6"/>
  <c r="F482" i="6"/>
  <c r="G482" i="6"/>
  <c r="H482" i="6"/>
  <c r="I482" i="6"/>
  <c r="J482" i="6"/>
  <c r="K482" i="6"/>
  <c r="L482" i="6"/>
  <c r="M482" i="6"/>
  <c r="N482" i="6"/>
  <c r="O482" i="6"/>
  <c r="P482" i="6"/>
  <c r="Q482" i="6"/>
  <c r="R482" i="6"/>
  <c r="S482" i="6"/>
  <c r="T482" i="6"/>
  <c r="U482" i="6"/>
  <c r="V482" i="6"/>
  <c r="W482" i="6"/>
  <c r="X482" i="6"/>
  <c r="Y482" i="6"/>
  <c r="Z482" i="6"/>
  <c r="AA482" i="6"/>
  <c r="D345" i="6"/>
  <c r="E345" i="6"/>
  <c r="F345" i="6"/>
  <c r="G345" i="6"/>
  <c r="H345" i="6"/>
  <c r="I345" i="6"/>
  <c r="J345" i="6"/>
  <c r="K345" i="6"/>
  <c r="L345" i="6"/>
  <c r="M345" i="6"/>
  <c r="N345" i="6"/>
  <c r="O345" i="6"/>
  <c r="P345" i="6"/>
  <c r="Q345" i="6"/>
  <c r="R345" i="6"/>
  <c r="S345" i="6"/>
  <c r="T345" i="6"/>
  <c r="U345" i="6"/>
  <c r="V345" i="6"/>
  <c r="W345" i="6"/>
  <c r="X345" i="6"/>
  <c r="Y345" i="6"/>
  <c r="Z345" i="6"/>
  <c r="AA345" i="6"/>
  <c r="J17" i="5" l="1"/>
  <c r="D185" i="6"/>
  <c r="D184" i="6" s="1"/>
  <c r="F184" i="6"/>
  <c r="D87" i="6"/>
  <c r="C87" i="6" s="1"/>
  <c r="L10" i="6"/>
  <c r="C20" i="6"/>
  <c r="D823" i="6"/>
  <c r="F25" i="7"/>
  <c r="C824" i="6"/>
  <c r="C823" i="6" s="1"/>
  <c r="I499" i="5"/>
  <c r="J499" i="5"/>
  <c r="K499" i="5"/>
  <c r="L499" i="5"/>
  <c r="M499" i="5"/>
  <c r="N499" i="5"/>
  <c r="O499" i="5"/>
  <c r="P499" i="5"/>
  <c r="Q499" i="5"/>
  <c r="H499" i="5"/>
  <c r="I343" i="5"/>
  <c r="J343" i="5"/>
  <c r="K343" i="5"/>
  <c r="L343" i="5"/>
  <c r="O343" i="5" s="1"/>
  <c r="M343" i="5"/>
  <c r="N343" i="5"/>
  <c r="P343" i="5"/>
  <c r="Q343" i="5"/>
  <c r="H343" i="5"/>
  <c r="H196" i="5" s="1"/>
  <c r="H194" i="5" s="1"/>
  <c r="E1010" i="6"/>
  <c r="F1010" i="6"/>
  <c r="G1010" i="6"/>
  <c r="H1010" i="6"/>
  <c r="I1010" i="6"/>
  <c r="J1010" i="6"/>
  <c r="K1010" i="6"/>
  <c r="L1010" i="6"/>
  <c r="M1010" i="6"/>
  <c r="N1010" i="6"/>
  <c r="O1010" i="6"/>
  <c r="P1010" i="6"/>
  <c r="Q1010" i="6"/>
  <c r="R1010" i="6"/>
  <c r="S1010" i="6"/>
  <c r="T1010" i="6"/>
  <c r="U1010" i="6"/>
  <c r="V1010" i="6"/>
  <c r="W1010" i="6"/>
  <c r="X1010" i="6"/>
  <c r="Y1010" i="6"/>
  <c r="Z1010" i="6"/>
  <c r="AA1010" i="6"/>
  <c r="D1012" i="6"/>
  <c r="C1012" i="6" s="1"/>
  <c r="D1013" i="6"/>
  <c r="C1013" i="6" s="1"/>
  <c r="D1014" i="6"/>
  <c r="C1014" i="6" s="1"/>
  <c r="D1015" i="6"/>
  <c r="C1015" i="6" s="1"/>
  <c r="D1016" i="6"/>
  <c r="C1016" i="6" s="1"/>
  <c r="D1017" i="6"/>
  <c r="C1017" i="6" s="1"/>
  <c r="E358" i="6"/>
  <c r="F358" i="6"/>
  <c r="G358" i="6"/>
  <c r="H358" i="6"/>
  <c r="I358" i="6"/>
  <c r="J358" i="6"/>
  <c r="K358" i="6"/>
  <c r="L358" i="6"/>
  <c r="M358" i="6"/>
  <c r="N358" i="6"/>
  <c r="O358" i="6"/>
  <c r="P358" i="6"/>
  <c r="Q358" i="6"/>
  <c r="R358" i="6"/>
  <c r="S358" i="6"/>
  <c r="T358" i="6"/>
  <c r="U358" i="6"/>
  <c r="V358" i="6"/>
  <c r="W358" i="6"/>
  <c r="X358" i="6"/>
  <c r="Y358" i="6"/>
  <c r="Z358" i="6"/>
  <c r="AA358" i="6"/>
  <c r="D362" i="6"/>
  <c r="C362" i="6" s="1"/>
  <c r="H1035" i="5"/>
  <c r="C185" i="6" l="1"/>
  <c r="D260" i="6"/>
  <c r="D293" i="6"/>
  <c r="C293" i="6" s="1"/>
  <c r="D294" i="6"/>
  <c r="C294" i="6" s="1"/>
  <c r="D296" i="6"/>
  <c r="C296" i="6" s="1"/>
  <c r="D297" i="6"/>
  <c r="C297" i="6" s="1"/>
  <c r="D292" i="6"/>
  <c r="O908" i="5"/>
  <c r="O907" i="5"/>
  <c r="J470" i="5"/>
  <c r="J469" i="5"/>
  <c r="J468" i="5"/>
  <c r="J467" i="5"/>
  <c r="J466" i="5"/>
  <c r="J465" i="5"/>
  <c r="J110" i="5"/>
  <c r="J109" i="5"/>
  <c r="J108" i="5"/>
  <c r="J107" i="5"/>
  <c r="J106" i="5"/>
  <c r="J105" i="5"/>
  <c r="I104" i="5"/>
  <c r="I103" i="5" s="1"/>
  <c r="D797" i="6"/>
  <c r="C797" i="6" s="1"/>
  <c r="D798" i="6"/>
  <c r="C798" i="6" s="1"/>
  <c r="D799" i="6"/>
  <c r="C799" i="6" s="1"/>
  <c r="D800" i="6"/>
  <c r="C800" i="6" s="1"/>
  <c r="J464" i="5" l="1"/>
  <c r="C260" i="6"/>
  <c r="C292" i="6"/>
  <c r="J104" i="5"/>
  <c r="J103" i="5" s="1"/>
  <c r="D416" i="6"/>
  <c r="C416" i="6" s="1"/>
  <c r="D816" i="6"/>
  <c r="C816" i="6" s="1"/>
  <c r="E422" i="6"/>
  <c r="F422" i="6"/>
  <c r="G422" i="6"/>
  <c r="H422" i="6"/>
  <c r="I422" i="6"/>
  <c r="J422" i="6"/>
  <c r="K422" i="6"/>
  <c r="L422" i="6"/>
  <c r="M422" i="6"/>
  <c r="N422" i="6"/>
  <c r="O422" i="6"/>
  <c r="P422" i="6"/>
  <c r="Q422" i="6"/>
  <c r="R422" i="6"/>
  <c r="S422" i="6"/>
  <c r="T422" i="6"/>
  <c r="U422" i="6"/>
  <c r="V422" i="6"/>
  <c r="W422" i="6"/>
  <c r="X422" i="6"/>
  <c r="Y422" i="6"/>
  <c r="Z422" i="6"/>
  <c r="AA422" i="6"/>
  <c r="E257" i="6"/>
  <c r="F257" i="6"/>
  <c r="G257" i="6"/>
  <c r="H257" i="6"/>
  <c r="I257" i="6"/>
  <c r="J257" i="6"/>
  <c r="K257" i="6"/>
  <c r="L257" i="6"/>
  <c r="M257" i="6"/>
  <c r="N257" i="6"/>
  <c r="O257" i="6"/>
  <c r="P257" i="6"/>
  <c r="Q257" i="6"/>
  <c r="R257" i="6"/>
  <c r="S257" i="6"/>
  <c r="T257" i="6"/>
  <c r="U257" i="6"/>
  <c r="V257" i="6"/>
  <c r="W257" i="6"/>
  <c r="X257" i="6"/>
  <c r="Y257" i="6"/>
  <c r="Z257" i="6"/>
  <c r="AA257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I441" i="5"/>
  <c r="J441" i="5"/>
  <c r="K441" i="5"/>
  <c r="L441" i="5"/>
  <c r="M441" i="5"/>
  <c r="N441" i="5"/>
  <c r="P441" i="5"/>
  <c r="Q441" i="5"/>
  <c r="H441" i="5"/>
  <c r="I270" i="5"/>
  <c r="J270" i="5"/>
  <c r="K270" i="5"/>
  <c r="L270" i="5"/>
  <c r="M270" i="5"/>
  <c r="N270" i="5"/>
  <c r="O270" i="5"/>
  <c r="P270" i="5"/>
  <c r="Q270" i="5"/>
  <c r="I65" i="5"/>
  <c r="J65" i="5"/>
  <c r="K65" i="5"/>
  <c r="L65" i="5"/>
  <c r="M65" i="5"/>
  <c r="N65" i="5"/>
  <c r="O65" i="5"/>
  <c r="P65" i="5"/>
  <c r="Q65" i="5"/>
  <c r="H65" i="5"/>
  <c r="D806" i="6"/>
  <c r="C806" i="6" s="1"/>
  <c r="D418" i="6"/>
  <c r="E418" i="6"/>
  <c r="F418" i="6"/>
  <c r="G418" i="6"/>
  <c r="H418" i="6"/>
  <c r="I418" i="6"/>
  <c r="J418" i="6"/>
  <c r="K418" i="6"/>
  <c r="L418" i="6"/>
  <c r="M418" i="6"/>
  <c r="N418" i="6"/>
  <c r="O418" i="6"/>
  <c r="P418" i="6"/>
  <c r="Q418" i="6"/>
  <c r="R418" i="6"/>
  <c r="S418" i="6"/>
  <c r="T418" i="6"/>
  <c r="U418" i="6"/>
  <c r="V418" i="6"/>
  <c r="W418" i="6"/>
  <c r="X418" i="6"/>
  <c r="Y418" i="6"/>
  <c r="Z418" i="6"/>
  <c r="AA418" i="6"/>
  <c r="I437" i="5"/>
  <c r="J437" i="5"/>
  <c r="K437" i="5"/>
  <c r="L437" i="5"/>
  <c r="M437" i="5"/>
  <c r="N437" i="5"/>
  <c r="O437" i="5"/>
  <c r="P437" i="5"/>
  <c r="Q437" i="5"/>
  <c r="H437" i="5"/>
  <c r="E318" i="6"/>
  <c r="F318" i="6"/>
  <c r="G318" i="6"/>
  <c r="H318" i="6"/>
  <c r="I318" i="6"/>
  <c r="J318" i="6"/>
  <c r="K318" i="6"/>
  <c r="L318" i="6"/>
  <c r="M318" i="6"/>
  <c r="N318" i="6"/>
  <c r="O318" i="6"/>
  <c r="P318" i="6"/>
  <c r="Q318" i="6"/>
  <c r="R318" i="6"/>
  <c r="S318" i="6"/>
  <c r="T318" i="6"/>
  <c r="U318" i="6"/>
  <c r="V318" i="6"/>
  <c r="W318" i="6"/>
  <c r="X318" i="6"/>
  <c r="Y318" i="6"/>
  <c r="Z318" i="6"/>
  <c r="AA318" i="6"/>
  <c r="D319" i="6"/>
  <c r="C319" i="6" s="1"/>
  <c r="I331" i="5"/>
  <c r="J331" i="5"/>
  <c r="K331" i="5"/>
  <c r="D65" i="7" s="1"/>
  <c r="L331" i="5"/>
  <c r="O331" i="5" s="1"/>
  <c r="M331" i="5"/>
  <c r="N331" i="5"/>
  <c r="P331" i="5"/>
  <c r="Q331" i="5"/>
  <c r="C65" i="7"/>
  <c r="D285" i="6"/>
  <c r="C285" i="6" s="1"/>
  <c r="AA440" i="6"/>
  <c r="D444" i="6"/>
  <c r="C444" i="6" s="1"/>
  <c r="D867" i="6"/>
  <c r="C867" i="6" s="1"/>
  <c r="D868" i="6"/>
  <c r="C868" i="6" s="1"/>
  <c r="D869" i="6"/>
  <c r="D746" i="6"/>
  <c r="C746" i="6" s="1"/>
  <c r="D745" i="6"/>
  <c r="C745" i="6" s="1"/>
  <c r="D744" i="6"/>
  <c r="C744" i="6" s="1"/>
  <c r="D737" i="6"/>
  <c r="C737" i="6" s="1"/>
  <c r="D738" i="6"/>
  <c r="C738" i="6" s="1"/>
  <c r="D739" i="6"/>
  <c r="C739" i="6" s="1"/>
  <c r="D740" i="6"/>
  <c r="C740" i="6" s="1"/>
  <c r="D741" i="6"/>
  <c r="C741" i="6" s="1"/>
  <c r="D742" i="6"/>
  <c r="C742" i="6" s="1"/>
  <c r="D743" i="6"/>
  <c r="C743" i="6" s="1"/>
  <c r="E402" i="6"/>
  <c r="F402" i="6"/>
  <c r="G402" i="6"/>
  <c r="H402" i="6"/>
  <c r="I402" i="6"/>
  <c r="J402" i="6"/>
  <c r="K402" i="6"/>
  <c r="L402" i="6"/>
  <c r="M402" i="6"/>
  <c r="N402" i="6"/>
  <c r="O402" i="6"/>
  <c r="P402" i="6"/>
  <c r="Q402" i="6"/>
  <c r="R402" i="6"/>
  <c r="S402" i="6"/>
  <c r="T402" i="6"/>
  <c r="U402" i="6"/>
  <c r="V402" i="6"/>
  <c r="W402" i="6"/>
  <c r="X402" i="6"/>
  <c r="Y402" i="6"/>
  <c r="Z402" i="6"/>
  <c r="AA402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I67" i="5"/>
  <c r="J67" i="5"/>
  <c r="K67" i="5"/>
  <c r="D21" i="7" s="1"/>
  <c r="L67" i="5"/>
  <c r="M67" i="5"/>
  <c r="N67" i="5"/>
  <c r="O67" i="5"/>
  <c r="P67" i="5"/>
  <c r="Q67" i="5"/>
  <c r="H67" i="5"/>
  <c r="C21" i="7" s="1"/>
  <c r="D906" i="6"/>
  <c r="C906" i="6" s="1"/>
  <c r="D907" i="6"/>
  <c r="C907" i="6" s="1"/>
  <c r="D908" i="6"/>
  <c r="C908" i="6" s="1"/>
  <c r="D909" i="6"/>
  <c r="C909" i="6" s="1"/>
  <c r="D910" i="6"/>
  <c r="C910" i="6" s="1"/>
  <c r="D905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W108" i="6"/>
  <c r="X108" i="6"/>
  <c r="Y108" i="6"/>
  <c r="Z108" i="6"/>
  <c r="AA108" i="6"/>
  <c r="D60" i="6" l="1"/>
  <c r="C60" i="6" s="1"/>
  <c r="D58" i="6"/>
  <c r="C58" i="6" s="1"/>
  <c r="D108" i="6"/>
  <c r="C108" i="6" s="1"/>
  <c r="C905" i="6"/>
  <c r="C904" i="6" s="1"/>
  <c r="D904" i="6"/>
  <c r="C318" i="6"/>
  <c r="F21" i="7"/>
  <c r="F65" i="7"/>
  <c r="D318" i="6"/>
  <c r="C869" i="6"/>
  <c r="I115" i="5" l="1"/>
  <c r="J115" i="5"/>
  <c r="K115" i="5"/>
  <c r="L115" i="5"/>
  <c r="M115" i="5"/>
  <c r="N115" i="5"/>
  <c r="O115" i="5"/>
  <c r="P115" i="5"/>
  <c r="Q115" i="5"/>
  <c r="D425" i="6"/>
  <c r="C425" i="6" l="1"/>
  <c r="D916" i="6"/>
  <c r="C916" i="6" s="1"/>
  <c r="D917" i="6"/>
  <c r="C917" i="6" s="1"/>
  <c r="D918" i="6"/>
  <c r="C918" i="6" s="1"/>
  <c r="H774" i="5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I46" i="5"/>
  <c r="J46" i="5"/>
  <c r="K46" i="5"/>
  <c r="L46" i="5"/>
  <c r="M46" i="5"/>
  <c r="N46" i="5"/>
  <c r="O46" i="5"/>
  <c r="P46" i="5"/>
  <c r="Q46" i="5"/>
  <c r="H46" i="5"/>
  <c r="AA837" i="6"/>
  <c r="D849" i="6"/>
  <c r="C849" i="6" s="1"/>
  <c r="D850" i="6"/>
  <c r="C850" i="6" s="1"/>
  <c r="D851" i="6"/>
  <c r="C851" i="6" s="1"/>
  <c r="D852" i="6"/>
  <c r="C852" i="6" s="1"/>
  <c r="D853" i="6"/>
  <c r="C853" i="6" s="1"/>
  <c r="D854" i="6"/>
  <c r="C854" i="6" s="1"/>
  <c r="D855" i="6"/>
  <c r="C855" i="6" s="1"/>
  <c r="D856" i="6"/>
  <c r="C856" i="6" s="1"/>
  <c r="D857" i="6"/>
  <c r="C857" i="6" s="1"/>
  <c r="D858" i="6"/>
  <c r="C858" i="6" s="1"/>
  <c r="D859" i="6"/>
  <c r="C859" i="6" s="1"/>
  <c r="D860" i="6"/>
  <c r="C860" i="6" s="1"/>
  <c r="D861" i="6"/>
  <c r="C861" i="6" s="1"/>
  <c r="D862" i="6"/>
  <c r="C862" i="6" s="1"/>
  <c r="D863" i="6"/>
  <c r="C863" i="6" s="1"/>
  <c r="D864" i="6"/>
  <c r="C864" i="6" s="1"/>
  <c r="AA435" i="6"/>
  <c r="E274" i="6"/>
  <c r="F274" i="6"/>
  <c r="G274" i="6"/>
  <c r="H274" i="6"/>
  <c r="I274" i="6"/>
  <c r="J274" i="6"/>
  <c r="K274" i="6"/>
  <c r="L274" i="6"/>
  <c r="M274" i="6"/>
  <c r="N274" i="6"/>
  <c r="O274" i="6"/>
  <c r="P274" i="6"/>
  <c r="Q274" i="6"/>
  <c r="R274" i="6"/>
  <c r="S274" i="6"/>
  <c r="T274" i="6"/>
  <c r="U274" i="6"/>
  <c r="V274" i="6"/>
  <c r="W274" i="6"/>
  <c r="X274" i="6"/>
  <c r="Y274" i="6"/>
  <c r="Z274" i="6"/>
  <c r="AA274" i="6"/>
  <c r="H862" i="5"/>
  <c r="O888" i="5"/>
  <c r="O862" i="5" s="1"/>
  <c r="D39" i="6" l="1"/>
  <c r="C39" i="6" s="1"/>
  <c r="D462" i="6"/>
  <c r="C462" i="6" s="1"/>
  <c r="D463" i="6"/>
  <c r="C463" i="6" s="1"/>
  <c r="D461" i="6"/>
  <c r="C461" i="6" s="1"/>
  <c r="E460" i="6"/>
  <c r="F460" i="6"/>
  <c r="G460" i="6"/>
  <c r="H460" i="6"/>
  <c r="I460" i="6"/>
  <c r="J460" i="6"/>
  <c r="K460" i="6"/>
  <c r="L460" i="6"/>
  <c r="M460" i="6"/>
  <c r="N460" i="6"/>
  <c r="O460" i="6"/>
  <c r="P460" i="6"/>
  <c r="Q460" i="6"/>
  <c r="R460" i="6"/>
  <c r="S460" i="6"/>
  <c r="T460" i="6"/>
  <c r="U460" i="6"/>
  <c r="V460" i="6"/>
  <c r="W460" i="6"/>
  <c r="X460" i="6"/>
  <c r="Y460" i="6"/>
  <c r="Z460" i="6"/>
  <c r="AA460" i="6"/>
  <c r="D930" i="6" l="1"/>
  <c r="C930" i="6" s="1"/>
  <c r="D931" i="6"/>
  <c r="C931" i="6" s="1"/>
  <c r="D932" i="6"/>
  <c r="C932" i="6" s="1"/>
  <c r="D933" i="6"/>
  <c r="C933" i="6" s="1"/>
  <c r="D934" i="6"/>
  <c r="C934" i="6" s="1"/>
  <c r="D935" i="6"/>
  <c r="C935" i="6" s="1"/>
  <c r="D936" i="6"/>
  <c r="C936" i="6" s="1"/>
  <c r="D937" i="6"/>
  <c r="C937" i="6" s="1"/>
  <c r="E486" i="6"/>
  <c r="F486" i="6"/>
  <c r="G486" i="6"/>
  <c r="H486" i="6"/>
  <c r="I486" i="6"/>
  <c r="J486" i="6"/>
  <c r="K486" i="6"/>
  <c r="L486" i="6"/>
  <c r="M486" i="6"/>
  <c r="N486" i="6"/>
  <c r="O486" i="6"/>
  <c r="P486" i="6"/>
  <c r="Q486" i="6"/>
  <c r="R486" i="6"/>
  <c r="S486" i="6"/>
  <c r="T486" i="6"/>
  <c r="U486" i="6"/>
  <c r="V486" i="6"/>
  <c r="W486" i="6"/>
  <c r="X486" i="6"/>
  <c r="Y486" i="6"/>
  <c r="Z486" i="6"/>
  <c r="AA486" i="6"/>
  <c r="E352" i="6"/>
  <c r="F352" i="6"/>
  <c r="G352" i="6"/>
  <c r="H352" i="6"/>
  <c r="I352" i="6"/>
  <c r="J352" i="6"/>
  <c r="K352" i="6"/>
  <c r="L352" i="6"/>
  <c r="M352" i="6"/>
  <c r="N352" i="6"/>
  <c r="O352" i="6"/>
  <c r="P352" i="6"/>
  <c r="Q352" i="6"/>
  <c r="R352" i="6"/>
  <c r="S352" i="6"/>
  <c r="T352" i="6"/>
  <c r="U352" i="6"/>
  <c r="V352" i="6"/>
  <c r="W352" i="6"/>
  <c r="X352" i="6"/>
  <c r="Y352" i="6"/>
  <c r="Z352" i="6"/>
  <c r="AA352" i="6"/>
  <c r="D1008" i="6" l="1"/>
  <c r="C1008" i="6" s="1"/>
  <c r="P961" i="5" l="1"/>
  <c r="D63" i="7"/>
  <c r="F63" i="7"/>
  <c r="C63" i="7"/>
  <c r="E747" i="6"/>
  <c r="F747" i="6"/>
  <c r="G747" i="6"/>
  <c r="H747" i="6"/>
  <c r="I747" i="6"/>
  <c r="J747" i="6"/>
  <c r="K747" i="6"/>
  <c r="L747" i="6"/>
  <c r="M747" i="6"/>
  <c r="N747" i="6"/>
  <c r="O747" i="6"/>
  <c r="P747" i="6"/>
  <c r="Q747" i="6"/>
  <c r="R747" i="6"/>
  <c r="S747" i="6"/>
  <c r="T747" i="6"/>
  <c r="U747" i="6"/>
  <c r="V747" i="6"/>
  <c r="W747" i="6"/>
  <c r="X747" i="6"/>
  <c r="Y747" i="6"/>
  <c r="Z747" i="6"/>
  <c r="AA747" i="6"/>
  <c r="E235" i="6"/>
  <c r="F235" i="6"/>
  <c r="G235" i="6"/>
  <c r="H235" i="6"/>
  <c r="I235" i="6"/>
  <c r="J235" i="6"/>
  <c r="K235" i="6"/>
  <c r="L235" i="6"/>
  <c r="M235" i="6"/>
  <c r="N235" i="6"/>
  <c r="O235" i="6"/>
  <c r="P235" i="6"/>
  <c r="Q235" i="6"/>
  <c r="R235" i="6"/>
  <c r="S235" i="6"/>
  <c r="T235" i="6"/>
  <c r="U235" i="6"/>
  <c r="V235" i="6"/>
  <c r="W235" i="6"/>
  <c r="X235" i="6"/>
  <c r="Y235" i="6"/>
  <c r="Z235" i="6"/>
  <c r="AA235" i="6"/>
  <c r="D237" i="6"/>
  <c r="C237" i="6" s="1"/>
  <c r="D236" i="6"/>
  <c r="C236" i="6" s="1"/>
  <c r="I772" i="5"/>
  <c r="J772" i="5"/>
  <c r="K772" i="5"/>
  <c r="L772" i="5"/>
  <c r="M772" i="5"/>
  <c r="N772" i="5"/>
  <c r="P772" i="5"/>
  <c r="Q772" i="5"/>
  <c r="H772" i="5"/>
  <c r="D49" i="7"/>
  <c r="F49" i="7"/>
  <c r="C49" i="7"/>
  <c r="O250" i="5"/>
  <c r="O249" i="5"/>
  <c r="D14" i="7"/>
  <c r="D975" i="6"/>
  <c r="C975" i="6" s="1"/>
  <c r="D976" i="6"/>
  <c r="C976" i="6" s="1"/>
  <c r="E973" i="6"/>
  <c r="F973" i="6"/>
  <c r="G973" i="6"/>
  <c r="H973" i="6"/>
  <c r="I973" i="6"/>
  <c r="J973" i="6"/>
  <c r="K973" i="6"/>
  <c r="L973" i="6"/>
  <c r="M973" i="6"/>
  <c r="N973" i="6"/>
  <c r="O973" i="6"/>
  <c r="P973" i="6"/>
  <c r="Q973" i="6"/>
  <c r="R973" i="6"/>
  <c r="S973" i="6"/>
  <c r="T973" i="6"/>
  <c r="U973" i="6"/>
  <c r="V973" i="6"/>
  <c r="W973" i="6"/>
  <c r="X973" i="6"/>
  <c r="Y973" i="6"/>
  <c r="Z973" i="6"/>
  <c r="AA973" i="6"/>
  <c r="D761" i="6"/>
  <c r="C761" i="6" s="1"/>
  <c r="D762" i="6"/>
  <c r="C762" i="6" s="1"/>
  <c r="D763" i="6"/>
  <c r="C763" i="6" s="1"/>
  <c r="D764" i="6"/>
  <c r="C764" i="6" s="1"/>
  <c r="D765" i="6"/>
  <c r="C765" i="6" s="1"/>
  <c r="D766" i="6"/>
  <c r="C766" i="6" s="1"/>
  <c r="D767" i="6"/>
  <c r="C767" i="6" s="1"/>
  <c r="D768" i="6"/>
  <c r="C768" i="6" s="1"/>
  <c r="D453" i="6"/>
  <c r="C453" i="6" s="1"/>
  <c r="D442" i="6"/>
  <c r="C442" i="6" s="1"/>
  <c r="D443" i="6"/>
  <c r="C443" i="6" s="1"/>
  <c r="D441" i="6"/>
  <c r="D94" i="7"/>
  <c r="F94" i="7"/>
  <c r="C94" i="7"/>
  <c r="E721" i="6"/>
  <c r="F721" i="6"/>
  <c r="G721" i="6"/>
  <c r="H721" i="6"/>
  <c r="I721" i="6"/>
  <c r="J721" i="6"/>
  <c r="K721" i="6"/>
  <c r="L721" i="6"/>
  <c r="M721" i="6"/>
  <c r="N721" i="6"/>
  <c r="O721" i="6"/>
  <c r="P721" i="6"/>
  <c r="Q721" i="6"/>
  <c r="R721" i="6"/>
  <c r="S721" i="6"/>
  <c r="T721" i="6"/>
  <c r="U721" i="6"/>
  <c r="V721" i="6"/>
  <c r="W721" i="6"/>
  <c r="X721" i="6"/>
  <c r="Y721" i="6"/>
  <c r="Z721" i="6"/>
  <c r="AA721" i="6"/>
  <c r="Z732" i="6"/>
  <c r="H746" i="5"/>
  <c r="I170" i="5"/>
  <c r="J170" i="5"/>
  <c r="K170" i="5"/>
  <c r="M170" i="5"/>
  <c r="N170" i="5"/>
  <c r="O170" i="5"/>
  <c r="P170" i="5"/>
  <c r="Q170" i="5"/>
  <c r="O248" i="5" l="1"/>
  <c r="L170" i="5"/>
  <c r="D440" i="6"/>
  <c r="C14" i="7"/>
  <c r="F14" i="7"/>
  <c r="C441" i="6"/>
  <c r="C440" i="6" s="1"/>
  <c r="C235" i="6"/>
  <c r="D235" i="6"/>
  <c r="D772" i="6"/>
  <c r="C772" i="6" s="1"/>
  <c r="D773" i="6"/>
  <c r="C773" i="6" s="1"/>
  <c r="D774" i="6"/>
  <c r="C774" i="6" s="1"/>
  <c r="D775" i="6"/>
  <c r="C775" i="6" s="1"/>
  <c r="D776" i="6"/>
  <c r="C776" i="6" s="1"/>
  <c r="D777" i="6"/>
  <c r="C777" i="6" s="1"/>
  <c r="D778" i="6"/>
  <c r="C778" i="6" s="1"/>
  <c r="D779" i="6"/>
  <c r="C779" i="6" s="1"/>
  <c r="D780" i="6"/>
  <c r="C780" i="6" s="1"/>
  <c r="AA770" i="6"/>
  <c r="D771" i="6"/>
  <c r="E412" i="6"/>
  <c r="F412" i="6"/>
  <c r="G412" i="6"/>
  <c r="H412" i="6"/>
  <c r="I412" i="6"/>
  <c r="J412" i="6"/>
  <c r="K412" i="6"/>
  <c r="L412" i="6"/>
  <c r="M412" i="6"/>
  <c r="N412" i="6"/>
  <c r="O412" i="6"/>
  <c r="P412" i="6"/>
  <c r="Q412" i="6"/>
  <c r="R412" i="6"/>
  <c r="S412" i="6"/>
  <c r="T412" i="6"/>
  <c r="U412" i="6"/>
  <c r="V412" i="6"/>
  <c r="W412" i="6"/>
  <c r="X412" i="6"/>
  <c r="Y412" i="6"/>
  <c r="Z412" i="6"/>
  <c r="AA412" i="6"/>
  <c r="D248" i="6"/>
  <c r="P798" i="5"/>
  <c r="P799" i="5"/>
  <c r="P800" i="5"/>
  <c r="P801" i="5"/>
  <c r="P802" i="5"/>
  <c r="H795" i="5"/>
  <c r="C248" i="6" l="1"/>
  <c r="C771" i="6"/>
  <c r="C770" i="6" s="1"/>
  <c r="D770" i="6"/>
  <c r="P797" i="5" l="1"/>
  <c r="P796" i="5"/>
  <c r="I431" i="5"/>
  <c r="J431" i="5"/>
  <c r="K431" i="5"/>
  <c r="L431" i="5"/>
  <c r="M431" i="5"/>
  <c r="N431" i="5"/>
  <c r="P431" i="5"/>
  <c r="Q431" i="5"/>
  <c r="H431" i="5"/>
  <c r="P53" i="5"/>
  <c r="Q53" i="5"/>
  <c r="D960" i="6"/>
  <c r="C960" i="6" s="1"/>
  <c r="D961" i="6"/>
  <c r="C961" i="6" s="1"/>
  <c r="D962" i="6"/>
  <c r="C962" i="6" s="1"/>
  <c r="D964" i="6"/>
  <c r="C964" i="6" s="1"/>
  <c r="D965" i="6"/>
  <c r="C965" i="6" s="1"/>
  <c r="D957" i="6"/>
  <c r="O994" i="5"/>
  <c r="O993" i="5"/>
  <c r="O992" i="5"/>
  <c r="O991" i="5"/>
  <c r="O990" i="5"/>
  <c r="O989" i="5"/>
  <c r="P985" i="5"/>
  <c r="P987" i="5"/>
  <c r="O985" i="5"/>
  <c r="O986" i="5"/>
  <c r="O987" i="5"/>
  <c r="O491" i="5"/>
  <c r="O492" i="5"/>
  <c r="O493" i="5"/>
  <c r="O494" i="5"/>
  <c r="C957" i="6" l="1"/>
  <c r="E484" i="6"/>
  <c r="F484" i="6"/>
  <c r="G484" i="6"/>
  <c r="H484" i="6"/>
  <c r="I484" i="6"/>
  <c r="J484" i="6"/>
  <c r="K484" i="6"/>
  <c r="L484" i="6"/>
  <c r="M484" i="6"/>
  <c r="N484" i="6"/>
  <c r="O484" i="6"/>
  <c r="P484" i="6"/>
  <c r="Q484" i="6"/>
  <c r="R484" i="6"/>
  <c r="S484" i="6"/>
  <c r="T484" i="6"/>
  <c r="U484" i="6"/>
  <c r="V484" i="6"/>
  <c r="W484" i="6"/>
  <c r="X484" i="6"/>
  <c r="Y484" i="6"/>
  <c r="Z484" i="6"/>
  <c r="AA484" i="6"/>
  <c r="I523" i="5"/>
  <c r="I521" i="5" s="1"/>
  <c r="D142" i="7"/>
  <c r="C142" i="7"/>
  <c r="I501" i="5"/>
  <c r="J501" i="5"/>
  <c r="K501" i="5"/>
  <c r="D106" i="7" s="1"/>
  <c r="L501" i="5"/>
  <c r="M501" i="5"/>
  <c r="N501" i="5"/>
  <c r="O501" i="5"/>
  <c r="P501" i="5"/>
  <c r="Q501" i="5"/>
  <c r="H501" i="5"/>
  <c r="C106" i="7" s="1"/>
  <c r="I156" i="5"/>
  <c r="J156" i="5"/>
  <c r="K156" i="5"/>
  <c r="D38" i="7" s="1"/>
  <c r="L156" i="5"/>
  <c r="M156" i="5"/>
  <c r="N156" i="5"/>
  <c r="O156" i="5"/>
  <c r="P156" i="5"/>
  <c r="Q156" i="5"/>
  <c r="H156" i="5"/>
  <c r="C1020" i="6"/>
  <c r="D1023" i="6"/>
  <c r="C1023" i="6" s="1"/>
  <c r="D1022" i="6"/>
  <c r="C496" i="6"/>
  <c r="E808" i="6"/>
  <c r="F808" i="6"/>
  <c r="G808" i="6"/>
  <c r="H808" i="6"/>
  <c r="I808" i="6"/>
  <c r="J808" i="6"/>
  <c r="K808" i="6"/>
  <c r="L808" i="6"/>
  <c r="M808" i="6"/>
  <c r="N808" i="6"/>
  <c r="O808" i="6"/>
  <c r="P808" i="6"/>
  <c r="Q808" i="6"/>
  <c r="R808" i="6"/>
  <c r="S808" i="6"/>
  <c r="T808" i="6"/>
  <c r="U808" i="6"/>
  <c r="U498" i="6" s="1"/>
  <c r="V808" i="6"/>
  <c r="V498" i="6" s="1"/>
  <c r="W808" i="6"/>
  <c r="X808" i="6"/>
  <c r="Y808" i="6"/>
  <c r="Z808" i="6"/>
  <c r="AA808" i="6"/>
  <c r="E478" i="6"/>
  <c r="F478" i="6"/>
  <c r="G478" i="6"/>
  <c r="H478" i="6"/>
  <c r="I478" i="6"/>
  <c r="J478" i="6"/>
  <c r="K478" i="6"/>
  <c r="L478" i="6"/>
  <c r="M478" i="6"/>
  <c r="N478" i="6"/>
  <c r="O478" i="6"/>
  <c r="P478" i="6"/>
  <c r="Q478" i="6"/>
  <c r="R478" i="6"/>
  <c r="S478" i="6"/>
  <c r="T478" i="6"/>
  <c r="U478" i="6"/>
  <c r="V478" i="6"/>
  <c r="W478" i="6"/>
  <c r="X478" i="6"/>
  <c r="Y478" i="6"/>
  <c r="Z478" i="6"/>
  <c r="AA478" i="6"/>
  <c r="E420" i="6"/>
  <c r="F420" i="6"/>
  <c r="G420" i="6"/>
  <c r="H420" i="6"/>
  <c r="I420" i="6"/>
  <c r="J420" i="6"/>
  <c r="K420" i="6"/>
  <c r="L420" i="6"/>
  <c r="M420" i="6"/>
  <c r="N420" i="6"/>
  <c r="O420" i="6"/>
  <c r="P420" i="6"/>
  <c r="Q420" i="6"/>
  <c r="R420" i="6"/>
  <c r="S420" i="6"/>
  <c r="T420" i="6"/>
  <c r="U420" i="6"/>
  <c r="V420" i="6"/>
  <c r="W420" i="6"/>
  <c r="X420" i="6"/>
  <c r="Y420" i="6"/>
  <c r="Z420" i="6"/>
  <c r="AA420" i="6"/>
  <c r="E255" i="6"/>
  <c r="F255" i="6"/>
  <c r="G255" i="6"/>
  <c r="H255" i="6"/>
  <c r="I255" i="6"/>
  <c r="J255" i="6"/>
  <c r="K255" i="6"/>
  <c r="L255" i="6"/>
  <c r="M255" i="6"/>
  <c r="N255" i="6"/>
  <c r="O255" i="6"/>
  <c r="P255" i="6"/>
  <c r="Q255" i="6"/>
  <c r="R255" i="6"/>
  <c r="S255" i="6"/>
  <c r="T255" i="6"/>
  <c r="U255" i="6"/>
  <c r="V255" i="6"/>
  <c r="W255" i="6"/>
  <c r="X255" i="6"/>
  <c r="Y255" i="6"/>
  <c r="Z255" i="6"/>
  <c r="AA255" i="6"/>
  <c r="E169" i="6"/>
  <c r="F169" i="6"/>
  <c r="G169" i="6"/>
  <c r="H169" i="6"/>
  <c r="I169" i="6"/>
  <c r="J169" i="6"/>
  <c r="K169" i="6"/>
  <c r="L169" i="6"/>
  <c r="M169" i="6"/>
  <c r="N169" i="6"/>
  <c r="O169" i="6"/>
  <c r="P169" i="6"/>
  <c r="Q169" i="6"/>
  <c r="R169" i="6"/>
  <c r="S169" i="6"/>
  <c r="T169" i="6"/>
  <c r="U169" i="6"/>
  <c r="U9" i="6" s="1"/>
  <c r="V169" i="6"/>
  <c r="V9" i="6" s="1"/>
  <c r="W169" i="6"/>
  <c r="X169" i="6"/>
  <c r="Y169" i="6"/>
  <c r="Z169" i="6"/>
  <c r="AA169" i="6"/>
  <c r="D143" i="7"/>
  <c r="F143" i="7"/>
  <c r="C143" i="7"/>
  <c r="D138" i="7"/>
  <c r="F138" i="7"/>
  <c r="C138" i="7"/>
  <c r="D129" i="7"/>
  <c r="F129" i="7"/>
  <c r="C129" i="7"/>
  <c r="D123" i="7"/>
  <c r="F123" i="7"/>
  <c r="C123" i="7"/>
  <c r="D72" i="7"/>
  <c r="C72" i="7"/>
  <c r="D73" i="7"/>
  <c r="F73" i="7"/>
  <c r="C73" i="7"/>
  <c r="D60" i="7"/>
  <c r="F60" i="7"/>
  <c r="C60" i="7"/>
  <c r="I268" i="5"/>
  <c r="J268" i="5"/>
  <c r="K268" i="5"/>
  <c r="D54" i="7" s="1"/>
  <c r="L268" i="5"/>
  <c r="L196" i="5" s="1"/>
  <c r="M268" i="5"/>
  <c r="N268" i="5"/>
  <c r="O268" i="5"/>
  <c r="P268" i="5"/>
  <c r="Q268" i="5"/>
  <c r="D39" i="7"/>
  <c r="H158" i="5"/>
  <c r="C39" i="7" s="1"/>
  <c r="D34" i="7"/>
  <c r="F34" i="7"/>
  <c r="C34" i="7"/>
  <c r="D26" i="7"/>
  <c r="F26" i="7"/>
  <c r="C26" i="7"/>
  <c r="I503" i="5"/>
  <c r="J503" i="5"/>
  <c r="K503" i="5"/>
  <c r="D107" i="7" s="1"/>
  <c r="L503" i="5"/>
  <c r="M503" i="5"/>
  <c r="N503" i="5"/>
  <c r="P503" i="5"/>
  <c r="Q503" i="5"/>
  <c r="H503" i="5"/>
  <c r="C107" i="7" s="1"/>
  <c r="I495" i="5"/>
  <c r="J495" i="5"/>
  <c r="K495" i="5"/>
  <c r="D103" i="7" s="1"/>
  <c r="L495" i="5"/>
  <c r="M495" i="5"/>
  <c r="N495" i="5"/>
  <c r="O495" i="5"/>
  <c r="P495" i="5"/>
  <c r="Q495" i="5"/>
  <c r="H495" i="5"/>
  <c r="C103" i="7" s="1"/>
  <c r="I439" i="5"/>
  <c r="J439" i="5"/>
  <c r="K439" i="5"/>
  <c r="D89" i="7" s="1"/>
  <c r="L439" i="5"/>
  <c r="M439" i="5"/>
  <c r="N439" i="5"/>
  <c r="O439" i="5"/>
  <c r="P439" i="5"/>
  <c r="Q439" i="5"/>
  <c r="H439" i="5"/>
  <c r="C89" i="7" s="1"/>
  <c r="D309" i="6"/>
  <c r="C309" i="6" s="1"/>
  <c r="H112" i="6"/>
  <c r="K112" i="6"/>
  <c r="L112" i="6"/>
  <c r="M112" i="6"/>
  <c r="O112" i="6"/>
  <c r="P112" i="6"/>
  <c r="Q112" i="6"/>
  <c r="S112" i="6"/>
  <c r="AA112" i="6"/>
  <c r="D133" i="7"/>
  <c r="C133" i="7"/>
  <c r="H1005" i="5"/>
  <c r="D98" i="7"/>
  <c r="F98" i="7"/>
  <c r="C98" i="7"/>
  <c r="D30" i="7"/>
  <c r="F30" i="7"/>
  <c r="C30" i="7"/>
  <c r="D169" i="6" l="1"/>
  <c r="C169" i="6" s="1"/>
  <c r="J196" i="5"/>
  <c r="J194" i="5" s="1"/>
  <c r="U183" i="6"/>
  <c r="V183" i="6"/>
  <c r="I196" i="5"/>
  <c r="I194" i="5" s="1"/>
  <c r="K196" i="5"/>
  <c r="K194" i="5" s="1"/>
  <c r="D1018" i="6"/>
  <c r="F54" i="7"/>
  <c r="C38" i="7"/>
  <c r="F107" i="7"/>
  <c r="F39" i="7"/>
  <c r="F103" i="7"/>
  <c r="F142" i="7"/>
  <c r="F89" i="7"/>
  <c r="F106" i="7"/>
  <c r="F72" i="7"/>
  <c r="C54" i="7"/>
  <c r="F38" i="7"/>
  <c r="U365" i="6"/>
  <c r="V365" i="6"/>
  <c r="F78" i="7"/>
  <c r="C78" i="7"/>
  <c r="D78" i="7"/>
  <c r="C1022" i="6"/>
  <c r="D866" i="6"/>
  <c r="D865" i="6" s="1"/>
  <c r="D283" i="6"/>
  <c r="C866" i="6" l="1"/>
  <c r="C865" i="6" s="1"/>
  <c r="C283" i="6"/>
  <c r="D120" i="7"/>
  <c r="F120" i="7"/>
  <c r="C120" i="7"/>
  <c r="D86" i="7"/>
  <c r="F86" i="7"/>
  <c r="C86" i="7"/>
  <c r="D52" i="7"/>
  <c r="F52" i="7"/>
  <c r="C52" i="7"/>
  <c r="D17" i="7"/>
  <c r="F17" i="7"/>
  <c r="C17" i="7"/>
  <c r="D125" i="7"/>
  <c r="F125" i="7"/>
  <c r="C125" i="7"/>
  <c r="D141" i="7"/>
  <c r="F141" i="7"/>
  <c r="C141" i="7"/>
  <c r="I154" i="5"/>
  <c r="I16" i="5" s="1"/>
  <c r="J154" i="5"/>
  <c r="J16" i="5" s="1"/>
  <c r="K154" i="5"/>
  <c r="L154" i="5"/>
  <c r="L16" i="5" s="1"/>
  <c r="M154" i="5"/>
  <c r="M16" i="5" s="1"/>
  <c r="N154" i="5"/>
  <c r="N16" i="5" s="1"/>
  <c r="O154" i="5"/>
  <c r="P154" i="5"/>
  <c r="Q154" i="5"/>
  <c r="Q16" i="5" s="1"/>
  <c r="H154" i="5"/>
  <c r="H16" i="5" s="1"/>
  <c r="H14" i="5" s="1"/>
  <c r="D37" i="7" l="1"/>
  <c r="K16" i="5"/>
  <c r="C37" i="7"/>
  <c r="F37" i="7"/>
  <c r="E397" i="6"/>
  <c r="F397" i="6"/>
  <c r="G397" i="6"/>
  <c r="H397" i="6"/>
  <c r="I397" i="6"/>
  <c r="J397" i="6"/>
  <c r="K397" i="6"/>
  <c r="L397" i="6"/>
  <c r="M397" i="6"/>
  <c r="N397" i="6"/>
  <c r="O397" i="6"/>
  <c r="P397" i="6"/>
  <c r="Q397" i="6"/>
  <c r="R397" i="6"/>
  <c r="S397" i="6"/>
  <c r="T397" i="6"/>
  <c r="W397" i="6"/>
  <c r="X397" i="6"/>
  <c r="Y397" i="6"/>
  <c r="Z397" i="6"/>
  <c r="AA397" i="6"/>
  <c r="D398" i="6"/>
  <c r="D399" i="6"/>
  <c r="C399" i="6" s="1"/>
  <c r="D400" i="6"/>
  <c r="C400" i="6" s="1"/>
  <c r="F80" i="7" l="1"/>
  <c r="D80" i="7"/>
  <c r="C80" i="7"/>
  <c r="C398" i="6"/>
  <c r="E732" i="6" l="1"/>
  <c r="F732" i="6"/>
  <c r="G732" i="6"/>
  <c r="H732" i="6"/>
  <c r="I732" i="6"/>
  <c r="J732" i="6"/>
  <c r="K732" i="6"/>
  <c r="L732" i="6"/>
  <c r="M732" i="6"/>
  <c r="N732" i="6"/>
  <c r="O732" i="6"/>
  <c r="P732" i="6"/>
  <c r="Q732" i="6"/>
  <c r="R732" i="6"/>
  <c r="S732" i="6"/>
  <c r="T732" i="6"/>
  <c r="W732" i="6"/>
  <c r="X732" i="6"/>
  <c r="Y732" i="6"/>
  <c r="Y498" i="6" s="1"/>
  <c r="AA732" i="6"/>
  <c r="H757" i="5" l="1"/>
  <c r="H416" i="5" l="1"/>
  <c r="D387" i="6" l="1"/>
  <c r="C387" i="6" s="1"/>
  <c r="D386" i="6"/>
  <c r="D385" i="6"/>
  <c r="E470" i="6"/>
  <c r="F470" i="6"/>
  <c r="G470" i="6"/>
  <c r="H470" i="6"/>
  <c r="I470" i="6"/>
  <c r="J470" i="6"/>
  <c r="K470" i="6"/>
  <c r="L470" i="6"/>
  <c r="M470" i="6"/>
  <c r="N470" i="6"/>
  <c r="O470" i="6"/>
  <c r="P470" i="6"/>
  <c r="Q470" i="6"/>
  <c r="R470" i="6"/>
  <c r="S470" i="6"/>
  <c r="T470" i="6"/>
  <c r="W470" i="6"/>
  <c r="X470" i="6"/>
  <c r="Y470" i="6"/>
  <c r="Z470" i="6"/>
  <c r="AA470" i="6"/>
  <c r="I518" i="5"/>
  <c r="J518" i="5"/>
  <c r="K518" i="5"/>
  <c r="M518" i="5"/>
  <c r="N518" i="5"/>
  <c r="O518" i="5"/>
  <c r="P518" i="5"/>
  <c r="Q518" i="5"/>
  <c r="H518" i="5"/>
  <c r="L519" i="5"/>
  <c r="L518" i="5" l="1"/>
  <c r="C386" i="6"/>
  <c r="C385" i="6"/>
  <c r="E404" i="6"/>
  <c r="F404" i="6"/>
  <c r="G404" i="6"/>
  <c r="H404" i="6"/>
  <c r="I404" i="6"/>
  <c r="J404" i="6"/>
  <c r="K404" i="6"/>
  <c r="L404" i="6"/>
  <c r="M404" i="6"/>
  <c r="N404" i="6"/>
  <c r="O404" i="6"/>
  <c r="P404" i="6"/>
  <c r="Q404" i="6"/>
  <c r="R404" i="6"/>
  <c r="S404" i="6"/>
  <c r="T404" i="6"/>
  <c r="W404" i="6"/>
  <c r="X404" i="6"/>
  <c r="Y404" i="6"/>
  <c r="Z404" i="6"/>
  <c r="AA404" i="6"/>
  <c r="D405" i="6"/>
  <c r="C405" i="6" s="1"/>
  <c r="C404" i="6" s="1"/>
  <c r="I423" i="5"/>
  <c r="J423" i="5"/>
  <c r="K423" i="5"/>
  <c r="L423" i="5"/>
  <c r="M423" i="5"/>
  <c r="N423" i="5"/>
  <c r="O423" i="5"/>
  <c r="P423" i="5"/>
  <c r="Q423" i="5"/>
  <c r="H423" i="5"/>
  <c r="C83" i="7" s="1"/>
  <c r="D83" i="7" l="1"/>
  <c r="F83" i="7"/>
  <c r="D404" i="6"/>
  <c r="D493" i="6"/>
  <c r="O507" i="5"/>
  <c r="O510" i="5"/>
  <c r="D485" i="6"/>
  <c r="O442" i="5"/>
  <c r="O441" i="5" l="1"/>
  <c r="C493" i="6"/>
  <c r="C485" i="6"/>
  <c r="D939" i="6"/>
  <c r="C939" i="6" s="1"/>
  <c r="D938" i="6"/>
  <c r="C938" i="6" s="1"/>
  <c r="D929" i="6"/>
  <c r="C929" i="6" s="1"/>
  <c r="D928" i="6"/>
  <c r="C928" i="6" s="1"/>
  <c r="D927" i="6"/>
  <c r="C927" i="6" s="1"/>
  <c r="D926" i="6"/>
  <c r="C926" i="6" s="1"/>
  <c r="D925" i="6"/>
  <c r="C925" i="6" s="1"/>
  <c r="D924" i="6"/>
  <c r="C924" i="6" s="1"/>
  <c r="D923" i="6"/>
  <c r="C923" i="6" s="1"/>
  <c r="D922" i="6"/>
  <c r="C922" i="6" s="1"/>
  <c r="D921" i="6"/>
  <c r="D836" i="6"/>
  <c r="C836" i="6" s="1"/>
  <c r="D835" i="6"/>
  <c r="D736" i="6"/>
  <c r="C736" i="6" s="1"/>
  <c r="D735" i="6"/>
  <c r="C735" i="6" s="1"/>
  <c r="D734" i="6"/>
  <c r="C734" i="6" s="1"/>
  <c r="D733" i="6"/>
  <c r="D460" i="6"/>
  <c r="D450" i="6"/>
  <c r="C450" i="6" s="1"/>
  <c r="D449" i="6"/>
  <c r="C449" i="6" s="1"/>
  <c r="D448" i="6"/>
  <c r="C448" i="6" s="1"/>
  <c r="D447" i="6"/>
  <c r="C447" i="6" s="1"/>
  <c r="D446" i="6"/>
  <c r="D451" i="6"/>
  <c r="C451" i="6" s="1"/>
  <c r="C434" i="6"/>
  <c r="C433" i="6"/>
  <c r="C426" i="6"/>
  <c r="D411" i="6"/>
  <c r="C411" i="6" s="1"/>
  <c r="D410" i="6"/>
  <c r="D403" i="6"/>
  <c r="D306" i="6"/>
  <c r="C306" i="6" s="1"/>
  <c r="D305" i="6"/>
  <c r="D284" i="6"/>
  <c r="D282" i="6" s="1"/>
  <c r="D280" i="6" s="1"/>
  <c r="D234" i="6"/>
  <c r="C234" i="6" s="1"/>
  <c r="D233" i="6"/>
  <c r="C233" i="6" s="1"/>
  <c r="P949" i="5"/>
  <c r="P948" i="5"/>
  <c r="P947" i="5"/>
  <c r="O761" i="5"/>
  <c r="O760" i="5"/>
  <c r="O759" i="5"/>
  <c r="O758" i="5"/>
  <c r="O469" i="5"/>
  <c r="O468" i="5"/>
  <c r="O467" i="5"/>
  <c r="O466" i="5"/>
  <c r="O465" i="5"/>
  <c r="O470" i="5"/>
  <c r="O445" i="5"/>
  <c r="O443" i="5" s="1"/>
  <c r="O247" i="5"/>
  <c r="O246" i="5"/>
  <c r="O120" i="5"/>
  <c r="O119" i="5" s="1"/>
  <c r="O757" i="5" l="1"/>
  <c r="P945" i="5"/>
  <c r="O245" i="5"/>
  <c r="C446" i="6"/>
  <c r="D834" i="6"/>
  <c r="C432" i="6"/>
  <c r="C410" i="6"/>
  <c r="C409" i="6" s="1"/>
  <c r="D409" i="6"/>
  <c r="C403" i="6"/>
  <c r="C402" i="6" s="1"/>
  <c r="D402" i="6"/>
  <c r="C284" i="6"/>
  <c r="C282" i="6" s="1"/>
  <c r="C460" i="6"/>
  <c r="C921" i="6"/>
  <c r="C305" i="6"/>
  <c r="C733" i="6"/>
  <c r="C732" i="6" s="1"/>
  <c r="D732" i="6"/>
  <c r="C835" i="6"/>
  <c r="C834" i="6" s="1"/>
  <c r="O730" i="5" l="1"/>
  <c r="O731" i="5"/>
  <c r="O732" i="5"/>
  <c r="O733" i="5"/>
  <c r="O734" i="5"/>
  <c r="O735" i="5"/>
  <c r="O736" i="5"/>
  <c r="O737" i="5"/>
  <c r="O729" i="5"/>
  <c r="E472" i="6"/>
  <c r="F472" i="6"/>
  <c r="G472" i="6"/>
  <c r="H472" i="6"/>
  <c r="I472" i="6"/>
  <c r="J472" i="6"/>
  <c r="K472" i="6"/>
  <c r="L472" i="6"/>
  <c r="M472" i="6"/>
  <c r="N472" i="6"/>
  <c r="O472" i="6"/>
  <c r="P472" i="6"/>
  <c r="Q472" i="6"/>
  <c r="R472" i="6"/>
  <c r="S472" i="6"/>
  <c r="T472" i="6"/>
  <c r="W472" i="6"/>
  <c r="X472" i="6"/>
  <c r="Y472" i="6"/>
  <c r="Z472" i="6"/>
  <c r="AA472" i="6"/>
  <c r="D477" i="6"/>
  <c r="C477" i="6" s="1"/>
  <c r="O490" i="5"/>
  <c r="O489" i="5" s="1"/>
  <c r="O728" i="5" l="1"/>
  <c r="D974" i="6"/>
  <c r="D973" i="6" s="1"/>
  <c r="D209" i="6"/>
  <c r="D212" i="6"/>
  <c r="C212" i="6" s="1"/>
  <c r="D213" i="6"/>
  <c r="C213" i="6" s="1"/>
  <c r="D214" i="6"/>
  <c r="C214" i="6" s="1"/>
  <c r="C44" i="7" l="1"/>
  <c r="D44" i="7"/>
  <c r="F44" i="7"/>
  <c r="C974" i="6"/>
  <c r="C973" i="6" s="1"/>
  <c r="C209" i="6"/>
  <c r="D299" i="6"/>
  <c r="D967" i="6"/>
  <c r="C967" i="6" s="1"/>
  <c r="D968" i="6"/>
  <c r="D969" i="6"/>
  <c r="C969" i="6" s="1"/>
  <c r="D966" i="6"/>
  <c r="E467" i="6"/>
  <c r="F467" i="6"/>
  <c r="G467" i="6"/>
  <c r="H467" i="6"/>
  <c r="I467" i="6"/>
  <c r="J467" i="6"/>
  <c r="K467" i="6"/>
  <c r="L467" i="6"/>
  <c r="M467" i="6"/>
  <c r="N467" i="6"/>
  <c r="O467" i="6"/>
  <c r="P467" i="6"/>
  <c r="Q467" i="6"/>
  <c r="R467" i="6"/>
  <c r="S467" i="6"/>
  <c r="T467" i="6"/>
  <c r="W467" i="6"/>
  <c r="X467" i="6"/>
  <c r="Y467" i="6"/>
  <c r="Z467" i="6"/>
  <c r="AA467" i="6"/>
  <c r="D429" i="6"/>
  <c r="D424" i="6" s="1"/>
  <c r="I517" i="5"/>
  <c r="J517" i="5"/>
  <c r="K517" i="5"/>
  <c r="F101" i="7"/>
  <c r="M517" i="5"/>
  <c r="N517" i="5"/>
  <c r="O517" i="5"/>
  <c r="P517" i="5"/>
  <c r="Q517" i="5"/>
  <c r="C101" i="7"/>
  <c r="D471" i="6"/>
  <c r="D470" i="6" s="1"/>
  <c r="Y183" i="6"/>
  <c r="I365" i="5"/>
  <c r="J365" i="5"/>
  <c r="K365" i="5"/>
  <c r="L365" i="5"/>
  <c r="L194" i="5" s="1"/>
  <c r="M365" i="5"/>
  <c r="N365" i="5"/>
  <c r="O365" i="5"/>
  <c r="H365" i="5"/>
  <c r="C966" i="6" l="1"/>
  <c r="D956" i="6"/>
  <c r="C429" i="6"/>
  <c r="Y365" i="6"/>
  <c r="L295" i="6"/>
  <c r="L291" i="6" s="1"/>
  <c r="F295" i="6"/>
  <c r="F291" i="6" s="1"/>
  <c r="K295" i="6"/>
  <c r="K291" i="6" s="1"/>
  <c r="I295" i="6"/>
  <c r="I291" i="6" s="1"/>
  <c r="G295" i="6"/>
  <c r="G291" i="6" s="1"/>
  <c r="C968" i="6"/>
  <c r="C299" i="6"/>
  <c r="C67" i="7"/>
  <c r="D101" i="7"/>
  <c r="F67" i="7"/>
  <c r="H517" i="5"/>
  <c r="L517" i="5"/>
  <c r="D67" i="7"/>
  <c r="C471" i="6"/>
  <c r="C470" i="6" s="1"/>
  <c r="C956" i="6" l="1"/>
  <c r="D295" i="6"/>
  <c r="C295" i="6" l="1"/>
  <c r="D32" i="7"/>
  <c r="F32" i="7"/>
  <c r="C32" i="7"/>
  <c r="D20" i="7" l="1"/>
  <c r="F20" i="7"/>
  <c r="C20" i="7"/>
  <c r="D90" i="7"/>
  <c r="F90" i="7"/>
  <c r="C90" i="7"/>
  <c r="E980" i="6"/>
  <c r="F980" i="6"/>
  <c r="G980" i="6"/>
  <c r="H980" i="6"/>
  <c r="I980" i="6"/>
  <c r="J980" i="6"/>
  <c r="K980" i="6"/>
  <c r="L980" i="6"/>
  <c r="M980" i="6"/>
  <c r="N980" i="6"/>
  <c r="O980" i="6"/>
  <c r="P980" i="6"/>
  <c r="Q980" i="6"/>
  <c r="R980" i="6"/>
  <c r="S980" i="6"/>
  <c r="T980" i="6"/>
  <c r="W980" i="6"/>
  <c r="X980" i="6"/>
  <c r="Z980" i="6"/>
  <c r="AA980" i="6"/>
  <c r="E812" i="6"/>
  <c r="F812" i="6"/>
  <c r="G812" i="6"/>
  <c r="H812" i="6"/>
  <c r="I812" i="6"/>
  <c r="J812" i="6"/>
  <c r="K812" i="6"/>
  <c r="L812" i="6"/>
  <c r="M812" i="6"/>
  <c r="N812" i="6"/>
  <c r="O812" i="6"/>
  <c r="P812" i="6"/>
  <c r="Q812" i="6"/>
  <c r="R812" i="6"/>
  <c r="S812" i="6"/>
  <c r="T812" i="6"/>
  <c r="W812" i="6"/>
  <c r="X812" i="6"/>
  <c r="Z812" i="6"/>
  <c r="AA812" i="6"/>
  <c r="E166" i="6"/>
  <c r="F166" i="6"/>
  <c r="G166" i="6"/>
  <c r="H166" i="6"/>
  <c r="I166" i="6"/>
  <c r="J166" i="6"/>
  <c r="K166" i="6"/>
  <c r="L166" i="6"/>
  <c r="M166" i="6"/>
  <c r="N166" i="6"/>
  <c r="O166" i="6"/>
  <c r="P166" i="6"/>
  <c r="Q166" i="6"/>
  <c r="R166" i="6"/>
  <c r="S166" i="6"/>
  <c r="T166" i="6"/>
  <c r="W166" i="6"/>
  <c r="X166" i="6"/>
  <c r="Z166" i="6"/>
  <c r="AA166" i="6"/>
  <c r="D140" i="7"/>
  <c r="C140" i="7"/>
  <c r="D124" i="7"/>
  <c r="F124" i="7"/>
  <c r="H837" i="5"/>
  <c r="C124" i="7" s="1"/>
  <c r="D105" i="7"/>
  <c r="F105" i="7"/>
  <c r="C105" i="7"/>
  <c r="I475" i="5"/>
  <c r="I384" i="5" s="1"/>
  <c r="I382" i="5" s="1"/>
  <c r="J475" i="5"/>
  <c r="J384" i="5" s="1"/>
  <c r="J382" i="5" s="1"/>
  <c r="K475" i="5"/>
  <c r="L475" i="5"/>
  <c r="L384" i="5" s="1"/>
  <c r="L382" i="5" s="1"/>
  <c r="M475" i="5"/>
  <c r="M384" i="5" s="1"/>
  <c r="M382" i="5" s="1"/>
  <c r="N475" i="5"/>
  <c r="N384" i="5" s="1"/>
  <c r="N382" i="5" s="1"/>
  <c r="O475" i="5"/>
  <c r="P475" i="5"/>
  <c r="P384" i="5" s="1"/>
  <c r="P382" i="5" s="1"/>
  <c r="Q475" i="5"/>
  <c r="Q384" i="5" s="1"/>
  <c r="Q382" i="5" s="1"/>
  <c r="H475" i="5"/>
  <c r="C96" i="7" s="1"/>
  <c r="D70" i="7"/>
  <c r="F70" i="7"/>
  <c r="C70" i="7"/>
  <c r="D55" i="7"/>
  <c r="F55" i="7"/>
  <c r="C55" i="7"/>
  <c r="D36" i="7"/>
  <c r="F36" i="7"/>
  <c r="C36" i="7"/>
  <c r="D28" i="7"/>
  <c r="F28" i="7"/>
  <c r="C28" i="7"/>
  <c r="D455" i="6"/>
  <c r="C455" i="6" s="1"/>
  <c r="D722" i="6"/>
  <c r="C722" i="6" s="1"/>
  <c r="D723" i="6"/>
  <c r="C723" i="6" s="1"/>
  <c r="D724" i="6"/>
  <c r="C724" i="6" s="1"/>
  <c r="D725" i="6"/>
  <c r="C725" i="6" s="1"/>
  <c r="D726" i="6"/>
  <c r="C726" i="6" s="1"/>
  <c r="D727" i="6"/>
  <c r="C727" i="6" s="1"/>
  <c r="D728" i="6"/>
  <c r="C728" i="6" s="1"/>
  <c r="D730" i="6"/>
  <c r="C730" i="6" s="1"/>
  <c r="D731" i="6"/>
  <c r="C731" i="6" s="1"/>
  <c r="D729" i="6"/>
  <c r="D96" i="7" l="1"/>
  <c r="K384" i="5"/>
  <c r="K382" i="5" s="1"/>
  <c r="D166" i="6"/>
  <c r="C166" i="6" s="1"/>
  <c r="F96" i="7"/>
  <c r="C729" i="6"/>
  <c r="C721" i="6" s="1"/>
  <c r="D721" i="6"/>
  <c r="E749" i="6"/>
  <c r="F749" i="6"/>
  <c r="G749" i="6"/>
  <c r="H749" i="6"/>
  <c r="I749" i="6"/>
  <c r="J749" i="6"/>
  <c r="K749" i="6"/>
  <c r="L749" i="6"/>
  <c r="M749" i="6"/>
  <c r="N749" i="6"/>
  <c r="O749" i="6"/>
  <c r="P749" i="6"/>
  <c r="Q749" i="6"/>
  <c r="R749" i="6"/>
  <c r="S749" i="6"/>
  <c r="T749" i="6"/>
  <c r="W749" i="6"/>
  <c r="X749" i="6"/>
  <c r="Z749" i="6"/>
  <c r="AA749" i="6"/>
  <c r="E406" i="6"/>
  <c r="F406" i="6"/>
  <c r="G406" i="6"/>
  <c r="H406" i="6"/>
  <c r="I406" i="6"/>
  <c r="J406" i="6"/>
  <c r="K406" i="6"/>
  <c r="L406" i="6"/>
  <c r="M406" i="6"/>
  <c r="N406" i="6"/>
  <c r="O406" i="6"/>
  <c r="P406" i="6"/>
  <c r="Q406" i="6"/>
  <c r="R406" i="6"/>
  <c r="S406" i="6"/>
  <c r="T406" i="6"/>
  <c r="W406" i="6"/>
  <c r="X406" i="6"/>
  <c r="Z406" i="6"/>
  <c r="AA406" i="6"/>
  <c r="D118" i="7"/>
  <c r="F118" i="7"/>
  <c r="C118" i="7"/>
  <c r="D84" i="7"/>
  <c r="F84" i="7"/>
  <c r="C84" i="7"/>
  <c r="D50" i="7"/>
  <c r="F50" i="7"/>
  <c r="C50" i="7"/>
  <c r="D15" i="7"/>
  <c r="F15" i="7"/>
  <c r="C15" i="7"/>
  <c r="D950" i="6" l="1"/>
  <c r="C950" i="6" s="1"/>
  <c r="C890" i="6" l="1"/>
  <c r="C889" i="6"/>
  <c r="D504" i="6" l="1"/>
  <c r="C504" i="6" s="1"/>
  <c r="D505" i="6"/>
  <c r="C505" i="6" s="1"/>
  <c r="D506" i="6"/>
  <c r="C506" i="6" s="1"/>
  <c r="D507" i="6"/>
  <c r="C507" i="6" s="1"/>
  <c r="D508" i="6"/>
  <c r="C508" i="6" s="1"/>
  <c r="D509" i="6"/>
  <c r="C509" i="6" s="1"/>
  <c r="D510" i="6"/>
  <c r="C510" i="6" s="1"/>
  <c r="D511" i="6"/>
  <c r="C511" i="6" s="1"/>
  <c r="D512" i="6"/>
  <c r="C512" i="6" s="1"/>
  <c r="C513" i="6"/>
  <c r="D514" i="6"/>
  <c r="C514" i="6" s="1"/>
  <c r="D515" i="6"/>
  <c r="C515" i="6" s="1"/>
  <c r="D516" i="6"/>
  <c r="C516" i="6" s="1"/>
  <c r="D517" i="6"/>
  <c r="C517" i="6" s="1"/>
  <c r="D518" i="6"/>
  <c r="C518" i="6" s="1"/>
  <c r="D519" i="6"/>
  <c r="C519" i="6" s="1"/>
  <c r="D520" i="6"/>
  <c r="C520" i="6" s="1"/>
  <c r="D521" i="6"/>
  <c r="C521" i="6" s="1"/>
  <c r="D522" i="6"/>
  <c r="C522" i="6" s="1"/>
  <c r="D523" i="6"/>
  <c r="C523" i="6" s="1"/>
  <c r="D524" i="6"/>
  <c r="C524" i="6" s="1"/>
  <c r="D525" i="6"/>
  <c r="C525" i="6" s="1"/>
  <c r="D526" i="6"/>
  <c r="C526" i="6" s="1"/>
  <c r="D527" i="6"/>
  <c r="C527" i="6" s="1"/>
  <c r="D528" i="6"/>
  <c r="C528" i="6" s="1"/>
  <c r="D529" i="6"/>
  <c r="C529" i="6" s="1"/>
  <c r="D530" i="6"/>
  <c r="C530" i="6" s="1"/>
  <c r="D531" i="6"/>
  <c r="C531" i="6" s="1"/>
  <c r="D532" i="6"/>
  <c r="C532" i="6" s="1"/>
  <c r="D533" i="6"/>
  <c r="C533" i="6" s="1"/>
  <c r="D534" i="6"/>
  <c r="C534" i="6" s="1"/>
  <c r="D535" i="6"/>
  <c r="C535" i="6" s="1"/>
  <c r="D536" i="6"/>
  <c r="C536" i="6" s="1"/>
  <c r="D537" i="6"/>
  <c r="C537" i="6" s="1"/>
  <c r="D538" i="6"/>
  <c r="C538" i="6" s="1"/>
  <c r="D539" i="6"/>
  <c r="C539" i="6" s="1"/>
  <c r="D540" i="6"/>
  <c r="C540" i="6" s="1"/>
  <c r="D541" i="6"/>
  <c r="C541" i="6" s="1"/>
  <c r="D542" i="6"/>
  <c r="C542" i="6" s="1"/>
  <c r="D543" i="6"/>
  <c r="C543" i="6" s="1"/>
  <c r="D544" i="6"/>
  <c r="C544" i="6" s="1"/>
  <c r="D545" i="6"/>
  <c r="C545" i="6" s="1"/>
  <c r="D546" i="6"/>
  <c r="C546" i="6" s="1"/>
  <c r="D547" i="6"/>
  <c r="C547" i="6" s="1"/>
  <c r="D548" i="6"/>
  <c r="C548" i="6" s="1"/>
  <c r="D549" i="6"/>
  <c r="C549" i="6" s="1"/>
  <c r="D550" i="6"/>
  <c r="C550" i="6" s="1"/>
  <c r="D551" i="6"/>
  <c r="C551" i="6" s="1"/>
  <c r="D552" i="6"/>
  <c r="C552" i="6" s="1"/>
  <c r="D553" i="6"/>
  <c r="C553" i="6" s="1"/>
  <c r="D554" i="6"/>
  <c r="C554" i="6" s="1"/>
  <c r="D555" i="6"/>
  <c r="C555" i="6" s="1"/>
  <c r="D556" i="6"/>
  <c r="C556" i="6" s="1"/>
  <c r="D557" i="6"/>
  <c r="C557" i="6" s="1"/>
  <c r="D558" i="6"/>
  <c r="C558" i="6" s="1"/>
  <c r="D559" i="6"/>
  <c r="C559" i="6" s="1"/>
  <c r="D560" i="6"/>
  <c r="C560" i="6" s="1"/>
  <c r="D561" i="6"/>
  <c r="C561" i="6" s="1"/>
  <c r="D562" i="6"/>
  <c r="C562" i="6" s="1"/>
  <c r="D563" i="6"/>
  <c r="C563" i="6" s="1"/>
  <c r="D564" i="6"/>
  <c r="C564" i="6" s="1"/>
  <c r="D565" i="6"/>
  <c r="C565" i="6" s="1"/>
  <c r="D566" i="6"/>
  <c r="C566" i="6" s="1"/>
  <c r="D567" i="6"/>
  <c r="C567" i="6" s="1"/>
  <c r="D568" i="6"/>
  <c r="C568" i="6" s="1"/>
  <c r="D569" i="6"/>
  <c r="C569" i="6" s="1"/>
  <c r="D570" i="6"/>
  <c r="C570" i="6" s="1"/>
  <c r="D571" i="6"/>
  <c r="C571" i="6" s="1"/>
  <c r="D572" i="6"/>
  <c r="C572" i="6" s="1"/>
  <c r="D573" i="6"/>
  <c r="C573" i="6" s="1"/>
  <c r="D574" i="6"/>
  <c r="C574" i="6" s="1"/>
  <c r="D575" i="6"/>
  <c r="C575" i="6" s="1"/>
  <c r="D576" i="6"/>
  <c r="C576" i="6" s="1"/>
  <c r="D577" i="6"/>
  <c r="C577" i="6" s="1"/>
  <c r="D578" i="6"/>
  <c r="C578" i="6" s="1"/>
  <c r="D579" i="6"/>
  <c r="C579" i="6" s="1"/>
  <c r="D580" i="6"/>
  <c r="C580" i="6" s="1"/>
  <c r="D581" i="6"/>
  <c r="C581" i="6" s="1"/>
  <c r="D582" i="6"/>
  <c r="C582" i="6" s="1"/>
  <c r="D583" i="6"/>
  <c r="C583" i="6" s="1"/>
  <c r="D584" i="6"/>
  <c r="C584" i="6" s="1"/>
  <c r="D585" i="6"/>
  <c r="C585" i="6" s="1"/>
  <c r="D586" i="6"/>
  <c r="C586" i="6" s="1"/>
  <c r="D587" i="6"/>
  <c r="C587" i="6" s="1"/>
  <c r="D588" i="6"/>
  <c r="C588" i="6" s="1"/>
  <c r="D589" i="6"/>
  <c r="C589" i="6" s="1"/>
  <c r="D590" i="6"/>
  <c r="C590" i="6" s="1"/>
  <c r="D591" i="6"/>
  <c r="C591" i="6" s="1"/>
  <c r="D592" i="6"/>
  <c r="C592" i="6" s="1"/>
  <c r="D593" i="6"/>
  <c r="C593" i="6" s="1"/>
  <c r="D594" i="6"/>
  <c r="C594" i="6" s="1"/>
  <c r="D595" i="6"/>
  <c r="C595" i="6" s="1"/>
  <c r="D596" i="6"/>
  <c r="C596" i="6" s="1"/>
  <c r="D597" i="6"/>
  <c r="C597" i="6" s="1"/>
  <c r="D598" i="6"/>
  <c r="C598" i="6" s="1"/>
  <c r="D599" i="6"/>
  <c r="C599" i="6" s="1"/>
  <c r="D600" i="6"/>
  <c r="C600" i="6" s="1"/>
  <c r="D601" i="6"/>
  <c r="C601" i="6" s="1"/>
  <c r="D602" i="6"/>
  <c r="C602" i="6" s="1"/>
  <c r="D603" i="6"/>
  <c r="C603" i="6" s="1"/>
  <c r="D604" i="6"/>
  <c r="C604" i="6" s="1"/>
  <c r="D605" i="6"/>
  <c r="C605" i="6" s="1"/>
  <c r="D606" i="6"/>
  <c r="C606" i="6" s="1"/>
  <c r="D607" i="6"/>
  <c r="C607" i="6" s="1"/>
  <c r="D608" i="6"/>
  <c r="C608" i="6" s="1"/>
  <c r="D609" i="6"/>
  <c r="C609" i="6" s="1"/>
  <c r="D610" i="6"/>
  <c r="C610" i="6" s="1"/>
  <c r="D611" i="6"/>
  <c r="C611" i="6" s="1"/>
  <c r="D612" i="6"/>
  <c r="C612" i="6" s="1"/>
  <c r="D613" i="6"/>
  <c r="C613" i="6" s="1"/>
  <c r="D614" i="6"/>
  <c r="C614" i="6" s="1"/>
  <c r="D615" i="6"/>
  <c r="C615" i="6" s="1"/>
  <c r="D616" i="6"/>
  <c r="C616" i="6" s="1"/>
  <c r="D617" i="6"/>
  <c r="C617" i="6" s="1"/>
  <c r="D618" i="6"/>
  <c r="C618" i="6" s="1"/>
  <c r="D619" i="6"/>
  <c r="C619" i="6" s="1"/>
  <c r="D620" i="6"/>
  <c r="C620" i="6" s="1"/>
  <c r="D621" i="6"/>
  <c r="C621" i="6" s="1"/>
  <c r="D622" i="6"/>
  <c r="C622" i="6" s="1"/>
  <c r="D623" i="6"/>
  <c r="C623" i="6" s="1"/>
  <c r="D624" i="6"/>
  <c r="C624" i="6" s="1"/>
  <c r="D625" i="6"/>
  <c r="C625" i="6" s="1"/>
  <c r="D626" i="6"/>
  <c r="C626" i="6" s="1"/>
  <c r="D627" i="6"/>
  <c r="C627" i="6" s="1"/>
  <c r="D628" i="6"/>
  <c r="C628" i="6" s="1"/>
  <c r="D629" i="6"/>
  <c r="C629" i="6" s="1"/>
  <c r="D630" i="6"/>
  <c r="C630" i="6" s="1"/>
  <c r="D631" i="6"/>
  <c r="C631" i="6" s="1"/>
  <c r="D632" i="6"/>
  <c r="C632" i="6" s="1"/>
  <c r="D633" i="6"/>
  <c r="C633" i="6" s="1"/>
  <c r="D634" i="6"/>
  <c r="C634" i="6" s="1"/>
  <c r="D635" i="6"/>
  <c r="C635" i="6" s="1"/>
  <c r="D636" i="6"/>
  <c r="C636" i="6" s="1"/>
  <c r="D637" i="6"/>
  <c r="C637" i="6" s="1"/>
  <c r="D638" i="6"/>
  <c r="C638" i="6" s="1"/>
  <c r="D639" i="6"/>
  <c r="C639" i="6" s="1"/>
  <c r="D640" i="6"/>
  <c r="C640" i="6" s="1"/>
  <c r="D641" i="6"/>
  <c r="C641" i="6" s="1"/>
  <c r="D642" i="6"/>
  <c r="C642" i="6" s="1"/>
  <c r="D643" i="6"/>
  <c r="C643" i="6" s="1"/>
  <c r="D644" i="6"/>
  <c r="C644" i="6" s="1"/>
  <c r="D645" i="6"/>
  <c r="C645" i="6" s="1"/>
  <c r="D646" i="6"/>
  <c r="C646" i="6" s="1"/>
  <c r="D647" i="6"/>
  <c r="C647" i="6" s="1"/>
  <c r="D648" i="6"/>
  <c r="C648" i="6" s="1"/>
  <c r="D649" i="6"/>
  <c r="C649" i="6" s="1"/>
  <c r="D650" i="6"/>
  <c r="C650" i="6" s="1"/>
  <c r="D651" i="6"/>
  <c r="C651" i="6" s="1"/>
  <c r="D652" i="6"/>
  <c r="C652" i="6" s="1"/>
  <c r="D653" i="6"/>
  <c r="C653" i="6" s="1"/>
  <c r="D654" i="6"/>
  <c r="C654" i="6" s="1"/>
  <c r="D655" i="6"/>
  <c r="C655" i="6" s="1"/>
  <c r="D656" i="6"/>
  <c r="C656" i="6" s="1"/>
  <c r="D657" i="6"/>
  <c r="C657" i="6" s="1"/>
  <c r="D658" i="6"/>
  <c r="C658" i="6" s="1"/>
  <c r="D659" i="6"/>
  <c r="C659" i="6" s="1"/>
  <c r="D660" i="6"/>
  <c r="C660" i="6" s="1"/>
  <c r="D501" i="6"/>
  <c r="C501" i="6" s="1"/>
  <c r="D502" i="6"/>
  <c r="C502" i="6" s="1"/>
  <c r="D503" i="6"/>
  <c r="C503" i="6" s="1"/>
  <c r="D500" i="6"/>
  <c r="C500" i="6" s="1"/>
  <c r="E499" i="6"/>
  <c r="F499" i="6"/>
  <c r="G499" i="6"/>
  <c r="H499" i="6"/>
  <c r="I499" i="6"/>
  <c r="J499" i="6"/>
  <c r="K499" i="6"/>
  <c r="L499" i="6"/>
  <c r="M499" i="6"/>
  <c r="N499" i="6"/>
  <c r="O499" i="6"/>
  <c r="P499" i="6"/>
  <c r="Q499" i="6"/>
  <c r="R499" i="6"/>
  <c r="S499" i="6"/>
  <c r="T499" i="6"/>
  <c r="W499" i="6"/>
  <c r="X499" i="6"/>
  <c r="AA499" i="6"/>
  <c r="C499" i="6" l="1"/>
  <c r="D368" i="6"/>
  <c r="C368" i="6" s="1"/>
  <c r="D371" i="6"/>
  <c r="C371" i="6" s="1"/>
  <c r="D372" i="6"/>
  <c r="C372" i="6" s="1"/>
  <c r="D373" i="6"/>
  <c r="C373" i="6" s="1"/>
  <c r="C190" i="6"/>
  <c r="D367" i="6"/>
  <c r="P530" i="5"/>
  <c r="J530" i="5"/>
  <c r="P529" i="5"/>
  <c r="J529" i="5"/>
  <c r="P528" i="5"/>
  <c r="J528" i="5"/>
  <c r="P527" i="5"/>
  <c r="J527" i="5"/>
  <c r="P526" i="5"/>
  <c r="J526" i="5"/>
  <c r="P525" i="5"/>
  <c r="O525" i="5"/>
  <c r="O524" i="5" s="1"/>
  <c r="J525" i="5"/>
  <c r="P524" i="5" l="1"/>
  <c r="J524" i="5"/>
  <c r="D366" i="6"/>
  <c r="C367" i="6"/>
  <c r="C366" i="6" s="1"/>
  <c r="C189" i="6"/>
  <c r="C184" i="6" s="1"/>
  <c r="F112" i="7"/>
  <c r="D112" i="7"/>
  <c r="Z499" i="6"/>
  <c r="D499" i="6"/>
  <c r="H524" i="5"/>
  <c r="C112" i="7" l="1"/>
  <c r="C46" i="7"/>
  <c r="O242" i="5"/>
  <c r="O243" i="5"/>
  <c r="F11" i="7"/>
  <c r="D801" i="6"/>
  <c r="C801" i="6" s="1"/>
  <c r="D1007" i="6"/>
  <c r="D1006" i="6" s="1"/>
  <c r="O241" i="5" l="1"/>
  <c r="C10" i="6"/>
  <c r="C10" i="7"/>
  <c r="D10" i="7"/>
  <c r="C1007" i="6"/>
  <c r="C1006" i="6" s="1"/>
  <c r="D720" i="6" l="1"/>
  <c r="C720" i="6" s="1"/>
  <c r="D717" i="6"/>
  <c r="C717" i="6" s="1"/>
  <c r="D705" i="6"/>
  <c r="C705" i="6" s="1"/>
  <c r="D706" i="6"/>
  <c r="C706" i="6" s="1"/>
  <c r="D707" i="6"/>
  <c r="C707" i="6" s="1"/>
  <c r="D708" i="6"/>
  <c r="C708" i="6" s="1"/>
  <c r="D709" i="6"/>
  <c r="C709" i="6" s="1"/>
  <c r="D710" i="6"/>
  <c r="C710" i="6" s="1"/>
  <c r="D711" i="6"/>
  <c r="C711" i="6" s="1"/>
  <c r="D712" i="6"/>
  <c r="C712" i="6" s="1"/>
  <c r="D713" i="6"/>
  <c r="C713" i="6" s="1"/>
  <c r="D714" i="6"/>
  <c r="C714" i="6" s="1"/>
  <c r="D715" i="6"/>
  <c r="C715" i="6" s="1"/>
  <c r="D716" i="6"/>
  <c r="C716" i="6" s="1"/>
  <c r="D718" i="6"/>
  <c r="C718" i="6" s="1"/>
  <c r="D719" i="6"/>
  <c r="C719" i="6" s="1"/>
  <c r="D704" i="6"/>
  <c r="C704" i="6" s="1"/>
  <c r="E703" i="6"/>
  <c r="F703" i="6"/>
  <c r="G703" i="6"/>
  <c r="H703" i="6"/>
  <c r="I703" i="6"/>
  <c r="J703" i="6"/>
  <c r="K703" i="6"/>
  <c r="L703" i="6"/>
  <c r="M703" i="6"/>
  <c r="N703" i="6"/>
  <c r="O703" i="6"/>
  <c r="P703" i="6"/>
  <c r="Q703" i="6"/>
  <c r="R703" i="6"/>
  <c r="S703" i="6"/>
  <c r="T703" i="6"/>
  <c r="W703" i="6"/>
  <c r="X703" i="6"/>
  <c r="Z703" i="6"/>
  <c r="AA703" i="6"/>
  <c r="D221" i="6"/>
  <c r="C221" i="6" s="1"/>
  <c r="D222" i="6"/>
  <c r="C222" i="6" s="1"/>
  <c r="D223" i="6"/>
  <c r="C223" i="6" s="1"/>
  <c r="D224" i="6"/>
  <c r="C224" i="6" s="1"/>
  <c r="D226" i="6"/>
  <c r="C226" i="6" s="1"/>
  <c r="D227" i="6"/>
  <c r="C227" i="6" s="1"/>
  <c r="E219" i="6"/>
  <c r="F219" i="6"/>
  <c r="G219" i="6"/>
  <c r="H219" i="6"/>
  <c r="I219" i="6"/>
  <c r="J219" i="6"/>
  <c r="K219" i="6"/>
  <c r="L219" i="6"/>
  <c r="M219" i="6"/>
  <c r="N219" i="6"/>
  <c r="O219" i="6"/>
  <c r="P219" i="6"/>
  <c r="Q219" i="6"/>
  <c r="R219" i="6"/>
  <c r="S219" i="6"/>
  <c r="T219" i="6"/>
  <c r="W219" i="6"/>
  <c r="X219" i="6"/>
  <c r="Z219" i="6"/>
  <c r="AA219" i="6"/>
  <c r="H728" i="5"/>
  <c r="D682" i="6"/>
  <c r="C682" i="6" s="1"/>
  <c r="D683" i="6"/>
  <c r="C683" i="6" s="1"/>
  <c r="D684" i="6"/>
  <c r="C684" i="6" s="1"/>
  <c r="D685" i="6"/>
  <c r="C685" i="6" s="1"/>
  <c r="D686" i="6"/>
  <c r="C686" i="6" s="1"/>
  <c r="D687" i="6"/>
  <c r="C687" i="6" s="1"/>
  <c r="D688" i="6"/>
  <c r="C688" i="6" s="1"/>
  <c r="D689" i="6"/>
  <c r="C689" i="6" s="1"/>
  <c r="D690" i="6"/>
  <c r="C690" i="6" s="1"/>
  <c r="D691" i="6"/>
  <c r="C691" i="6" s="1"/>
  <c r="D666" i="6"/>
  <c r="C666" i="6" s="1"/>
  <c r="D667" i="6"/>
  <c r="C667" i="6" s="1"/>
  <c r="D668" i="6"/>
  <c r="C668" i="6" s="1"/>
  <c r="C703" i="6" l="1"/>
  <c r="C219" i="6"/>
  <c r="D114" i="7"/>
  <c r="C114" i="7"/>
  <c r="D703" i="6"/>
  <c r="D219" i="6"/>
  <c r="D841" i="6"/>
  <c r="C841" i="6" s="1"/>
  <c r="D842" i="6"/>
  <c r="C842" i="6" s="1"/>
  <c r="F114" i="7" l="1"/>
  <c r="D848" i="6"/>
  <c r="C848" i="6" s="1"/>
  <c r="D820" i="6"/>
  <c r="C820" i="6" l="1"/>
  <c r="D748" i="6"/>
  <c r="D747" i="6" s="1"/>
  <c r="O773" i="5"/>
  <c r="D117" i="7"/>
  <c r="C117" i="7"/>
  <c r="D128" i="7"/>
  <c r="C128" i="7"/>
  <c r="O772" i="5" l="1"/>
  <c r="C748" i="6"/>
  <c r="C747" i="6" s="1"/>
  <c r="F117" i="7"/>
  <c r="C888" i="6" l="1"/>
  <c r="C886" i="6"/>
  <c r="D821" i="6" l="1"/>
  <c r="D819" i="6" s="1"/>
  <c r="C821" i="6" l="1"/>
  <c r="C819" i="6" s="1"/>
  <c r="J523" i="5"/>
  <c r="J521" i="5" s="1"/>
  <c r="K523" i="5"/>
  <c r="K521" i="5" s="1"/>
  <c r="M523" i="5"/>
  <c r="M521" i="5" s="1"/>
  <c r="N523" i="5"/>
  <c r="N521" i="5" s="1"/>
  <c r="L523" i="5" l="1"/>
  <c r="L521" i="5" s="1"/>
  <c r="D810" i="6"/>
  <c r="C810" i="6" s="1"/>
  <c r="D811" i="6"/>
  <c r="C811" i="6" s="1"/>
  <c r="D809" i="6"/>
  <c r="C809" i="6" l="1"/>
  <c r="C808" i="6" s="1"/>
  <c r="D808" i="6"/>
  <c r="O756" i="5"/>
  <c r="E804" i="6" l="1"/>
  <c r="E498" i="6" s="1"/>
  <c r="F804" i="6"/>
  <c r="F498" i="6" s="1"/>
  <c r="G804" i="6"/>
  <c r="G498" i="6" s="1"/>
  <c r="H804" i="6"/>
  <c r="H498" i="6" s="1"/>
  <c r="I804" i="6"/>
  <c r="I498" i="6" s="1"/>
  <c r="J804" i="6"/>
  <c r="J498" i="6" s="1"/>
  <c r="K804" i="6"/>
  <c r="K498" i="6" s="1"/>
  <c r="L804" i="6"/>
  <c r="L498" i="6" s="1"/>
  <c r="M804" i="6"/>
  <c r="M498" i="6" s="1"/>
  <c r="N804" i="6"/>
  <c r="N498" i="6" s="1"/>
  <c r="O804" i="6"/>
  <c r="O498" i="6" s="1"/>
  <c r="P804" i="6"/>
  <c r="P498" i="6" s="1"/>
  <c r="Q804" i="6"/>
  <c r="Q498" i="6" s="1"/>
  <c r="R804" i="6"/>
  <c r="R498" i="6" s="1"/>
  <c r="S804" i="6"/>
  <c r="S498" i="6" s="1"/>
  <c r="T804" i="6"/>
  <c r="T498" i="6" s="1"/>
  <c r="W804" i="6"/>
  <c r="W498" i="6" s="1"/>
  <c r="X804" i="6"/>
  <c r="X498" i="6" s="1"/>
  <c r="Z804" i="6"/>
  <c r="Z498" i="6" s="1"/>
  <c r="AA804" i="6"/>
  <c r="D807" i="6"/>
  <c r="C807" i="6" s="1"/>
  <c r="D805" i="6"/>
  <c r="D122" i="7"/>
  <c r="F122" i="7"/>
  <c r="Q523" i="5"/>
  <c r="Q521" i="5" s="1"/>
  <c r="H829" i="5"/>
  <c r="H523" i="5" s="1"/>
  <c r="H521" i="5" s="1"/>
  <c r="D88" i="7"/>
  <c r="C88" i="7"/>
  <c r="D19" i="7"/>
  <c r="C19" i="7"/>
  <c r="D949" i="6"/>
  <c r="C949" i="6" s="1"/>
  <c r="D951" i="6"/>
  <c r="C951" i="6" s="1"/>
  <c r="D954" i="6"/>
  <c r="C954" i="6" s="1"/>
  <c r="D955" i="6"/>
  <c r="C955" i="6" s="1"/>
  <c r="D948" i="6"/>
  <c r="AA947" i="6"/>
  <c r="D135" i="7"/>
  <c r="C135" i="7"/>
  <c r="D66" i="7"/>
  <c r="F66" i="7"/>
  <c r="C66" i="7"/>
  <c r="O125" i="5"/>
  <c r="O124" i="5"/>
  <c r="O123" i="5" l="1"/>
  <c r="AA498" i="6"/>
  <c r="C948" i="6"/>
  <c r="C947" i="6" s="1"/>
  <c r="D947" i="6"/>
  <c r="C122" i="7"/>
  <c r="C805" i="6"/>
  <c r="D413" i="6" l="1"/>
  <c r="D412" i="6" s="1"/>
  <c r="D249" i="6"/>
  <c r="D247" i="6" s="1"/>
  <c r="C413" i="6" l="1"/>
  <c r="C412" i="6" s="1"/>
  <c r="C249" i="6"/>
  <c r="C247" i="6" s="1"/>
  <c r="D454" i="6" l="1"/>
  <c r="D445" i="6" s="1"/>
  <c r="K103" i="6"/>
  <c r="L103" i="6"/>
  <c r="D145" i="7"/>
  <c r="D1011" i="6"/>
  <c r="D490" i="6"/>
  <c r="C490" i="6" s="1"/>
  <c r="D491" i="6"/>
  <c r="C491" i="6" s="1"/>
  <c r="D492" i="6"/>
  <c r="C492" i="6" s="1"/>
  <c r="D489" i="6"/>
  <c r="D360" i="6"/>
  <c r="C360" i="6" s="1"/>
  <c r="D361" i="6"/>
  <c r="C361" i="6" s="1"/>
  <c r="D363" i="6"/>
  <c r="C363" i="6" s="1"/>
  <c r="D359" i="6"/>
  <c r="E178" i="6"/>
  <c r="F178" i="6"/>
  <c r="G178" i="6"/>
  <c r="H178" i="6"/>
  <c r="I178" i="6"/>
  <c r="J178" i="6"/>
  <c r="K178" i="6"/>
  <c r="L178" i="6"/>
  <c r="M178" i="6"/>
  <c r="N178" i="6"/>
  <c r="O178" i="6"/>
  <c r="P178" i="6"/>
  <c r="Q178" i="6"/>
  <c r="R178" i="6"/>
  <c r="S178" i="6"/>
  <c r="T178" i="6"/>
  <c r="W178" i="6"/>
  <c r="X178" i="6"/>
  <c r="Z178" i="6"/>
  <c r="AA178" i="6"/>
  <c r="F145" i="7"/>
  <c r="C145" i="7"/>
  <c r="D108" i="7"/>
  <c r="F108" i="7"/>
  <c r="C108" i="7"/>
  <c r="O509" i="5"/>
  <c r="O506" i="5"/>
  <c r="D75" i="7"/>
  <c r="F75" i="7"/>
  <c r="C75" i="7"/>
  <c r="D41" i="7"/>
  <c r="F41" i="7"/>
  <c r="C41" i="7"/>
  <c r="O165" i="5"/>
  <c r="O163" i="5" s="1"/>
  <c r="O505" i="5" l="1"/>
  <c r="D178" i="6"/>
  <c r="C178" i="6" s="1"/>
  <c r="D488" i="6"/>
  <c r="C1011" i="6"/>
  <c r="C1010" i="6" s="1"/>
  <c r="D1010" i="6"/>
  <c r="C359" i="6"/>
  <c r="D358" i="6"/>
  <c r="C489" i="6"/>
  <c r="C488" i="6" s="1"/>
  <c r="C454" i="6"/>
  <c r="C445" i="6" s="1"/>
  <c r="C358" i="6" l="1"/>
  <c r="D301" i="6"/>
  <c r="D291" i="6" s="1"/>
  <c r="D783" i="6"/>
  <c r="C783" i="6" s="1"/>
  <c r="D784" i="6"/>
  <c r="C784" i="6" s="1"/>
  <c r="D785" i="6"/>
  <c r="C785" i="6" s="1"/>
  <c r="D786" i="6"/>
  <c r="C786" i="6" s="1"/>
  <c r="D787" i="6"/>
  <c r="C787" i="6" s="1"/>
  <c r="D788" i="6"/>
  <c r="C788" i="6" s="1"/>
  <c r="D789" i="6"/>
  <c r="C789" i="6" s="1"/>
  <c r="D790" i="6"/>
  <c r="C790" i="6" s="1"/>
  <c r="D791" i="6"/>
  <c r="C791" i="6" s="1"/>
  <c r="D792" i="6"/>
  <c r="C792" i="6" s="1"/>
  <c r="D793" i="6"/>
  <c r="C793" i="6" s="1"/>
  <c r="D794" i="6"/>
  <c r="C794" i="6" s="1"/>
  <c r="D795" i="6"/>
  <c r="C795" i="6" s="1"/>
  <c r="D796" i="6"/>
  <c r="C796" i="6" s="1"/>
  <c r="D782" i="6"/>
  <c r="K365" i="6"/>
  <c r="L365" i="6"/>
  <c r="M365" i="6"/>
  <c r="D253" i="6"/>
  <c r="D252" i="6" s="1"/>
  <c r="O809" i="5"/>
  <c r="O811" i="5"/>
  <c r="O812" i="5"/>
  <c r="O434" i="5"/>
  <c r="O436" i="5"/>
  <c r="O266" i="5"/>
  <c r="O265" i="5" s="1"/>
  <c r="O58" i="5"/>
  <c r="O59" i="5"/>
  <c r="O60" i="5"/>
  <c r="O57" i="5"/>
  <c r="D751" i="6"/>
  <c r="C751" i="6" s="1"/>
  <c r="D752" i="6"/>
  <c r="C752" i="6" s="1"/>
  <c r="D753" i="6"/>
  <c r="C753" i="6" s="1"/>
  <c r="D754" i="6"/>
  <c r="C754" i="6" s="1"/>
  <c r="D755" i="6"/>
  <c r="C755" i="6" s="1"/>
  <c r="D756" i="6"/>
  <c r="C756" i="6" s="1"/>
  <c r="D757" i="6"/>
  <c r="C757" i="6" s="1"/>
  <c r="D750" i="6"/>
  <c r="D408" i="6"/>
  <c r="C408" i="6" s="1"/>
  <c r="D407" i="6"/>
  <c r="D239" i="6"/>
  <c r="D238" i="6" s="1"/>
  <c r="Z232" i="6"/>
  <c r="E232" i="6"/>
  <c r="F232" i="6"/>
  <c r="G232" i="6"/>
  <c r="H232" i="6"/>
  <c r="I232" i="6"/>
  <c r="J232" i="6"/>
  <c r="K232" i="6"/>
  <c r="L232" i="6"/>
  <c r="M232" i="6"/>
  <c r="N232" i="6"/>
  <c r="O232" i="6"/>
  <c r="P232" i="6"/>
  <c r="Q232" i="6"/>
  <c r="R232" i="6"/>
  <c r="S232" i="6"/>
  <c r="T232" i="6"/>
  <c r="W232" i="6"/>
  <c r="X232" i="6"/>
  <c r="AA232" i="6"/>
  <c r="D116" i="7"/>
  <c r="F116" i="7"/>
  <c r="C116" i="7"/>
  <c r="H421" i="5"/>
  <c r="H384" i="5" s="1"/>
  <c r="H382" i="5" s="1"/>
  <c r="D48" i="7"/>
  <c r="F48" i="7"/>
  <c r="C48" i="7"/>
  <c r="O56" i="5" l="1"/>
  <c r="O16" i="5" s="1"/>
  <c r="O433" i="5"/>
  <c r="D781" i="6"/>
  <c r="C253" i="6"/>
  <c r="C252" i="6" s="1"/>
  <c r="C301" i="6"/>
  <c r="C82" i="7"/>
  <c r="D82" i="7"/>
  <c r="D749" i="6"/>
  <c r="C407" i="6"/>
  <c r="C406" i="6" s="1"/>
  <c r="D406" i="6"/>
  <c r="C239" i="6"/>
  <c r="C238" i="6" s="1"/>
  <c r="C750" i="6"/>
  <c r="C749" i="6" s="1"/>
  <c r="C782" i="6"/>
  <c r="C781" i="6" s="1"/>
  <c r="C232" i="6"/>
  <c r="D417" i="6"/>
  <c r="C417" i="6" s="1"/>
  <c r="D415" i="6"/>
  <c r="D232" i="6"/>
  <c r="C291" i="6" l="1"/>
  <c r="C415" i="6"/>
  <c r="C414" i="6" s="1"/>
  <c r="D414" i="6"/>
  <c r="F82" i="7"/>
  <c r="C13" i="7" l="1"/>
  <c r="D13" i="7" l="1"/>
  <c r="F13" i="7"/>
  <c r="D913" i="6"/>
  <c r="C913" i="6" s="1"/>
  <c r="D914" i="6"/>
  <c r="C914" i="6" s="1"/>
  <c r="D915" i="6"/>
  <c r="C915" i="6" s="1"/>
  <c r="D919" i="6"/>
  <c r="C919" i="6" s="1"/>
  <c r="D912" i="6"/>
  <c r="D459" i="6"/>
  <c r="C887" i="6"/>
  <c r="D663" i="6"/>
  <c r="C663" i="6" s="1"/>
  <c r="D664" i="6"/>
  <c r="D665" i="6"/>
  <c r="C665" i="6" s="1"/>
  <c r="D669" i="6"/>
  <c r="C669" i="6" s="1"/>
  <c r="D670" i="6"/>
  <c r="C670" i="6" s="1"/>
  <c r="D671" i="6"/>
  <c r="C671" i="6" s="1"/>
  <c r="D672" i="6"/>
  <c r="C672" i="6" s="1"/>
  <c r="D673" i="6"/>
  <c r="C673" i="6" s="1"/>
  <c r="D674" i="6"/>
  <c r="C674" i="6" s="1"/>
  <c r="D675" i="6"/>
  <c r="C675" i="6" s="1"/>
  <c r="D677" i="6"/>
  <c r="C677" i="6" s="1"/>
  <c r="D678" i="6"/>
  <c r="C678" i="6" s="1"/>
  <c r="D679" i="6"/>
  <c r="C679" i="6" s="1"/>
  <c r="D680" i="6"/>
  <c r="C680" i="6" s="1"/>
  <c r="D681" i="6"/>
  <c r="C681" i="6" s="1"/>
  <c r="D662" i="6"/>
  <c r="D388" i="6"/>
  <c r="D389" i="6"/>
  <c r="C389" i="6" s="1"/>
  <c r="D215" i="6"/>
  <c r="D216" i="6"/>
  <c r="C216" i="6" s="1"/>
  <c r="D217" i="6"/>
  <c r="C217" i="6" s="1"/>
  <c r="D218" i="6"/>
  <c r="C218" i="6" s="1"/>
  <c r="F113" i="7"/>
  <c r="C113" i="7"/>
  <c r="F79" i="7"/>
  <c r="D45" i="7"/>
  <c r="F45" i="7"/>
  <c r="C45" i="7"/>
  <c r="C11" i="7"/>
  <c r="D207" i="6" l="1"/>
  <c r="D911" i="6"/>
  <c r="D384" i="6"/>
  <c r="C459" i="6"/>
  <c r="C458" i="6" s="1"/>
  <c r="D458" i="6"/>
  <c r="C912" i="6"/>
  <c r="C911" i="6" s="1"/>
  <c r="D661" i="6"/>
  <c r="C388" i="6"/>
  <c r="C384" i="6" s="1"/>
  <c r="C215" i="6"/>
  <c r="C207" i="6" s="1"/>
  <c r="C662" i="6"/>
  <c r="D874" i="6" l="1"/>
  <c r="C874" i="6" s="1"/>
  <c r="D875" i="6"/>
  <c r="C875" i="6" s="1"/>
  <c r="D876" i="6"/>
  <c r="C876" i="6" s="1"/>
  <c r="D877" i="6"/>
  <c r="C877" i="6" s="1"/>
  <c r="D878" i="6"/>
  <c r="C878" i="6" s="1"/>
  <c r="D879" i="6"/>
  <c r="C879" i="6" s="1"/>
  <c r="D880" i="6"/>
  <c r="C880" i="6" s="1"/>
  <c r="D881" i="6"/>
  <c r="C881" i="6" s="1"/>
  <c r="D882" i="6"/>
  <c r="C882" i="6" s="1"/>
  <c r="D883" i="6"/>
  <c r="D884" i="6"/>
  <c r="C884" i="6" s="1"/>
  <c r="D873" i="6"/>
  <c r="D872" i="6" l="1"/>
  <c r="C883" i="6"/>
  <c r="C873" i="6"/>
  <c r="C872" i="6" l="1"/>
  <c r="O898" i="5"/>
  <c r="O900" i="5"/>
  <c r="O901" i="5"/>
  <c r="O902" i="5"/>
  <c r="O903" i="5"/>
  <c r="O904" i="5"/>
  <c r="O906" i="5"/>
  <c r="O905" i="5"/>
  <c r="O909" i="5"/>
  <c r="O899" i="5"/>
  <c r="O897" i="5" l="1"/>
  <c r="D401" i="6"/>
  <c r="D230" i="6"/>
  <c r="C230" i="6" s="1"/>
  <c r="D229" i="6"/>
  <c r="E31" i="6"/>
  <c r="F31" i="6"/>
  <c r="G31" i="6"/>
  <c r="H31" i="6"/>
  <c r="I31" i="6"/>
  <c r="J31" i="6"/>
  <c r="K31" i="6"/>
  <c r="L31" i="6"/>
  <c r="M31" i="6"/>
  <c r="N31" i="6"/>
  <c r="O31" i="6"/>
  <c r="O9" i="6" s="1"/>
  <c r="P31" i="6"/>
  <c r="P9" i="6" s="1"/>
  <c r="Q31" i="6"/>
  <c r="Q9" i="6" s="1"/>
  <c r="R31" i="6"/>
  <c r="S31" i="6"/>
  <c r="S9" i="6" s="1"/>
  <c r="T31" i="6"/>
  <c r="W31" i="6"/>
  <c r="W9" i="6" s="1"/>
  <c r="X31" i="6"/>
  <c r="Z31" i="6"/>
  <c r="Z9" i="6" s="1"/>
  <c r="AA31" i="6"/>
  <c r="O755" i="5"/>
  <c r="O752" i="5"/>
  <c r="O751" i="5"/>
  <c r="O750" i="5"/>
  <c r="O749" i="5"/>
  <c r="O419" i="5"/>
  <c r="O418" i="5"/>
  <c r="D228" i="6" l="1"/>
  <c r="D31" i="6"/>
  <c r="D11" i="7"/>
  <c r="C12" i="7"/>
  <c r="D12" i="7"/>
  <c r="F12" i="7"/>
  <c r="C401" i="6"/>
  <c r="C397" i="6" s="1"/>
  <c r="D397" i="6"/>
  <c r="C229" i="6"/>
  <c r="C228" i="6" s="1"/>
  <c r="C81" i="7"/>
  <c r="D81" i="7"/>
  <c r="F81" i="7"/>
  <c r="D115" i="7"/>
  <c r="C115" i="7"/>
  <c r="O753" i="5"/>
  <c r="O420" i="5"/>
  <c r="O417" i="5"/>
  <c r="O416" i="5" l="1"/>
  <c r="C31" i="6"/>
  <c r="D474" i="6"/>
  <c r="C474" i="6" s="1"/>
  <c r="D475" i="6"/>
  <c r="D476" i="6"/>
  <c r="C476" i="6" s="1"/>
  <c r="D473" i="6"/>
  <c r="C473" i="6" s="1"/>
  <c r="E338" i="6"/>
  <c r="E183" i="6" s="1"/>
  <c r="F338" i="6"/>
  <c r="F183" i="6" s="1"/>
  <c r="G338" i="6"/>
  <c r="G183" i="6" s="1"/>
  <c r="H338" i="6"/>
  <c r="H183" i="6" s="1"/>
  <c r="I338" i="6"/>
  <c r="I183" i="6" s="1"/>
  <c r="J338" i="6"/>
  <c r="J183" i="6" s="1"/>
  <c r="K338" i="6"/>
  <c r="K183" i="6" s="1"/>
  <c r="L338" i="6"/>
  <c r="L183" i="6" s="1"/>
  <c r="M338" i="6"/>
  <c r="M183" i="6" s="1"/>
  <c r="N338" i="6"/>
  <c r="N183" i="6" s="1"/>
  <c r="O338" i="6"/>
  <c r="O183" i="6" s="1"/>
  <c r="P338" i="6"/>
  <c r="P183" i="6" s="1"/>
  <c r="Q338" i="6"/>
  <c r="Q183" i="6" s="1"/>
  <c r="R338" i="6"/>
  <c r="R183" i="6" s="1"/>
  <c r="S338" i="6"/>
  <c r="S183" i="6" s="1"/>
  <c r="T338" i="6"/>
  <c r="T183" i="6" s="1"/>
  <c r="W338" i="6"/>
  <c r="W183" i="6" s="1"/>
  <c r="X338" i="6"/>
  <c r="X183" i="6" s="1"/>
  <c r="Z338" i="6"/>
  <c r="Z183" i="6" s="1"/>
  <c r="AA338" i="6"/>
  <c r="AA183" i="6" s="1"/>
  <c r="D340" i="6"/>
  <c r="C340" i="6" s="1"/>
  <c r="D341" i="6"/>
  <c r="C341" i="6" s="1"/>
  <c r="D342" i="6"/>
  <c r="C342" i="6" s="1"/>
  <c r="D339" i="6"/>
  <c r="F102" i="7"/>
  <c r="D68" i="7"/>
  <c r="F68" i="7"/>
  <c r="M196" i="5"/>
  <c r="N196" i="5"/>
  <c r="N194" i="5" s="1"/>
  <c r="P196" i="5"/>
  <c r="P194" i="5" s="1"/>
  <c r="Q196" i="5"/>
  <c r="Q194" i="5" s="1"/>
  <c r="C68" i="7"/>
  <c r="D33" i="7"/>
  <c r="F33" i="7"/>
  <c r="C33" i="7"/>
  <c r="L96" i="6" l="1"/>
  <c r="L9" i="6" s="1"/>
  <c r="K96" i="6"/>
  <c r="K9" i="6" s="1"/>
  <c r="C475" i="6"/>
  <c r="C472" i="6" s="1"/>
  <c r="D472" i="6"/>
  <c r="D338" i="6"/>
  <c r="C339" i="6"/>
  <c r="C338" i="6" l="1"/>
  <c r="D355" i="6"/>
  <c r="C355" i="6" s="1"/>
  <c r="D270" i="6"/>
  <c r="D272" i="6"/>
  <c r="C272" i="6" s="1"/>
  <c r="D271" i="6"/>
  <c r="C271" i="6" s="1"/>
  <c r="D944" i="6"/>
  <c r="C944" i="6" s="1"/>
  <c r="D941" i="6"/>
  <c r="C941" i="6" s="1"/>
  <c r="D942" i="6"/>
  <c r="C942" i="6" s="1"/>
  <c r="D943" i="6"/>
  <c r="C943" i="6" s="1"/>
  <c r="D940" i="6"/>
  <c r="C1021" i="6"/>
  <c r="C1018" i="6" s="1"/>
  <c r="D487" i="6"/>
  <c r="D486" i="6" s="1"/>
  <c r="D353" i="6"/>
  <c r="D354" i="6"/>
  <c r="C354" i="6" s="1"/>
  <c r="D839" i="6"/>
  <c r="C839" i="6" s="1"/>
  <c r="D840" i="6"/>
  <c r="C840" i="6" s="1"/>
  <c r="D843" i="6"/>
  <c r="C843" i="6" s="1"/>
  <c r="D844" i="6"/>
  <c r="C844" i="6" s="1"/>
  <c r="D845" i="6"/>
  <c r="C845" i="6" s="1"/>
  <c r="D846" i="6"/>
  <c r="C846" i="6" s="1"/>
  <c r="D847" i="6"/>
  <c r="C847" i="6" s="1"/>
  <c r="D838" i="6"/>
  <c r="D437" i="6"/>
  <c r="D438" i="6"/>
  <c r="C438" i="6" s="1"/>
  <c r="D439" i="6"/>
  <c r="C439" i="6" s="1"/>
  <c r="D436" i="6"/>
  <c r="D275" i="6"/>
  <c r="C275" i="6" s="1"/>
  <c r="D276" i="6"/>
  <c r="C276" i="6" s="1"/>
  <c r="D277" i="6"/>
  <c r="D278" i="6"/>
  <c r="C278" i="6" s="1"/>
  <c r="D279" i="6"/>
  <c r="C279" i="6" s="1"/>
  <c r="F128" i="7"/>
  <c r="D24" i="7"/>
  <c r="F24" i="7"/>
  <c r="C24" i="7"/>
  <c r="D920" i="6" l="1"/>
  <c r="C436" i="6"/>
  <c r="D435" i="6"/>
  <c r="D837" i="6"/>
  <c r="C437" i="6"/>
  <c r="C277" i="6"/>
  <c r="D274" i="6"/>
  <c r="D352" i="6"/>
  <c r="C353" i="6"/>
  <c r="C940" i="6"/>
  <c r="C920" i="6" s="1"/>
  <c r="C487" i="6"/>
  <c r="C486" i="6" s="1"/>
  <c r="C838" i="6"/>
  <c r="C837" i="6" s="1"/>
  <c r="C270" i="6"/>
  <c r="C274" i="6" l="1"/>
  <c r="C435" i="6"/>
  <c r="C352" i="6"/>
  <c r="F19" i="7" l="1"/>
  <c r="D351" i="6"/>
  <c r="C351" i="6" l="1"/>
  <c r="F88" i="7"/>
  <c r="C804" i="6"/>
  <c r="D804" i="6"/>
  <c r="D308" i="6"/>
  <c r="D421" i="6"/>
  <c r="D256" i="6"/>
  <c r="D813" i="6"/>
  <c r="C813" i="6" s="1"/>
  <c r="D814" i="6"/>
  <c r="C814" i="6" s="1"/>
  <c r="D815" i="6"/>
  <c r="C815" i="6" s="1"/>
  <c r="D817" i="6"/>
  <c r="C817" i="6" s="1"/>
  <c r="D818" i="6"/>
  <c r="C818" i="6" s="1"/>
  <c r="D258" i="6"/>
  <c r="D423" i="6"/>
  <c r="D422" i="6" s="1"/>
  <c r="O840" i="5"/>
  <c r="O837" i="5" s="1"/>
  <c r="C258" i="6" l="1"/>
  <c r="D257" i="6"/>
  <c r="C421" i="6"/>
  <c r="C420" i="6" s="1"/>
  <c r="D420" i="6"/>
  <c r="C256" i="6"/>
  <c r="D255" i="6"/>
  <c r="C308" i="6"/>
  <c r="C423" i="6"/>
  <c r="C422" i="6" s="1"/>
  <c r="C812" i="6"/>
  <c r="D812" i="6"/>
  <c r="D760" i="6"/>
  <c r="C760" i="6" s="1"/>
  <c r="D759" i="6"/>
  <c r="D243" i="6"/>
  <c r="C243" i="6" s="1"/>
  <c r="D245" i="6"/>
  <c r="C245" i="6" s="1"/>
  <c r="D242" i="6"/>
  <c r="C982" i="6"/>
  <c r="C983" i="6"/>
  <c r="C984" i="6"/>
  <c r="C981" i="6"/>
  <c r="C483" i="6"/>
  <c r="C482" i="6" s="1"/>
  <c r="C346" i="6"/>
  <c r="N14" i="5" l="1"/>
  <c r="D241" i="6"/>
  <c r="D758" i="6"/>
  <c r="C345" i="6"/>
  <c r="C257" i="6"/>
  <c r="C255" i="6"/>
  <c r="C759" i="6"/>
  <c r="C758" i="6" s="1"/>
  <c r="C242" i="6"/>
  <c r="C241" i="6" s="1"/>
  <c r="D980" i="6"/>
  <c r="C980" i="6"/>
  <c r="D498" i="6" l="1"/>
  <c r="D264" i="6"/>
  <c r="C264" i="6" l="1"/>
  <c r="Q365" i="6" l="1"/>
  <c r="P1046" i="5" l="1"/>
  <c r="P1043" i="5" s="1"/>
  <c r="O1046" i="5"/>
  <c r="O1043" i="5" s="1"/>
  <c r="O1020" i="5"/>
  <c r="O1019" i="5"/>
  <c r="P1018" i="5"/>
  <c r="P1017" i="5" s="1"/>
  <c r="O1018" i="5"/>
  <c r="P1013" i="5"/>
  <c r="P1011" i="5" s="1"/>
  <c r="O1008" i="5"/>
  <c r="O1005" i="5" s="1"/>
  <c r="P1007" i="5"/>
  <c r="P1006" i="5"/>
  <c r="P982" i="5"/>
  <c r="P981" i="5" s="1"/>
  <c r="O982" i="5"/>
  <c r="O981" i="5" s="1"/>
  <c r="F136" i="7"/>
  <c r="D136" i="7"/>
  <c r="D111" i="7" s="1"/>
  <c r="C136" i="7"/>
  <c r="C111" i="7" s="1"/>
  <c r="F133" i="7"/>
  <c r="P940" i="5"/>
  <c r="O940" i="5"/>
  <c r="O936" i="5" s="1"/>
  <c r="P939" i="5"/>
  <c r="P936" i="5" s="1"/>
  <c r="P931" i="5"/>
  <c r="P930" i="5"/>
  <c r="P911" i="5"/>
  <c r="P897" i="5" s="1"/>
  <c r="O849" i="5"/>
  <c r="O807" i="5"/>
  <c r="P803" i="5"/>
  <c r="P795" i="5" s="1"/>
  <c r="O775" i="5"/>
  <c r="O776" i="5"/>
  <c r="O778" i="5"/>
  <c r="P777" i="5"/>
  <c r="P774" i="5" s="1"/>
  <c r="O748" i="5"/>
  <c r="O747" i="5"/>
  <c r="P754" i="5"/>
  <c r="P746" i="5" s="1"/>
  <c r="O746" i="5" l="1"/>
  <c r="P929" i="5"/>
  <c r="O1017" i="5"/>
  <c r="P1005" i="5"/>
  <c r="O774" i="5"/>
  <c r="O848" i="5"/>
  <c r="F140" i="7"/>
  <c r="F115" i="7"/>
  <c r="F135" i="7"/>
  <c r="F111" i="7" l="1"/>
  <c r="P523" i="5"/>
  <c r="P521" i="5" s="1"/>
  <c r="M103" i="6" l="1"/>
  <c r="M96" i="6" s="1"/>
  <c r="M9" i="6" s="1"/>
  <c r="T112" i="6" l="1"/>
  <c r="R112" i="6"/>
  <c r="N112" i="6"/>
  <c r="J112" i="6"/>
  <c r="I112" i="6"/>
  <c r="G112" i="6"/>
  <c r="F112" i="6"/>
  <c r="E112" i="6"/>
  <c r="D74" i="6" l="1"/>
  <c r="C74" i="6" s="1"/>
  <c r="D76" i="6"/>
  <c r="C76" i="6" s="1"/>
  <c r="D78" i="6"/>
  <c r="C78" i="6" s="1"/>
  <c r="D117" i="6"/>
  <c r="C117" i="6" s="1"/>
  <c r="D118" i="6"/>
  <c r="C118" i="6" s="1"/>
  <c r="D77" i="6"/>
  <c r="C77" i="6" s="1"/>
  <c r="D112" i="6"/>
  <c r="C112" i="6" s="1"/>
  <c r="D73" i="6"/>
  <c r="C73" i="6" s="1"/>
  <c r="D75" i="6"/>
  <c r="C75" i="6" s="1"/>
  <c r="G72" i="6"/>
  <c r="F116" i="6"/>
  <c r="E116" i="6"/>
  <c r="J72" i="6"/>
  <c r="F72" i="6"/>
  <c r="H72" i="6"/>
  <c r="N72" i="6"/>
  <c r="G116" i="6"/>
  <c r="I72" i="6"/>
  <c r="E72" i="6"/>
  <c r="H116" i="6"/>
  <c r="I116" i="6"/>
  <c r="J116" i="6"/>
  <c r="N116" i="6"/>
  <c r="T116" i="6"/>
  <c r="T9" i="6" s="1"/>
  <c r="R116" i="6"/>
  <c r="R9" i="6" s="1"/>
  <c r="X116" i="6"/>
  <c r="X9" i="6" s="1"/>
  <c r="F103" i="6"/>
  <c r="F96" i="6" s="1"/>
  <c r="H103" i="6"/>
  <c r="J103" i="6"/>
  <c r="J96" i="6" s="1"/>
  <c r="G103" i="6"/>
  <c r="G96" i="6" s="1"/>
  <c r="I103" i="6"/>
  <c r="N103" i="6"/>
  <c r="N96" i="6" s="1"/>
  <c r="D116" i="6" l="1"/>
  <c r="C116" i="6" s="1"/>
  <c r="G9" i="6"/>
  <c r="N9" i="6"/>
  <c r="F9" i="6"/>
  <c r="J9" i="6"/>
  <c r="D72" i="6"/>
  <c r="I96" i="6"/>
  <c r="I9" i="6" s="1"/>
  <c r="H96" i="6"/>
  <c r="H9" i="6" s="1"/>
  <c r="E103" i="6"/>
  <c r="D103" i="6" s="1"/>
  <c r="C103" i="6" s="1"/>
  <c r="C72" i="6" l="1"/>
  <c r="D93" i="7"/>
  <c r="C93" i="7"/>
  <c r="D58" i="7"/>
  <c r="C58" i="7"/>
  <c r="O482" i="5" l="1"/>
  <c r="O479" i="5" s="1"/>
  <c r="D100" i="7" l="1"/>
  <c r="C100" i="7"/>
  <c r="D31" i="7"/>
  <c r="D9" i="7" s="1"/>
  <c r="C31" i="7"/>
  <c r="C9" i="7" s="1"/>
  <c r="E96" i="6" l="1"/>
  <c r="D96" i="6" l="1"/>
  <c r="E9" i="6"/>
  <c r="O432" i="5"/>
  <c r="C96" i="6" l="1"/>
  <c r="C9" i="6" s="1"/>
  <c r="D9" i="6"/>
  <c r="O431" i="5"/>
  <c r="E365" i="6"/>
  <c r="F365" i="6"/>
  <c r="G365" i="6"/>
  <c r="H365" i="6"/>
  <c r="I365" i="6"/>
  <c r="J365" i="6"/>
  <c r="N365" i="6"/>
  <c r="O365" i="6"/>
  <c r="P365" i="6"/>
  <c r="R365" i="6"/>
  <c r="S365" i="6"/>
  <c r="T365" i="6"/>
  <c r="W365" i="6"/>
  <c r="X365" i="6"/>
  <c r="Z365" i="6"/>
  <c r="AA365" i="6"/>
  <c r="P365" i="5" l="1"/>
  <c r="D469" i="6" l="1"/>
  <c r="C469" i="6" s="1"/>
  <c r="D468" i="6"/>
  <c r="D479" i="6"/>
  <c r="D478" i="6" s="1"/>
  <c r="D350" i="6"/>
  <c r="D484" i="6" l="1"/>
  <c r="D349" i="6"/>
  <c r="C468" i="6"/>
  <c r="C467" i="6" s="1"/>
  <c r="D467" i="6"/>
  <c r="C350" i="6"/>
  <c r="C479" i="6"/>
  <c r="C478" i="6" s="1"/>
  <c r="C427" i="6"/>
  <c r="C424" i="6" s="1"/>
  <c r="C495" i="6"/>
  <c r="C494" i="6" s="1"/>
  <c r="D307" i="6"/>
  <c r="D304" i="6" s="1"/>
  <c r="D261" i="6"/>
  <c r="D259" i="6" s="1"/>
  <c r="D273" i="6"/>
  <c r="D269" i="6" s="1"/>
  <c r="C419" i="6"/>
  <c r="C418" i="6" s="1"/>
  <c r="D365" i="6" l="1"/>
  <c r="C484" i="6"/>
  <c r="C349" i="6"/>
  <c r="D183" i="6"/>
  <c r="C307" i="6"/>
  <c r="C304" i="6" s="1"/>
  <c r="C273" i="6"/>
  <c r="C261" i="6"/>
  <c r="C259" i="6" s="1"/>
  <c r="C269" i="6" l="1"/>
  <c r="C183" i="6" s="1"/>
  <c r="C365" i="6"/>
  <c r="F47" i="7" l="1"/>
  <c r="C47" i="7" l="1"/>
  <c r="C43" i="7" s="1"/>
  <c r="D47" i="7"/>
  <c r="O272" i="5" l="1"/>
  <c r="O196" i="5" s="1"/>
  <c r="O194" i="5" s="1"/>
  <c r="P162" i="5" l="1"/>
  <c r="P161" i="5" l="1"/>
  <c r="P16" i="5" s="1"/>
  <c r="D46" i="7" l="1"/>
  <c r="D43" i="7" s="1"/>
  <c r="F100" i="7" l="1"/>
  <c r="F31" i="7"/>
  <c r="F9" i="7" s="1"/>
  <c r="D91" i="7" l="1"/>
  <c r="F91" i="7"/>
  <c r="C91" i="7"/>
  <c r="C504" i="2"/>
  <c r="C505" i="2"/>
  <c r="C503" i="2"/>
  <c r="O504" i="5" l="1"/>
  <c r="D102" i="7"/>
  <c r="C102" i="7"/>
  <c r="O473" i="5"/>
  <c r="O464" i="5" s="1"/>
  <c r="O427" i="5"/>
  <c r="O425" i="5" s="1"/>
  <c r="O503" i="5" l="1"/>
  <c r="O384" i="5" s="1"/>
  <c r="O382" i="5" s="1"/>
  <c r="F58" i="7"/>
  <c r="F93" i="7"/>
  <c r="F77" i="7" s="1"/>
  <c r="D79" i="7"/>
  <c r="D77" i="7" s="1"/>
  <c r="D7" i="7" s="1"/>
  <c r="C79" i="7"/>
  <c r="C77" i="7" s="1"/>
  <c r="K14" i="5" l="1"/>
  <c r="J14" i="5"/>
  <c r="O14" i="5"/>
  <c r="I14" i="5"/>
  <c r="L14" i="5" l="1"/>
  <c r="E207" i="3" l="1"/>
  <c r="F207" i="3"/>
  <c r="G207" i="3"/>
  <c r="H207" i="3"/>
  <c r="J207" i="3"/>
  <c r="K207" i="3"/>
  <c r="L207" i="3"/>
  <c r="E114" i="3"/>
  <c r="F114" i="3"/>
  <c r="G114" i="3"/>
  <c r="H114" i="3"/>
  <c r="J114" i="3"/>
  <c r="K114" i="3"/>
  <c r="L114" i="3"/>
  <c r="Y813" i="2"/>
  <c r="Q14" i="5" l="1"/>
  <c r="I235" i="3"/>
  <c r="D354" i="2"/>
  <c r="E354" i="2"/>
  <c r="F354" i="2"/>
  <c r="G354" i="2"/>
  <c r="H354" i="2"/>
  <c r="I354" i="2"/>
  <c r="J354" i="2"/>
  <c r="K354" i="2"/>
  <c r="L354" i="2"/>
  <c r="M354" i="2"/>
  <c r="N354" i="2"/>
  <c r="P354" i="2"/>
  <c r="Q354" i="2"/>
  <c r="R354" i="2"/>
  <c r="S354" i="2"/>
  <c r="T354" i="2"/>
  <c r="U354" i="2"/>
  <c r="D892" i="2"/>
  <c r="E892" i="2"/>
  <c r="F892" i="2"/>
  <c r="G892" i="2"/>
  <c r="H892" i="2"/>
  <c r="I892" i="2"/>
  <c r="J892" i="2"/>
  <c r="K892" i="2"/>
  <c r="L892" i="2"/>
  <c r="M892" i="2"/>
  <c r="N892" i="2"/>
  <c r="P892" i="2"/>
  <c r="Q892" i="2"/>
  <c r="R892" i="2"/>
  <c r="S892" i="2"/>
  <c r="T892" i="2"/>
  <c r="U892" i="2"/>
  <c r="D1383" i="2"/>
  <c r="E1383" i="2"/>
  <c r="F1383" i="2"/>
  <c r="G1383" i="2"/>
  <c r="H1383" i="2"/>
  <c r="I1383" i="2"/>
  <c r="J1383" i="2"/>
  <c r="K1383" i="2"/>
  <c r="L1383" i="2"/>
  <c r="M1383" i="2"/>
  <c r="N1383" i="2"/>
  <c r="P1383" i="2"/>
  <c r="Q1383" i="2"/>
  <c r="R1383" i="2"/>
  <c r="S1383" i="2"/>
  <c r="T1383" i="2"/>
  <c r="U1383" i="2"/>
  <c r="L1417" i="1"/>
  <c r="O1385" i="2" s="1"/>
  <c r="W1385" i="2" s="1"/>
  <c r="L1418" i="1"/>
  <c r="O1386" i="2" s="1"/>
  <c r="W1386" i="2" s="1"/>
  <c r="L1419" i="1"/>
  <c r="O1387" i="2" s="1"/>
  <c r="W1387" i="2" s="1"/>
  <c r="L1420" i="1"/>
  <c r="O1388" i="2" s="1"/>
  <c r="W1388" i="2" s="1"/>
  <c r="L1421" i="1"/>
  <c r="O1389" i="2" s="1"/>
  <c r="W1389" i="2" s="1"/>
  <c r="L1422" i="1"/>
  <c r="O1390" i="2" s="1"/>
  <c r="W1390" i="2" s="1"/>
  <c r="L1416" i="1"/>
  <c r="O1384" i="2" s="1"/>
  <c r="L919" i="1"/>
  <c r="O894" i="2" s="1"/>
  <c r="W894" i="2" s="1"/>
  <c r="L920" i="1"/>
  <c r="O895" i="2" s="1"/>
  <c r="W895" i="2" s="1"/>
  <c r="L921" i="1"/>
  <c r="O896" i="2" s="1"/>
  <c r="W896" i="2" s="1"/>
  <c r="L922" i="1"/>
  <c r="O897" i="2" s="1"/>
  <c r="W897" i="2" s="1"/>
  <c r="L923" i="1"/>
  <c r="O898" i="2" s="1"/>
  <c r="W898" i="2" s="1"/>
  <c r="L924" i="1"/>
  <c r="O899" i="2" s="1"/>
  <c r="W899" i="2" s="1"/>
  <c r="L925" i="1"/>
  <c r="O900" i="2" s="1"/>
  <c r="W900" i="2" s="1"/>
  <c r="L918" i="1"/>
  <c r="O893" i="2" s="1"/>
  <c r="L366" i="1"/>
  <c r="L367" i="1"/>
  <c r="L368" i="1"/>
  <c r="L369" i="1"/>
  <c r="L370" i="1"/>
  <c r="L371" i="1"/>
  <c r="L372" i="1"/>
  <c r="L365" i="1"/>
  <c r="P14" i="5" l="1"/>
  <c r="O362" i="2"/>
  <c r="W362" i="2" s="1"/>
  <c r="O355" i="2"/>
  <c r="W355" i="2" s="1"/>
  <c r="O361" i="2"/>
  <c r="W361" i="2" s="1"/>
  <c r="O359" i="2"/>
  <c r="W359" i="2" s="1"/>
  <c r="O357" i="2"/>
  <c r="W357" i="2" s="1"/>
  <c r="O360" i="2"/>
  <c r="W360" i="2" s="1"/>
  <c r="O358" i="2"/>
  <c r="W358" i="2" s="1"/>
  <c r="W356" i="2"/>
  <c r="W893" i="2"/>
  <c r="O892" i="2"/>
  <c r="W1384" i="2"/>
  <c r="O1383" i="2"/>
  <c r="C1384" i="2"/>
  <c r="C1389" i="2"/>
  <c r="C1387" i="2"/>
  <c r="C1385" i="2"/>
  <c r="C900" i="2"/>
  <c r="C898" i="2"/>
  <c r="C896" i="2"/>
  <c r="C894" i="2"/>
  <c r="C355" i="2"/>
  <c r="C361" i="2"/>
  <c r="C359" i="2"/>
  <c r="C357" i="2"/>
  <c r="C1390" i="2"/>
  <c r="C1388" i="2"/>
  <c r="C1386" i="2"/>
  <c r="C893" i="2"/>
  <c r="C899" i="2"/>
  <c r="C897" i="2"/>
  <c r="C895" i="2"/>
  <c r="C362" i="2"/>
  <c r="C360" i="2"/>
  <c r="C358" i="2"/>
  <c r="C356" i="2"/>
  <c r="E216" i="3"/>
  <c r="F216" i="3"/>
  <c r="G216" i="3"/>
  <c r="H216" i="3"/>
  <c r="J216" i="3"/>
  <c r="K216" i="3"/>
  <c r="E25" i="3"/>
  <c r="F25" i="3"/>
  <c r="G25" i="3"/>
  <c r="H25" i="3"/>
  <c r="J25" i="3"/>
  <c r="K25" i="3"/>
  <c r="L25" i="3"/>
  <c r="W300" i="2"/>
  <c r="W302" i="2"/>
  <c r="W304" i="2"/>
  <c r="W306" i="2"/>
  <c r="W310" i="2"/>
  <c r="I878" i="1"/>
  <c r="J878" i="1"/>
  <c r="K878" i="1"/>
  <c r="L878" i="1"/>
  <c r="M878" i="1"/>
  <c r="N878" i="1"/>
  <c r="P878" i="1"/>
  <c r="H878" i="1"/>
  <c r="O354" i="2" l="1"/>
  <c r="C354" i="2"/>
  <c r="C1383" i="2"/>
  <c r="C892" i="2"/>
  <c r="C250" i="3"/>
  <c r="D410" i="2"/>
  <c r="E410" i="2"/>
  <c r="F410" i="2"/>
  <c r="G410" i="2"/>
  <c r="H410" i="2"/>
  <c r="I410" i="2"/>
  <c r="J410" i="2"/>
  <c r="K410" i="2"/>
  <c r="L410" i="2"/>
  <c r="M410" i="2"/>
  <c r="N410" i="2"/>
  <c r="O410" i="2"/>
  <c r="P410" i="2"/>
  <c r="Q410" i="2"/>
  <c r="R410" i="2"/>
  <c r="S410" i="2"/>
  <c r="T410" i="2"/>
  <c r="U410" i="2"/>
  <c r="W411" i="2"/>
  <c r="C411" i="2"/>
  <c r="C410" i="2" s="1"/>
  <c r="X945" i="2"/>
  <c r="X944" i="2"/>
  <c r="D943" i="2"/>
  <c r="E943" i="2"/>
  <c r="F943" i="2"/>
  <c r="G943" i="2"/>
  <c r="H943" i="2"/>
  <c r="I943" i="2"/>
  <c r="J943" i="2"/>
  <c r="K943" i="2"/>
  <c r="L943" i="2"/>
  <c r="M943" i="2"/>
  <c r="N943" i="2"/>
  <c r="O943" i="2"/>
  <c r="P943" i="2"/>
  <c r="Q943" i="2"/>
  <c r="R943" i="2"/>
  <c r="S943" i="2"/>
  <c r="T943" i="2"/>
  <c r="U943" i="2"/>
  <c r="V943" i="2"/>
  <c r="C945" i="2"/>
  <c r="C944" i="2"/>
  <c r="C1430" i="2"/>
  <c r="I958" i="1"/>
  <c r="J958" i="1"/>
  <c r="K958" i="1"/>
  <c r="L958" i="1"/>
  <c r="M157" i="3" s="1"/>
  <c r="M958" i="1"/>
  <c r="N958" i="1"/>
  <c r="O958" i="1"/>
  <c r="P958" i="1"/>
  <c r="H958" i="1"/>
  <c r="Q960" i="1"/>
  <c r="Q959" i="1"/>
  <c r="Q416" i="1"/>
  <c r="D1222" i="2"/>
  <c r="E1222" i="2"/>
  <c r="F1222" i="2"/>
  <c r="G1222" i="2"/>
  <c r="H1222" i="2"/>
  <c r="I1222" i="2"/>
  <c r="J1222" i="2"/>
  <c r="K1222" i="2"/>
  <c r="L1222" i="2"/>
  <c r="M1222" i="2"/>
  <c r="N1222" i="2"/>
  <c r="P1222" i="2"/>
  <c r="Q1222" i="2"/>
  <c r="R1222" i="2"/>
  <c r="S1222" i="2"/>
  <c r="T1222" i="2"/>
  <c r="U1222" i="2"/>
  <c r="D730" i="2"/>
  <c r="E730" i="2"/>
  <c r="F730" i="2"/>
  <c r="G730" i="2"/>
  <c r="H730" i="2"/>
  <c r="I730" i="2"/>
  <c r="J730" i="2"/>
  <c r="K730" i="2"/>
  <c r="L730" i="2"/>
  <c r="M730" i="2"/>
  <c r="N730" i="2"/>
  <c r="P730" i="2"/>
  <c r="Q730" i="2"/>
  <c r="R730" i="2"/>
  <c r="S730" i="2"/>
  <c r="T730" i="2"/>
  <c r="U730" i="2"/>
  <c r="V730" i="2"/>
  <c r="D177" i="2"/>
  <c r="E177" i="2"/>
  <c r="F177" i="2"/>
  <c r="G177" i="2"/>
  <c r="H177" i="2"/>
  <c r="I177" i="2"/>
  <c r="J177" i="2"/>
  <c r="K177" i="2"/>
  <c r="L177" i="2"/>
  <c r="M177" i="2"/>
  <c r="N177" i="2"/>
  <c r="P177" i="2"/>
  <c r="Q177" i="2"/>
  <c r="R177" i="2"/>
  <c r="S177" i="2"/>
  <c r="T177" i="2"/>
  <c r="U177" i="2"/>
  <c r="V177" i="2"/>
  <c r="L1257" i="1"/>
  <c r="C1224" i="2" s="1"/>
  <c r="O1224" i="2" s="1"/>
  <c r="W1224" i="2" s="1"/>
  <c r="L1258" i="1"/>
  <c r="C1225" i="2" s="1"/>
  <c r="O1225" i="2" s="1"/>
  <c r="W1225" i="2" s="1"/>
  <c r="L1259" i="1"/>
  <c r="C1226" i="2" s="1"/>
  <c r="O1226" i="2" s="1"/>
  <c r="W1226" i="2" s="1"/>
  <c r="L1260" i="1"/>
  <c r="C1227" i="2" s="1"/>
  <c r="O1227" i="2" s="1"/>
  <c r="W1227" i="2" s="1"/>
  <c r="L1261" i="1"/>
  <c r="C1228" i="2" s="1"/>
  <c r="O1228" i="2" s="1"/>
  <c r="W1228" i="2" s="1"/>
  <c r="L1262" i="1"/>
  <c r="C1229" i="2" s="1"/>
  <c r="O1229" i="2" s="1"/>
  <c r="W1229" i="2" s="1"/>
  <c r="L1263" i="1"/>
  <c r="C1230" i="2" s="1"/>
  <c r="O1230" i="2" s="1"/>
  <c r="W1230" i="2" s="1"/>
  <c r="L1264" i="1"/>
  <c r="C1231" i="2" s="1"/>
  <c r="O1231" i="2" s="1"/>
  <c r="W1231" i="2" s="1"/>
  <c r="L1265" i="1"/>
  <c r="C1232" i="2" s="1"/>
  <c r="O1232" i="2" s="1"/>
  <c r="W1232" i="2" s="1"/>
  <c r="L1266" i="1"/>
  <c r="C1233" i="2" s="1"/>
  <c r="O1233" i="2" s="1"/>
  <c r="W1233" i="2" s="1"/>
  <c r="L1256" i="1"/>
  <c r="C1223" i="2" s="1"/>
  <c r="H1255" i="1"/>
  <c r="C199" i="3" s="1"/>
  <c r="L755" i="1"/>
  <c r="C732" i="2" s="1"/>
  <c r="O732" i="2" s="1"/>
  <c r="W732" i="2" s="1"/>
  <c r="L756" i="1"/>
  <c r="C733" i="2" s="1"/>
  <c r="O733" i="2" s="1"/>
  <c r="W733" i="2" s="1"/>
  <c r="L757" i="1"/>
  <c r="C734" i="2" s="1"/>
  <c r="O734" i="2" s="1"/>
  <c r="W734" i="2" s="1"/>
  <c r="L758" i="1"/>
  <c r="C735" i="2" s="1"/>
  <c r="O735" i="2" s="1"/>
  <c r="W735" i="2" s="1"/>
  <c r="L759" i="1"/>
  <c r="C736" i="2" s="1"/>
  <c r="O736" i="2" s="1"/>
  <c r="W736" i="2" s="1"/>
  <c r="L760" i="1"/>
  <c r="C737" i="2" s="1"/>
  <c r="O737" i="2" s="1"/>
  <c r="W737" i="2" s="1"/>
  <c r="L761" i="1"/>
  <c r="C738" i="2" s="1"/>
  <c r="O738" i="2" s="1"/>
  <c r="W738" i="2" s="1"/>
  <c r="L762" i="1"/>
  <c r="C739" i="2" s="1"/>
  <c r="O739" i="2" s="1"/>
  <c r="W739" i="2" s="1"/>
  <c r="L763" i="1"/>
  <c r="C740" i="2" s="1"/>
  <c r="O740" i="2" s="1"/>
  <c r="W740" i="2" s="1"/>
  <c r="L764" i="1"/>
  <c r="C741" i="2" s="1"/>
  <c r="O741" i="2" s="1"/>
  <c r="W741" i="2" s="1"/>
  <c r="L765" i="1"/>
  <c r="C742" i="2" s="1"/>
  <c r="O742" i="2" s="1"/>
  <c r="W742" i="2" s="1"/>
  <c r="L766" i="1"/>
  <c r="C743" i="2" s="1"/>
  <c r="O743" i="2" s="1"/>
  <c r="W743" i="2" s="1"/>
  <c r="L754" i="1"/>
  <c r="C731" i="2" s="1"/>
  <c r="O731" i="2" s="1"/>
  <c r="L190" i="1"/>
  <c r="C179" i="2" s="1"/>
  <c r="O179" i="2" s="1"/>
  <c r="W179" i="2" s="1"/>
  <c r="L191" i="1"/>
  <c r="C180" i="2" s="1"/>
  <c r="O180" i="2" s="1"/>
  <c r="W180" i="2" s="1"/>
  <c r="L192" i="1"/>
  <c r="C181" i="2" s="1"/>
  <c r="O181" i="2" s="1"/>
  <c r="W181" i="2" s="1"/>
  <c r="L193" i="1"/>
  <c r="C182" i="2" s="1"/>
  <c r="O182" i="2" s="1"/>
  <c r="W182" i="2" s="1"/>
  <c r="L194" i="1"/>
  <c r="C183" i="2" s="1"/>
  <c r="O183" i="2" s="1"/>
  <c r="W183" i="2" s="1"/>
  <c r="L195" i="1"/>
  <c r="C184" i="2" s="1"/>
  <c r="O184" i="2" s="1"/>
  <c r="W184" i="2" s="1"/>
  <c r="L196" i="1"/>
  <c r="C185" i="2" s="1"/>
  <c r="O185" i="2" s="1"/>
  <c r="W185" i="2" s="1"/>
  <c r="L197" i="1"/>
  <c r="C186" i="2" s="1"/>
  <c r="O186" i="2" s="1"/>
  <c r="W186" i="2" s="1"/>
  <c r="L198" i="1"/>
  <c r="C187" i="2" s="1"/>
  <c r="O187" i="2" s="1"/>
  <c r="W187" i="2" s="1"/>
  <c r="L199" i="1"/>
  <c r="C188" i="2" s="1"/>
  <c r="O188" i="2" s="1"/>
  <c r="W188" i="2" s="1"/>
  <c r="L200" i="1"/>
  <c r="C189" i="2" s="1"/>
  <c r="O189" i="2" s="1"/>
  <c r="W189" i="2" s="1"/>
  <c r="L201" i="1"/>
  <c r="C190" i="2" s="1"/>
  <c r="O190" i="2" s="1"/>
  <c r="W190" i="2" s="1"/>
  <c r="L202" i="1"/>
  <c r="C191" i="2" s="1"/>
  <c r="O191" i="2" s="1"/>
  <c r="W191" i="2" s="1"/>
  <c r="L203" i="1"/>
  <c r="C192" i="2" s="1"/>
  <c r="O192" i="2" s="1"/>
  <c r="W192" i="2" s="1"/>
  <c r="L204" i="1"/>
  <c r="C193" i="2" s="1"/>
  <c r="O193" i="2" s="1"/>
  <c r="W193" i="2" s="1"/>
  <c r="L189" i="1"/>
  <c r="C178" i="2" s="1"/>
  <c r="O188" i="1"/>
  <c r="O939" i="1"/>
  <c r="C157" i="3" l="1"/>
  <c r="D157" i="3"/>
  <c r="C1222" i="2"/>
  <c r="C943" i="2"/>
  <c r="O1223" i="2"/>
  <c r="C177" i="2"/>
  <c r="O730" i="2"/>
  <c r="W731" i="2"/>
  <c r="C730" i="2"/>
  <c r="O178" i="2"/>
  <c r="W178" i="2" s="1"/>
  <c r="W1223" i="2" l="1"/>
  <c r="O1222" i="2"/>
  <c r="O177" i="2"/>
  <c r="E430" i="2" l="1"/>
  <c r="F430" i="2"/>
  <c r="G430" i="2"/>
  <c r="H430" i="2"/>
  <c r="I430" i="2"/>
  <c r="J430" i="2"/>
  <c r="K430" i="2"/>
  <c r="L430" i="2"/>
  <c r="M430" i="2"/>
  <c r="N430" i="2"/>
  <c r="O430" i="2"/>
  <c r="P430" i="2"/>
  <c r="Q430" i="2"/>
  <c r="R430" i="2"/>
  <c r="S430" i="2"/>
  <c r="T430" i="2"/>
  <c r="U430" i="2"/>
  <c r="W1456" i="2"/>
  <c r="D1455" i="2"/>
  <c r="E1455" i="2"/>
  <c r="F1455" i="2"/>
  <c r="G1455" i="2"/>
  <c r="H1455" i="2"/>
  <c r="I1455" i="2"/>
  <c r="J1455" i="2"/>
  <c r="K1455" i="2"/>
  <c r="L1455" i="2"/>
  <c r="M1455" i="2"/>
  <c r="N1455" i="2"/>
  <c r="O1455" i="2"/>
  <c r="P1455" i="2"/>
  <c r="Q1455" i="2"/>
  <c r="R1455" i="2"/>
  <c r="S1455" i="2"/>
  <c r="T1455" i="2"/>
  <c r="U1455" i="2"/>
  <c r="C1456" i="2"/>
  <c r="C1455" i="2" s="1"/>
  <c r="X974" i="2"/>
  <c r="X973" i="2"/>
  <c r="X972" i="2"/>
  <c r="D971" i="2"/>
  <c r="E971" i="2"/>
  <c r="F971" i="2"/>
  <c r="G971" i="2"/>
  <c r="H971" i="2"/>
  <c r="I971" i="2"/>
  <c r="J971" i="2"/>
  <c r="K971" i="2"/>
  <c r="L971" i="2"/>
  <c r="M971" i="2"/>
  <c r="N971" i="2"/>
  <c r="O971" i="2"/>
  <c r="P971" i="2"/>
  <c r="Q971" i="2"/>
  <c r="R971" i="2"/>
  <c r="S971" i="2"/>
  <c r="T971" i="2"/>
  <c r="U971" i="2"/>
  <c r="V971" i="2"/>
  <c r="C973" i="2"/>
  <c r="C974" i="2"/>
  <c r="C972" i="2"/>
  <c r="D436" i="2"/>
  <c r="E436" i="2"/>
  <c r="F436" i="2"/>
  <c r="G436" i="2"/>
  <c r="H436" i="2"/>
  <c r="I436" i="2"/>
  <c r="J436" i="2"/>
  <c r="K436" i="2"/>
  <c r="L436" i="2"/>
  <c r="M436" i="2"/>
  <c r="N436" i="2"/>
  <c r="O436" i="2"/>
  <c r="P436" i="2"/>
  <c r="Q436" i="2"/>
  <c r="R436" i="2"/>
  <c r="S436" i="2"/>
  <c r="T436" i="2"/>
  <c r="U436" i="2"/>
  <c r="V436" i="2"/>
  <c r="W437" i="2"/>
  <c r="C437" i="2"/>
  <c r="C436" i="2" s="1"/>
  <c r="Q988" i="1"/>
  <c r="I986" i="1"/>
  <c r="J986" i="1"/>
  <c r="K986" i="1"/>
  <c r="L986" i="1"/>
  <c r="M986" i="1"/>
  <c r="N986" i="1"/>
  <c r="P986" i="1"/>
  <c r="H986" i="1"/>
  <c r="Q987" i="1"/>
  <c r="H441" i="1"/>
  <c r="X333" i="2"/>
  <c r="W333" i="2"/>
  <c r="X332" i="2"/>
  <c r="W332" i="2"/>
  <c r="D331" i="2"/>
  <c r="E331" i="2"/>
  <c r="F331" i="2"/>
  <c r="G331" i="2"/>
  <c r="H331" i="2"/>
  <c r="I331" i="2"/>
  <c r="J331" i="2"/>
  <c r="K331" i="2"/>
  <c r="L331" i="2"/>
  <c r="M331" i="2"/>
  <c r="N331" i="2"/>
  <c r="O331" i="2"/>
  <c r="P331" i="2"/>
  <c r="Q331" i="2"/>
  <c r="R331" i="2"/>
  <c r="S331" i="2"/>
  <c r="T331" i="2"/>
  <c r="U331" i="2"/>
  <c r="V331" i="2"/>
  <c r="C333" i="2"/>
  <c r="C332" i="2"/>
  <c r="I341" i="1"/>
  <c r="J341" i="1"/>
  <c r="K341" i="1"/>
  <c r="D42" i="3" s="1"/>
  <c r="L341" i="1"/>
  <c r="L42" i="3" s="1"/>
  <c r="N42" i="3" s="1"/>
  <c r="M341" i="1"/>
  <c r="N341" i="1"/>
  <c r="O341" i="1"/>
  <c r="P341" i="1"/>
  <c r="H341" i="1"/>
  <c r="C42" i="3" s="1"/>
  <c r="Q343" i="1"/>
  <c r="Q342" i="1"/>
  <c r="D166" i="3" l="1"/>
  <c r="C166" i="3"/>
  <c r="M166" i="3"/>
  <c r="C971" i="2"/>
  <c r="C331" i="2"/>
  <c r="AB968" i="2"/>
  <c r="E964" i="2"/>
  <c r="F964" i="2"/>
  <c r="G964" i="2"/>
  <c r="H964" i="2"/>
  <c r="I964" i="2"/>
  <c r="J964" i="2"/>
  <c r="K964" i="2"/>
  <c r="L964" i="2"/>
  <c r="M964" i="2"/>
  <c r="N964" i="2"/>
  <c r="O964" i="2"/>
  <c r="P964" i="2"/>
  <c r="Q964" i="2"/>
  <c r="R964" i="2"/>
  <c r="S964" i="2"/>
  <c r="T964" i="2"/>
  <c r="U964" i="2"/>
  <c r="H979" i="1"/>
  <c r="E172" i="3" l="1"/>
  <c r="F172" i="3"/>
  <c r="G172" i="3"/>
  <c r="H172" i="3"/>
  <c r="J172" i="3"/>
  <c r="K172" i="3"/>
  <c r="L172" i="3"/>
  <c r="M172" i="3"/>
  <c r="D265" i="3"/>
  <c r="E265" i="3"/>
  <c r="F265" i="3"/>
  <c r="G265" i="3"/>
  <c r="H265" i="3"/>
  <c r="I265" i="3"/>
  <c r="J265" i="3"/>
  <c r="K265" i="3"/>
  <c r="L265" i="3"/>
  <c r="M265" i="3"/>
  <c r="C265" i="3"/>
  <c r="D1474" i="2"/>
  <c r="E1474" i="2"/>
  <c r="F1474" i="2"/>
  <c r="G1474" i="2"/>
  <c r="H1474" i="2"/>
  <c r="I1474" i="2"/>
  <c r="J1474" i="2"/>
  <c r="K1474" i="2"/>
  <c r="L1474" i="2"/>
  <c r="M1474" i="2"/>
  <c r="N1474" i="2"/>
  <c r="O1474" i="2"/>
  <c r="P1474" i="2"/>
  <c r="Q1474" i="2"/>
  <c r="R1474" i="2"/>
  <c r="S1474" i="2"/>
  <c r="T1474" i="2"/>
  <c r="U1474" i="2"/>
  <c r="V1474" i="2"/>
  <c r="C1474" i="2"/>
  <c r="D993" i="2"/>
  <c r="E993" i="2"/>
  <c r="F993" i="2"/>
  <c r="G993" i="2"/>
  <c r="H993" i="2"/>
  <c r="I993" i="2"/>
  <c r="J993" i="2"/>
  <c r="K993" i="2"/>
  <c r="L993" i="2"/>
  <c r="M993" i="2"/>
  <c r="N993" i="2"/>
  <c r="O993" i="2"/>
  <c r="P993" i="2"/>
  <c r="Q993" i="2"/>
  <c r="R993" i="2"/>
  <c r="S993" i="2"/>
  <c r="T993" i="2"/>
  <c r="U993" i="2"/>
  <c r="V993" i="2"/>
  <c r="C993" i="2"/>
  <c r="H1080" i="1"/>
  <c r="V1459" i="2"/>
  <c r="D1460" i="2"/>
  <c r="D1459" i="2" s="1"/>
  <c r="E1460" i="2"/>
  <c r="E1459" i="2" s="1"/>
  <c r="F1460" i="2"/>
  <c r="F1459" i="2" s="1"/>
  <c r="G1460" i="2"/>
  <c r="G1459" i="2" s="1"/>
  <c r="H1460" i="2"/>
  <c r="H1459" i="2" s="1"/>
  <c r="I1460" i="2"/>
  <c r="I1459" i="2" s="1"/>
  <c r="J1460" i="2"/>
  <c r="J1459" i="2" s="1"/>
  <c r="K1460" i="2"/>
  <c r="K1459" i="2" s="1"/>
  <c r="L1460" i="2"/>
  <c r="L1459" i="2" s="1"/>
  <c r="M1460" i="2"/>
  <c r="M1459" i="2" s="1"/>
  <c r="N1460" i="2"/>
  <c r="N1459" i="2" s="1"/>
  <c r="O1460" i="2"/>
  <c r="O1459" i="2" s="1"/>
  <c r="P1460" i="2"/>
  <c r="P1459" i="2" s="1"/>
  <c r="Q1460" i="2"/>
  <c r="Q1459" i="2" s="1"/>
  <c r="R1460" i="2"/>
  <c r="R1459" i="2" s="1"/>
  <c r="S1460" i="2"/>
  <c r="S1459" i="2" s="1"/>
  <c r="T1460" i="2"/>
  <c r="T1459" i="2" s="1"/>
  <c r="U1460" i="2"/>
  <c r="U1459" i="2" s="1"/>
  <c r="W1461" i="2"/>
  <c r="C1461" i="2"/>
  <c r="C1460" i="2" s="1"/>
  <c r="C1459" i="2" s="1"/>
  <c r="D978" i="2"/>
  <c r="E978" i="2"/>
  <c r="F978" i="2"/>
  <c r="G978" i="2"/>
  <c r="H978" i="2"/>
  <c r="I978" i="2"/>
  <c r="J978" i="2"/>
  <c r="K978" i="2"/>
  <c r="L978" i="2"/>
  <c r="M978" i="2"/>
  <c r="N978" i="2"/>
  <c r="O978" i="2"/>
  <c r="P978" i="2"/>
  <c r="Q978" i="2"/>
  <c r="R978" i="2"/>
  <c r="S978" i="2"/>
  <c r="T978" i="2"/>
  <c r="U978" i="2"/>
  <c r="W980" i="2"/>
  <c r="AE979" i="2"/>
  <c r="C980" i="2"/>
  <c r="C979" i="2"/>
  <c r="Y443" i="2"/>
  <c r="AE442" i="2"/>
  <c r="D443" i="2"/>
  <c r="D442" i="2"/>
  <c r="E441" i="2"/>
  <c r="F441" i="2"/>
  <c r="G441" i="2"/>
  <c r="H441" i="2"/>
  <c r="I441" i="2"/>
  <c r="J441" i="2"/>
  <c r="K441" i="2"/>
  <c r="L441" i="2"/>
  <c r="M441" i="2"/>
  <c r="N441" i="2"/>
  <c r="O441" i="2"/>
  <c r="P441" i="2"/>
  <c r="Q441" i="2"/>
  <c r="R441" i="2"/>
  <c r="S441" i="2"/>
  <c r="T441" i="2"/>
  <c r="U441" i="2"/>
  <c r="C443" i="2"/>
  <c r="C442" i="2"/>
  <c r="C441" i="2" l="1"/>
  <c r="C978" i="2"/>
  <c r="D441" i="2"/>
  <c r="E76" i="3"/>
  <c r="F76" i="3"/>
  <c r="G76" i="3"/>
  <c r="H76" i="3"/>
  <c r="J76" i="3"/>
  <c r="K76" i="3"/>
  <c r="L76" i="3"/>
  <c r="AG484" i="2"/>
  <c r="AG475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466" i="2"/>
  <c r="L547" i="1"/>
  <c r="L548" i="1"/>
  <c r="L549" i="1"/>
  <c r="L550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46" i="1"/>
  <c r="D1536" i="2" l="1"/>
  <c r="E1536" i="2"/>
  <c r="F1536" i="2"/>
  <c r="G1536" i="2"/>
  <c r="H1536" i="2"/>
  <c r="I1536" i="2"/>
  <c r="J1536" i="2"/>
  <c r="K1536" i="2"/>
  <c r="L1536" i="2"/>
  <c r="M1536" i="2"/>
  <c r="N1536" i="2"/>
  <c r="O1536" i="2"/>
  <c r="P1536" i="2"/>
  <c r="Q1536" i="2"/>
  <c r="R1536" i="2"/>
  <c r="S1536" i="2"/>
  <c r="T1536" i="2"/>
  <c r="U1536" i="2"/>
  <c r="V1536" i="2"/>
  <c r="W1537" i="2"/>
  <c r="C1537" i="2"/>
  <c r="C1536" i="2" s="1"/>
  <c r="W560" i="2"/>
  <c r="I1488" i="1"/>
  <c r="J1488" i="1"/>
  <c r="K1488" i="1"/>
  <c r="L1488" i="1"/>
  <c r="M1488" i="1"/>
  <c r="N1488" i="1"/>
  <c r="P1488" i="1"/>
  <c r="H1488" i="1"/>
  <c r="W1374" i="2"/>
  <c r="W1375" i="2"/>
  <c r="W1376" i="2"/>
  <c r="W1377" i="2"/>
  <c r="W1378" i="2"/>
  <c r="W1379" i="2"/>
  <c r="W1380" i="2"/>
  <c r="W1381" i="2"/>
  <c r="W1373" i="2"/>
  <c r="V1371" i="2"/>
  <c r="D1372" i="2"/>
  <c r="D1371" i="2" s="1"/>
  <c r="E1372" i="2"/>
  <c r="E1371" i="2" s="1"/>
  <c r="F1372" i="2"/>
  <c r="F1371" i="2" s="1"/>
  <c r="G1372" i="2"/>
  <c r="G1371" i="2" s="1"/>
  <c r="H1372" i="2"/>
  <c r="H1371" i="2" s="1"/>
  <c r="I1372" i="2"/>
  <c r="I1371" i="2" s="1"/>
  <c r="J1372" i="2"/>
  <c r="J1371" i="2" s="1"/>
  <c r="K1372" i="2"/>
  <c r="K1371" i="2" s="1"/>
  <c r="L1372" i="2"/>
  <c r="L1371" i="2" s="1"/>
  <c r="M1372" i="2"/>
  <c r="M1371" i="2" s="1"/>
  <c r="N1372" i="2"/>
  <c r="N1371" i="2" s="1"/>
  <c r="O1372" i="2"/>
  <c r="O1371" i="2" s="1"/>
  <c r="P1372" i="2"/>
  <c r="P1371" i="2" s="1"/>
  <c r="Q1372" i="2"/>
  <c r="Q1371" i="2" s="1"/>
  <c r="R1372" i="2"/>
  <c r="R1371" i="2" s="1"/>
  <c r="S1372" i="2"/>
  <c r="S1371" i="2" s="1"/>
  <c r="T1372" i="2"/>
  <c r="T1371" i="2" s="1"/>
  <c r="U1372" i="2"/>
  <c r="U1371" i="2" s="1"/>
  <c r="C1374" i="2"/>
  <c r="C1375" i="2"/>
  <c r="C1376" i="2"/>
  <c r="C1377" i="2"/>
  <c r="C1378" i="2"/>
  <c r="C1379" i="2"/>
  <c r="C1380" i="2"/>
  <c r="C1381" i="2"/>
  <c r="C1373" i="2"/>
  <c r="W886" i="2"/>
  <c r="W887" i="2"/>
  <c r="W888" i="2"/>
  <c r="W889" i="2"/>
  <c r="W890" i="2"/>
  <c r="W885" i="2"/>
  <c r="D884" i="2"/>
  <c r="E884" i="2"/>
  <c r="F884" i="2"/>
  <c r="G884" i="2"/>
  <c r="H884" i="2"/>
  <c r="I884" i="2"/>
  <c r="J884" i="2"/>
  <c r="K884" i="2"/>
  <c r="L884" i="2"/>
  <c r="M884" i="2"/>
  <c r="N884" i="2"/>
  <c r="O884" i="2"/>
  <c r="P884" i="2"/>
  <c r="Q884" i="2"/>
  <c r="R884" i="2"/>
  <c r="S884" i="2"/>
  <c r="T884" i="2"/>
  <c r="U884" i="2"/>
  <c r="V884" i="2"/>
  <c r="C886" i="2"/>
  <c r="C887" i="2"/>
  <c r="C888" i="2"/>
  <c r="C889" i="2"/>
  <c r="C890" i="2"/>
  <c r="C885" i="2"/>
  <c r="W345" i="2"/>
  <c r="W346" i="2"/>
  <c r="W347" i="2"/>
  <c r="W348" i="2"/>
  <c r="W349" i="2"/>
  <c r="W350" i="2"/>
  <c r="W351" i="2"/>
  <c r="W352" i="2"/>
  <c r="W344" i="2"/>
  <c r="D343" i="2"/>
  <c r="D342" i="2" s="1"/>
  <c r="E343" i="2"/>
  <c r="E342" i="2" s="1"/>
  <c r="F343" i="2"/>
  <c r="F342" i="2" s="1"/>
  <c r="G343" i="2"/>
  <c r="G342" i="2" s="1"/>
  <c r="H343" i="2"/>
  <c r="H342" i="2" s="1"/>
  <c r="I343" i="2"/>
  <c r="I342" i="2" s="1"/>
  <c r="J343" i="2"/>
  <c r="J342" i="2" s="1"/>
  <c r="K343" i="2"/>
  <c r="K342" i="2" s="1"/>
  <c r="L343" i="2"/>
  <c r="L342" i="2" s="1"/>
  <c r="M343" i="2"/>
  <c r="M342" i="2" s="1"/>
  <c r="N343" i="2"/>
  <c r="N342" i="2" s="1"/>
  <c r="O343" i="2"/>
  <c r="O342" i="2" s="1"/>
  <c r="P343" i="2"/>
  <c r="P342" i="2" s="1"/>
  <c r="Q343" i="2"/>
  <c r="Q342" i="2" s="1"/>
  <c r="R343" i="2"/>
  <c r="R342" i="2" s="1"/>
  <c r="S343" i="2"/>
  <c r="S342" i="2" s="1"/>
  <c r="T343" i="2"/>
  <c r="T342" i="2" s="1"/>
  <c r="U343" i="2"/>
  <c r="U342" i="2" s="1"/>
  <c r="C345" i="2"/>
  <c r="C346" i="2"/>
  <c r="C347" i="2"/>
  <c r="C348" i="2"/>
  <c r="C349" i="2"/>
  <c r="C350" i="2"/>
  <c r="C351" i="2"/>
  <c r="C352" i="2"/>
  <c r="C344" i="2"/>
  <c r="D224" i="2"/>
  <c r="D225" i="2"/>
  <c r="D226" i="2"/>
  <c r="D227" i="2"/>
  <c r="D228" i="2"/>
  <c r="D229" i="2"/>
  <c r="D230" i="2"/>
  <c r="D231" i="2"/>
  <c r="C224" i="2"/>
  <c r="C225" i="2"/>
  <c r="C226" i="2"/>
  <c r="C227" i="2"/>
  <c r="C228" i="2"/>
  <c r="C229" i="2"/>
  <c r="C230" i="2"/>
  <c r="C231" i="2"/>
  <c r="C223" i="2"/>
  <c r="X1264" i="2"/>
  <c r="AF1263" i="2"/>
  <c r="D1262" i="2"/>
  <c r="E1262" i="2"/>
  <c r="F1262" i="2"/>
  <c r="G1262" i="2"/>
  <c r="H1262" i="2"/>
  <c r="I1262" i="2"/>
  <c r="J1262" i="2"/>
  <c r="K1262" i="2"/>
  <c r="L1262" i="2"/>
  <c r="M1262" i="2"/>
  <c r="N1262" i="2"/>
  <c r="O1262" i="2"/>
  <c r="P1262" i="2"/>
  <c r="Q1262" i="2"/>
  <c r="R1262" i="2"/>
  <c r="S1262" i="2"/>
  <c r="T1262" i="2"/>
  <c r="U1262" i="2"/>
  <c r="V1262" i="2"/>
  <c r="C1264" i="2"/>
  <c r="C1263" i="2"/>
  <c r="I1295" i="1"/>
  <c r="J1295" i="1"/>
  <c r="K1295" i="1"/>
  <c r="L1295" i="1"/>
  <c r="M1295" i="1"/>
  <c r="N1295" i="1"/>
  <c r="O1295" i="1"/>
  <c r="P1295" i="1"/>
  <c r="H1295" i="1"/>
  <c r="Q1297" i="1"/>
  <c r="Q1296" i="1"/>
  <c r="D465" i="2"/>
  <c r="E465" i="2"/>
  <c r="F465" i="2"/>
  <c r="G465" i="2"/>
  <c r="H465" i="2"/>
  <c r="I465" i="2"/>
  <c r="J465" i="2"/>
  <c r="K465" i="2"/>
  <c r="L465" i="2"/>
  <c r="M465" i="2"/>
  <c r="N465" i="2"/>
  <c r="O465" i="2"/>
  <c r="P465" i="2"/>
  <c r="Q465" i="2"/>
  <c r="R465" i="2"/>
  <c r="S465" i="2"/>
  <c r="T465" i="2"/>
  <c r="U465" i="2"/>
  <c r="V465" i="2"/>
  <c r="V456" i="2" s="1"/>
  <c r="W466" i="2"/>
  <c r="E457" i="2"/>
  <c r="F457" i="2"/>
  <c r="G457" i="2"/>
  <c r="H457" i="2"/>
  <c r="I457" i="2"/>
  <c r="J457" i="2"/>
  <c r="K457" i="2"/>
  <c r="L457" i="2"/>
  <c r="M457" i="2"/>
  <c r="N457" i="2"/>
  <c r="O457" i="2"/>
  <c r="P457" i="2"/>
  <c r="Q457" i="2"/>
  <c r="R457" i="2"/>
  <c r="S457" i="2"/>
  <c r="T457" i="2"/>
  <c r="U457" i="2"/>
  <c r="AB464" i="2"/>
  <c r="AG463" i="2"/>
  <c r="AD462" i="2"/>
  <c r="Y462" i="2"/>
  <c r="AD461" i="2"/>
  <c r="AB461" i="2"/>
  <c r="W460" i="2"/>
  <c r="W459" i="2"/>
  <c r="W458" i="2"/>
  <c r="D459" i="2"/>
  <c r="D460" i="2"/>
  <c r="D461" i="2"/>
  <c r="D462" i="2"/>
  <c r="D463" i="2"/>
  <c r="D464" i="2"/>
  <c r="D458" i="2"/>
  <c r="C459" i="2"/>
  <c r="C460" i="2"/>
  <c r="C461" i="2"/>
  <c r="C462" i="2"/>
  <c r="C463" i="2"/>
  <c r="C464" i="2"/>
  <c r="C458" i="2"/>
  <c r="Q539" i="1"/>
  <c r="Q540" i="1"/>
  <c r="Q541" i="1"/>
  <c r="Q542" i="1"/>
  <c r="Q543" i="1"/>
  <c r="Q544" i="1"/>
  <c r="Q538" i="1"/>
  <c r="H767" i="1"/>
  <c r="R456" i="2" l="1"/>
  <c r="N456" i="2"/>
  <c r="J456" i="2"/>
  <c r="Q456" i="2"/>
  <c r="M456" i="2"/>
  <c r="I456" i="2"/>
  <c r="S456" i="2"/>
  <c r="O456" i="2"/>
  <c r="K456" i="2"/>
  <c r="U456" i="2"/>
  <c r="T456" i="2"/>
  <c r="P456" i="2"/>
  <c r="L456" i="2"/>
  <c r="H456" i="2"/>
  <c r="M202" i="3"/>
  <c r="C262" i="3"/>
  <c r="M262" i="3"/>
  <c r="C202" i="3"/>
  <c r="D202" i="3"/>
  <c r="D262" i="3"/>
  <c r="C1372" i="2"/>
  <c r="C1371" i="2" s="1"/>
  <c r="D457" i="2"/>
  <c r="D456" i="2" s="1"/>
  <c r="G456" i="2"/>
  <c r="E456" i="2"/>
  <c r="C1262" i="2"/>
  <c r="C343" i="2"/>
  <c r="C342" i="2" s="1"/>
  <c r="C884" i="2"/>
  <c r="F456" i="2"/>
  <c r="C457" i="2"/>
  <c r="Q1258" i="1"/>
  <c r="Q1259" i="1"/>
  <c r="Q1260" i="1"/>
  <c r="Q1261" i="1"/>
  <c r="Q1262" i="1"/>
  <c r="Q1263" i="1"/>
  <c r="Q1264" i="1"/>
  <c r="Q1265" i="1"/>
  <c r="Q1266" i="1"/>
  <c r="Q760" i="1" l="1"/>
  <c r="Q761" i="1"/>
  <c r="Q762" i="1"/>
  <c r="Q763" i="1"/>
  <c r="Q764" i="1"/>
  <c r="Q765" i="1"/>
  <c r="Q194" i="1"/>
  <c r="Q195" i="1"/>
  <c r="Q196" i="1"/>
  <c r="Q197" i="1"/>
  <c r="Q198" i="1"/>
  <c r="Q199" i="1"/>
  <c r="Q200" i="1"/>
  <c r="Q201" i="1"/>
  <c r="AD1304" i="2"/>
  <c r="AB1304" i="2"/>
  <c r="AA1304" i="2"/>
  <c r="D1304" i="2"/>
  <c r="E1300" i="2"/>
  <c r="F1300" i="2"/>
  <c r="G1300" i="2"/>
  <c r="H1300" i="2"/>
  <c r="I1300" i="2"/>
  <c r="J1300" i="2"/>
  <c r="K1300" i="2"/>
  <c r="L1300" i="2"/>
  <c r="M1300" i="2"/>
  <c r="N1300" i="2"/>
  <c r="O1300" i="2"/>
  <c r="P1300" i="2"/>
  <c r="Q1300" i="2"/>
  <c r="R1300" i="2"/>
  <c r="S1300" i="2"/>
  <c r="T1300" i="2"/>
  <c r="U1300" i="2"/>
  <c r="V1300" i="2"/>
  <c r="C1304" i="2"/>
  <c r="Y271" i="2"/>
  <c r="Y270" i="2"/>
  <c r="Y815" i="2"/>
  <c r="I1332" i="1"/>
  <c r="K1332" i="1"/>
  <c r="L1332" i="1"/>
  <c r="M1332" i="1"/>
  <c r="N1332" i="1"/>
  <c r="P1332" i="1"/>
  <c r="H1332" i="1"/>
  <c r="Q1336" i="1"/>
  <c r="O1336" i="1"/>
  <c r="O277" i="1"/>
  <c r="A275" i="1" l="1"/>
  <c r="A276" i="1" s="1"/>
  <c r="A278" i="1"/>
  <c r="A279" i="1" s="1"/>
  <c r="A271" i="1"/>
  <c r="E235" i="2"/>
  <c r="F235" i="2"/>
  <c r="G235" i="2"/>
  <c r="H235" i="2"/>
  <c r="I235" i="2"/>
  <c r="J235" i="2"/>
  <c r="K235" i="2"/>
  <c r="L235" i="2"/>
  <c r="M235" i="2"/>
  <c r="N235" i="2"/>
  <c r="O235" i="2"/>
  <c r="P235" i="2"/>
  <c r="Q235" i="2"/>
  <c r="R235" i="2"/>
  <c r="S235" i="2"/>
  <c r="T235" i="2"/>
  <c r="U235" i="2"/>
  <c r="V235" i="2"/>
  <c r="AD240" i="2"/>
  <c r="AD239" i="2"/>
  <c r="D237" i="2"/>
  <c r="D238" i="2"/>
  <c r="D239" i="2"/>
  <c r="D240" i="2"/>
  <c r="D236" i="2"/>
  <c r="C239" i="2"/>
  <c r="C240" i="2"/>
  <c r="W1276" i="2"/>
  <c r="E1275" i="2"/>
  <c r="F1275" i="2"/>
  <c r="G1275" i="2"/>
  <c r="H1275" i="2"/>
  <c r="I1275" i="2"/>
  <c r="J1275" i="2"/>
  <c r="K1275" i="2"/>
  <c r="L1275" i="2"/>
  <c r="M1275" i="2"/>
  <c r="N1275" i="2"/>
  <c r="O1275" i="2"/>
  <c r="P1275" i="2"/>
  <c r="Q1275" i="2"/>
  <c r="R1275" i="2"/>
  <c r="S1275" i="2"/>
  <c r="T1275" i="2"/>
  <c r="U1275" i="2"/>
  <c r="I244" i="1"/>
  <c r="J244" i="1"/>
  <c r="K244" i="1"/>
  <c r="L244" i="1"/>
  <c r="N244" i="1"/>
  <c r="P244" i="1"/>
  <c r="H244" i="1"/>
  <c r="D1341" i="2"/>
  <c r="E1341" i="2"/>
  <c r="F1341" i="2"/>
  <c r="G1341" i="2"/>
  <c r="H1341" i="2"/>
  <c r="I1341" i="2"/>
  <c r="J1341" i="2"/>
  <c r="K1341" i="2"/>
  <c r="L1341" i="2"/>
  <c r="M1341" i="2"/>
  <c r="N1341" i="2"/>
  <c r="O1341" i="2"/>
  <c r="P1341" i="2"/>
  <c r="Q1341" i="2"/>
  <c r="R1341" i="2"/>
  <c r="S1341" i="2"/>
  <c r="T1341" i="2"/>
  <c r="U1341" i="2"/>
  <c r="W1342" i="2"/>
  <c r="C1342" i="2"/>
  <c r="C1341" i="2" s="1"/>
  <c r="D855" i="2"/>
  <c r="E855" i="2"/>
  <c r="F855" i="2"/>
  <c r="G855" i="2"/>
  <c r="H855" i="2"/>
  <c r="I855" i="2"/>
  <c r="J855" i="2"/>
  <c r="K855" i="2"/>
  <c r="L855" i="2"/>
  <c r="M855" i="2"/>
  <c r="N855" i="2"/>
  <c r="O855" i="2"/>
  <c r="P855" i="2"/>
  <c r="Q855" i="2"/>
  <c r="R855" i="2"/>
  <c r="S855" i="2"/>
  <c r="T855" i="2"/>
  <c r="U855" i="2"/>
  <c r="W856" i="2"/>
  <c r="C856" i="2"/>
  <c r="C855" i="2" s="1"/>
  <c r="I1373" i="1"/>
  <c r="J1373" i="1"/>
  <c r="K1373" i="1"/>
  <c r="L1373" i="1"/>
  <c r="M1373" i="1"/>
  <c r="N1373" i="1"/>
  <c r="P1373" i="1"/>
  <c r="H1373" i="1"/>
  <c r="C1346" i="2"/>
  <c r="C1345" i="2" s="1"/>
  <c r="D1345" i="2"/>
  <c r="E1345" i="2"/>
  <c r="F1345" i="2"/>
  <c r="G1345" i="2"/>
  <c r="H1345" i="2"/>
  <c r="I1345" i="2"/>
  <c r="J1345" i="2"/>
  <c r="K1345" i="2"/>
  <c r="L1345" i="2"/>
  <c r="M1345" i="2"/>
  <c r="N1345" i="2"/>
  <c r="O1345" i="2"/>
  <c r="P1345" i="2"/>
  <c r="Q1345" i="2"/>
  <c r="R1345" i="2"/>
  <c r="S1345" i="2"/>
  <c r="T1345" i="2"/>
  <c r="U1345" i="2"/>
  <c r="V1345" i="2"/>
  <c r="I545" i="1"/>
  <c r="J545" i="1"/>
  <c r="K545" i="1"/>
  <c r="M545" i="1"/>
  <c r="N545" i="1"/>
  <c r="O545" i="1"/>
  <c r="P545" i="1"/>
  <c r="H545" i="1"/>
  <c r="C466" i="2"/>
  <c r="I537" i="1"/>
  <c r="J537" i="1"/>
  <c r="K537" i="1"/>
  <c r="L537" i="1"/>
  <c r="M537" i="1"/>
  <c r="N537" i="1"/>
  <c r="O537" i="1"/>
  <c r="P537" i="1"/>
  <c r="H537" i="1"/>
  <c r="C746" i="2"/>
  <c r="C745" i="2"/>
  <c r="C195" i="2"/>
  <c r="N240" i="3"/>
  <c r="N146" i="3"/>
  <c r="N50" i="3"/>
  <c r="W365" i="2"/>
  <c r="W364" i="2"/>
  <c r="D363" i="2"/>
  <c r="E363" i="2"/>
  <c r="F363" i="2"/>
  <c r="G363" i="2"/>
  <c r="H363" i="2"/>
  <c r="I363" i="2"/>
  <c r="J363" i="2"/>
  <c r="K363" i="2"/>
  <c r="L363" i="2"/>
  <c r="M363" i="2"/>
  <c r="N363" i="2"/>
  <c r="O363" i="2"/>
  <c r="P363" i="2"/>
  <c r="Q363" i="2"/>
  <c r="R363" i="2"/>
  <c r="S363" i="2"/>
  <c r="T363" i="2"/>
  <c r="U363" i="2"/>
  <c r="C365" i="2"/>
  <c r="C364" i="2"/>
  <c r="E901" i="2"/>
  <c r="F901" i="2"/>
  <c r="G901" i="2"/>
  <c r="H901" i="2"/>
  <c r="I901" i="2"/>
  <c r="J901" i="2"/>
  <c r="K901" i="2"/>
  <c r="L901" i="2"/>
  <c r="M901" i="2"/>
  <c r="N901" i="2"/>
  <c r="O901" i="2"/>
  <c r="P901" i="2"/>
  <c r="Q901" i="2"/>
  <c r="R901" i="2"/>
  <c r="S901" i="2"/>
  <c r="T901" i="2"/>
  <c r="U901" i="2"/>
  <c r="V901" i="2"/>
  <c r="Y903" i="2"/>
  <c r="X902" i="2"/>
  <c r="D903" i="2"/>
  <c r="D902" i="2"/>
  <c r="C903" i="2"/>
  <c r="C902" i="2"/>
  <c r="E1391" i="2"/>
  <c r="F1391" i="2"/>
  <c r="G1391" i="2"/>
  <c r="H1391" i="2"/>
  <c r="I1391" i="2"/>
  <c r="J1391" i="2"/>
  <c r="K1391" i="2"/>
  <c r="L1391" i="2"/>
  <c r="M1391" i="2"/>
  <c r="N1391" i="2"/>
  <c r="O1391" i="2"/>
  <c r="P1391" i="2"/>
  <c r="Q1391" i="2"/>
  <c r="R1391" i="2"/>
  <c r="S1391" i="2"/>
  <c r="T1391" i="2"/>
  <c r="U1391" i="2"/>
  <c r="Y1393" i="2"/>
  <c r="W1392" i="2"/>
  <c r="D1393" i="2"/>
  <c r="D1392" i="2"/>
  <c r="C1393" i="2"/>
  <c r="C1392" i="2"/>
  <c r="I1423" i="1"/>
  <c r="J1423" i="1"/>
  <c r="K1423" i="1"/>
  <c r="L1423" i="1"/>
  <c r="M1423" i="1"/>
  <c r="N1423" i="1"/>
  <c r="O1423" i="1"/>
  <c r="P1423" i="1"/>
  <c r="H1423" i="1"/>
  <c r="Q1424" i="1"/>
  <c r="Q1425" i="1"/>
  <c r="I926" i="1"/>
  <c r="J926" i="1"/>
  <c r="K926" i="1"/>
  <c r="D146" i="3" s="1"/>
  <c r="L926" i="1"/>
  <c r="M926" i="1"/>
  <c r="N926" i="1"/>
  <c r="O926" i="1"/>
  <c r="P926" i="1"/>
  <c r="H926" i="1"/>
  <c r="C146" i="3" s="1"/>
  <c r="Q927" i="1"/>
  <c r="Q928" i="1"/>
  <c r="I373" i="1"/>
  <c r="J373" i="1"/>
  <c r="K373" i="1"/>
  <c r="L373" i="1"/>
  <c r="M373" i="1"/>
  <c r="N373" i="1"/>
  <c r="O373" i="1"/>
  <c r="P373" i="1"/>
  <c r="H373" i="1"/>
  <c r="Q374" i="1"/>
  <c r="Q375" i="1"/>
  <c r="E132" i="3"/>
  <c r="F132" i="3"/>
  <c r="G132" i="3"/>
  <c r="H132" i="3"/>
  <c r="J132" i="3"/>
  <c r="K132" i="3"/>
  <c r="L132" i="3"/>
  <c r="E226" i="3"/>
  <c r="F226" i="3"/>
  <c r="G226" i="3"/>
  <c r="H226" i="3"/>
  <c r="J226" i="3"/>
  <c r="K226" i="3"/>
  <c r="L226" i="3"/>
  <c r="W318" i="2"/>
  <c r="W319" i="2"/>
  <c r="W320" i="2"/>
  <c r="W321" i="2"/>
  <c r="W317" i="2"/>
  <c r="D316" i="2"/>
  <c r="D315" i="2" s="1"/>
  <c r="E316" i="2"/>
  <c r="E315" i="2" s="1"/>
  <c r="F316" i="2"/>
  <c r="F315" i="2" s="1"/>
  <c r="G316" i="2"/>
  <c r="G315" i="2" s="1"/>
  <c r="H316" i="2"/>
  <c r="H315" i="2" s="1"/>
  <c r="I316" i="2"/>
  <c r="I315" i="2" s="1"/>
  <c r="J316" i="2"/>
  <c r="J315" i="2" s="1"/>
  <c r="K316" i="2"/>
  <c r="K315" i="2" s="1"/>
  <c r="L316" i="2"/>
  <c r="L315" i="2" s="1"/>
  <c r="M316" i="2"/>
  <c r="M315" i="2" s="1"/>
  <c r="N316" i="2"/>
  <c r="N315" i="2" s="1"/>
  <c r="O316" i="2"/>
  <c r="O315" i="2" s="1"/>
  <c r="P316" i="2"/>
  <c r="P315" i="2" s="1"/>
  <c r="Q316" i="2"/>
  <c r="Q315" i="2" s="1"/>
  <c r="R316" i="2"/>
  <c r="R315" i="2" s="1"/>
  <c r="S316" i="2"/>
  <c r="S315" i="2" s="1"/>
  <c r="T316" i="2"/>
  <c r="T315" i="2" s="1"/>
  <c r="U316" i="2"/>
  <c r="U315" i="2" s="1"/>
  <c r="C318" i="2"/>
  <c r="C319" i="2"/>
  <c r="C320" i="2"/>
  <c r="C321" i="2"/>
  <c r="C317" i="2"/>
  <c r="V862" i="2"/>
  <c r="D863" i="2"/>
  <c r="D862" i="2" s="1"/>
  <c r="E863" i="2"/>
  <c r="E862" i="2" s="1"/>
  <c r="F863" i="2"/>
  <c r="F862" i="2" s="1"/>
  <c r="G863" i="2"/>
  <c r="G862" i="2" s="1"/>
  <c r="H863" i="2"/>
  <c r="H862" i="2" s="1"/>
  <c r="I863" i="2"/>
  <c r="I862" i="2" s="1"/>
  <c r="J863" i="2"/>
  <c r="J862" i="2" s="1"/>
  <c r="K863" i="2"/>
  <c r="K862" i="2" s="1"/>
  <c r="L863" i="2"/>
  <c r="L862" i="2" s="1"/>
  <c r="M863" i="2"/>
  <c r="M862" i="2" s="1"/>
  <c r="N863" i="2"/>
  <c r="N862" i="2" s="1"/>
  <c r="O863" i="2"/>
  <c r="O862" i="2" s="1"/>
  <c r="P863" i="2"/>
  <c r="P862" i="2" s="1"/>
  <c r="Q863" i="2"/>
  <c r="Q862" i="2" s="1"/>
  <c r="R863" i="2"/>
  <c r="R862" i="2" s="1"/>
  <c r="S863" i="2"/>
  <c r="S862" i="2" s="1"/>
  <c r="T863" i="2"/>
  <c r="T862" i="2" s="1"/>
  <c r="U863" i="2"/>
  <c r="U862" i="2" s="1"/>
  <c r="W864" i="2"/>
  <c r="C864" i="2"/>
  <c r="C863" i="2" s="1"/>
  <c r="C862" i="2" s="1"/>
  <c r="D1352" i="2"/>
  <c r="D1351" i="2" s="1"/>
  <c r="E1352" i="2"/>
  <c r="E1351" i="2" s="1"/>
  <c r="F1352" i="2"/>
  <c r="F1351" i="2" s="1"/>
  <c r="G1352" i="2"/>
  <c r="G1351" i="2" s="1"/>
  <c r="H1352" i="2"/>
  <c r="H1351" i="2" s="1"/>
  <c r="I1352" i="2"/>
  <c r="I1351" i="2" s="1"/>
  <c r="J1352" i="2"/>
  <c r="J1351" i="2" s="1"/>
  <c r="K1352" i="2"/>
  <c r="K1351" i="2" s="1"/>
  <c r="L1352" i="2"/>
  <c r="L1351" i="2" s="1"/>
  <c r="M1352" i="2"/>
  <c r="M1351" i="2" s="1"/>
  <c r="N1352" i="2"/>
  <c r="N1351" i="2" s="1"/>
  <c r="O1352" i="2"/>
  <c r="O1351" i="2" s="1"/>
  <c r="P1352" i="2"/>
  <c r="P1351" i="2" s="1"/>
  <c r="Q1352" i="2"/>
  <c r="Q1351" i="2" s="1"/>
  <c r="R1352" i="2"/>
  <c r="R1351" i="2" s="1"/>
  <c r="S1352" i="2"/>
  <c r="S1351" i="2" s="1"/>
  <c r="T1352" i="2"/>
  <c r="T1351" i="2" s="1"/>
  <c r="U1352" i="2"/>
  <c r="U1351" i="2" s="1"/>
  <c r="V1352" i="2"/>
  <c r="V1351" i="2" s="1"/>
  <c r="W1353" i="2"/>
  <c r="C1353" i="2"/>
  <c r="C1352" i="2" s="1"/>
  <c r="C1351" i="2" s="1"/>
  <c r="O1384" i="1"/>
  <c r="I1384" i="1"/>
  <c r="J1384" i="1"/>
  <c r="K1384" i="1"/>
  <c r="L1384" i="1"/>
  <c r="M1384" i="1"/>
  <c r="N1384" i="1"/>
  <c r="H1384" i="1"/>
  <c r="I887" i="1"/>
  <c r="J887" i="1"/>
  <c r="K887" i="1"/>
  <c r="L887" i="1"/>
  <c r="M887" i="1"/>
  <c r="N887" i="1"/>
  <c r="O887" i="1"/>
  <c r="H887" i="1"/>
  <c r="Q329" i="1"/>
  <c r="I204" i="3"/>
  <c r="N111" i="3"/>
  <c r="I111" i="3"/>
  <c r="N13" i="3"/>
  <c r="I13" i="3"/>
  <c r="X250" i="2"/>
  <c r="D250" i="2"/>
  <c r="D249" i="2"/>
  <c r="Y249" i="2"/>
  <c r="X249" i="2"/>
  <c r="F248" i="2"/>
  <c r="G248" i="2"/>
  <c r="H248" i="2"/>
  <c r="I248" i="2"/>
  <c r="J248" i="2"/>
  <c r="K248" i="2"/>
  <c r="L248" i="2"/>
  <c r="M248" i="2"/>
  <c r="N248" i="2"/>
  <c r="O248" i="2"/>
  <c r="P248" i="2"/>
  <c r="Q248" i="2"/>
  <c r="R248" i="2"/>
  <c r="S248" i="2"/>
  <c r="T248" i="2"/>
  <c r="U248" i="2"/>
  <c r="V248" i="2"/>
  <c r="C250" i="2"/>
  <c r="C249" i="2"/>
  <c r="E799" i="2"/>
  <c r="F799" i="2"/>
  <c r="G799" i="2"/>
  <c r="H799" i="2"/>
  <c r="I799" i="2"/>
  <c r="J799" i="2"/>
  <c r="K799" i="2"/>
  <c r="L799" i="2"/>
  <c r="M799" i="2"/>
  <c r="N799" i="2"/>
  <c r="O799" i="2"/>
  <c r="P799" i="2"/>
  <c r="Q799" i="2"/>
  <c r="R799" i="2"/>
  <c r="S799" i="2"/>
  <c r="T799" i="2"/>
  <c r="U799" i="2"/>
  <c r="X801" i="2"/>
  <c r="D801" i="2"/>
  <c r="D800" i="2"/>
  <c r="Y800" i="2"/>
  <c r="X800" i="2"/>
  <c r="C801" i="2"/>
  <c r="C800" i="2"/>
  <c r="D1288" i="2"/>
  <c r="E1288" i="2"/>
  <c r="F1288" i="2"/>
  <c r="G1288" i="2"/>
  <c r="H1288" i="2"/>
  <c r="I1288" i="2"/>
  <c r="J1288" i="2"/>
  <c r="K1288" i="2"/>
  <c r="L1288" i="2"/>
  <c r="M1288" i="2"/>
  <c r="N1288" i="2"/>
  <c r="O1288" i="2"/>
  <c r="P1288" i="2"/>
  <c r="Q1288" i="2"/>
  <c r="R1288" i="2"/>
  <c r="S1288" i="2"/>
  <c r="T1288" i="2"/>
  <c r="U1288" i="2"/>
  <c r="V1288" i="2"/>
  <c r="X1289" i="2"/>
  <c r="C1289" i="2"/>
  <c r="C1288" i="2" s="1"/>
  <c r="I1320" i="1"/>
  <c r="J1320" i="1"/>
  <c r="K1320" i="1"/>
  <c r="L1320" i="1"/>
  <c r="M1320" i="1"/>
  <c r="N1320" i="1"/>
  <c r="O1320" i="1"/>
  <c r="P1320" i="1"/>
  <c r="H1320" i="1"/>
  <c r="Q1321" i="1"/>
  <c r="I822" i="1"/>
  <c r="J822" i="1"/>
  <c r="K822" i="1"/>
  <c r="L822" i="1"/>
  <c r="M822" i="1"/>
  <c r="N822" i="1"/>
  <c r="O822" i="1"/>
  <c r="P822" i="1"/>
  <c r="H822" i="1"/>
  <c r="Q823" i="1"/>
  <c r="Q824" i="1"/>
  <c r="I257" i="1"/>
  <c r="J257" i="1"/>
  <c r="K257" i="1"/>
  <c r="L257" i="1"/>
  <c r="M257" i="1"/>
  <c r="N257" i="1"/>
  <c r="O257" i="1"/>
  <c r="P257" i="1"/>
  <c r="H257" i="1"/>
  <c r="Q248" i="1"/>
  <c r="Q249" i="1"/>
  <c r="Q258" i="1"/>
  <c r="Q259" i="1"/>
  <c r="N536" i="1" l="1"/>
  <c r="I536" i="1"/>
  <c r="M536" i="1"/>
  <c r="P536" i="1"/>
  <c r="O536" i="1"/>
  <c r="C13" i="3"/>
  <c r="D13" i="3"/>
  <c r="D133" i="3"/>
  <c r="D132" i="3" s="1"/>
  <c r="M227" i="3"/>
  <c r="M226" i="3" s="1"/>
  <c r="D78" i="3"/>
  <c r="C221" i="3"/>
  <c r="L221" i="3"/>
  <c r="N221" i="3" s="1"/>
  <c r="C111" i="3"/>
  <c r="D111" i="3"/>
  <c r="C204" i="3"/>
  <c r="D204" i="3"/>
  <c r="C133" i="3"/>
  <c r="C132" i="3" s="1"/>
  <c r="M133" i="3"/>
  <c r="M132" i="3" s="1"/>
  <c r="C227" i="3"/>
  <c r="C226" i="3" s="1"/>
  <c r="D227" i="3"/>
  <c r="D226" i="3" s="1"/>
  <c r="C50" i="3"/>
  <c r="D50" i="3"/>
  <c r="C240" i="3"/>
  <c r="D240" i="3"/>
  <c r="H536" i="1"/>
  <c r="K536" i="1"/>
  <c r="C78" i="3"/>
  <c r="D221" i="3"/>
  <c r="J536" i="1"/>
  <c r="D799" i="2"/>
  <c r="D235" i="2"/>
  <c r="Q580" i="1"/>
  <c r="C500" i="2"/>
  <c r="Q578" i="1"/>
  <c r="C498" i="2"/>
  <c r="Q576" i="1"/>
  <c r="C496" i="2"/>
  <c r="Q574" i="1"/>
  <c r="C494" i="2"/>
  <c r="Q572" i="1"/>
  <c r="C492" i="2"/>
  <c r="Q570" i="1"/>
  <c r="C490" i="2"/>
  <c r="Q568" i="1"/>
  <c r="C488" i="2"/>
  <c r="Q566" i="1"/>
  <c r="C486" i="2"/>
  <c r="Q564" i="1"/>
  <c r="C484" i="2"/>
  <c r="Q562" i="1"/>
  <c r="C482" i="2"/>
  <c r="Q558" i="1"/>
  <c r="C478" i="2"/>
  <c r="Q556" i="1"/>
  <c r="C476" i="2"/>
  <c r="Q554" i="1"/>
  <c r="C474" i="2"/>
  <c r="Q552" i="1"/>
  <c r="C472" i="2"/>
  <c r="Q550" i="1"/>
  <c r="C470" i="2"/>
  <c r="Q548" i="1"/>
  <c r="C468" i="2"/>
  <c r="Q559" i="1"/>
  <c r="C479" i="2"/>
  <c r="Q579" i="1"/>
  <c r="C499" i="2"/>
  <c r="Q577" i="1"/>
  <c r="C497" i="2"/>
  <c r="Q575" i="1"/>
  <c r="C495" i="2"/>
  <c r="Q573" i="1"/>
  <c r="C493" i="2"/>
  <c r="Q571" i="1"/>
  <c r="C491" i="2"/>
  <c r="Q569" i="1"/>
  <c r="C489" i="2"/>
  <c r="Q567" i="1"/>
  <c r="C487" i="2"/>
  <c r="Q565" i="1"/>
  <c r="C485" i="2"/>
  <c r="Q563" i="1"/>
  <c r="C483" i="2"/>
  <c r="Q560" i="1"/>
  <c r="C480" i="2"/>
  <c r="Q557" i="1"/>
  <c r="C477" i="2"/>
  <c r="Q555" i="1"/>
  <c r="C475" i="2"/>
  <c r="Q553" i="1"/>
  <c r="C473" i="2"/>
  <c r="Q551" i="1"/>
  <c r="C471" i="2"/>
  <c r="Q549" i="1"/>
  <c r="C469" i="2"/>
  <c r="Q547" i="1"/>
  <c r="C467" i="2"/>
  <c r="Q561" i="1"/>
  <c r="C481" i="2"/>
  <c r="D1391" i="2"/>
  <c r="D901" i="2"/>
  <c r="L545" i="1"/>
  <c r="Q546" i="1"/>
  <c r="C1391" i="2"/>
  <c r="C363" i="2"/>
  <c r="C901" i="2"/>
  <c r="C316" i="2"/>
  <c r="C315" i="2" s="1"/>
  <c r="C799" i="2"/>
  <c r="C248" i="2"/>
  <c r="D248" i="2"/>
  <c r="E248" i="2"/>
  <c r="L216" i="3" l="1"/>
  <c r="M78" i="3"/>
  <c r="L536" i="1"/>
  <c r="C465" i="2"/>
  <c r="C456" i="2" s="1"/>
  <c r="I223" i="3"/>
  <c r="M32" i="3"/>
  <c r="N32" i="3" s="1"/>
  <c r="D32" i="3"/>
  <c r="C32" i="3"/>
  <c r="D309" i="2"/>
  <c r="E309" i="2"/>
  <c r="F309" i="2"/>
  <c r="G309" i="2"/>
  <c r="H309" i="2"/>
  <c r="I309" i="2"/>
  <c r="J309" i="2"/>
  <c r="K309" i="2"/>
  <c r="L309" i="2"/>
  <c r="M309" i="2"/>
  <c r="N309" i="2"/>
  <c r="O309" i="2"/>
  <c r="P309" i="2"/>
  <c r="Q309" i="2"/>
  <c r="R309" i="2"/>
  <c r="S309" i="2"/>
  <c r="T309" i="2"/>
  <c r="U309" i="2"/>
  <c r="C310" i="2"/>
  <c r="C309" i="2" s="1"/>
  <c r="W1346" i="2"/>
  <c r="I1377" i="1"/>
  <c r="J1377" i="1"/>
  <c r="K1377" i="1"/>
  <c r="L1377" i="1"/>
  <c r="M1377" i="1"/>
  <c r="N1377" i="1"/>
  <c r="O1377" i="1"/>
  <c r="P1377" i="1"/>
  <c r="H1377" i="1"/>
  <c r="Q1378" i="1"/>
  <c r="I318" i="1"/>
  <c r="J318" i="1"/>
  <c r="K318" i="1"/>
  <c r="L318" i="1"/>
  <c r="M318" i="1"/>
  <c r="N318" i="1"/>
  <c r="O318" i="1"/>
  <c r="P318" i="1"/>
  <c r="H318" i="1"/>
  <c r="Q319" i="1"/>
  <c r="N242" i="3"/>
  <c r="N280" i="3"/>
  <c r="E1515" i="2"/>
  <c r="F1515" i="2"/>
  <c r="G1515" i="2"/>
  <c r="H1515" i="2"/>
  <c r="I1515" i="2"/>
  <c r="J1515" i="2"/>
  <c r="K1515" i="2"/>
  <c r="L1515" i="2"/>
  <c r="M1515" i="2"/>
  <c r="N1515" i="2"/>
  <c r="O1515" i="2"/>
  <c r="P1515" i="2"/>
  <c r="Q1515" i="2"/>
  <c r="R1515" i="2"/>
  <c r="S1515" i="2"/>
  <c r="T1515" i="2"/>
  <c r="U1515" i="2"/>
  <c r="C1516" i="2"/>
  <c r="C1515" i="2" s="1"/>
  <c r="C416" i="2"/>
  <c r="C415" i="2"/>
  <c r="D224" i="3"/>
  <c r="E224" i="3"/>
  <c r="F224" i="3"/>
  <c r="G224" i="3"/>
  <c r="H224" i="3"/>
  <c r="J224" i="3"/>
  <c r="K224" i="3"/>
  <c r="L224" i="3"/>
  <c r="M224" i="3"/>
  <c r="C224" i="3"/>
  <c r="D130" i="3"/>
  <c r="E130" i="3"/>
  <c r="F130" i="3"/>
  <c r="G130" i="3"/>
  <c r="H130" i="3"/>
  <c r="J130" i="3"/>
  <c r="K130" i="3"/>
  <c r="L130" i="3"/>
  <c r="M130" i="3"/>
  <c r="C130" i="3"/>
  <c r="V858" i="2"/>
  <c r="C860" i="2"/>
  <c r="C1349" i="2"/>
  <c r="AA227" i="2"/>
  <c r="W309" i="2" l="1"/>
  <c r="C223" i="3"/>
  <c r="D223" i="3"/>
  <c r="M223" i="3"/>
  <c r="N223" i="3" s="1"/>
  <c r="AF385" i="2"/>
  <c r="AF384" i="2"/>
  <c r="AF379" i="2"/>
  <c r="AF377" i="2"/>
  <c r="AF378" i="2"/>
  <c r="AF376" i="2"/>
  <c r="D375" i="2"/>
  <c r="E375" i="2"/>
  <c r="F375" i="2"/>
  <c r="G375" i="2"/>
  <c r="H375" i="2"/>
  <c r="I375" i="2"/>
  <c r="J375" i="2"/>
  <c r="K375" i="2"/>
  <c r="L375" i="2"/>
  <c r="M375" i="2"/>
  <c r="N375" i="2"/>
  <c r="O375" i="2"/>
  <c r="P375" i="2"/>
  <c r="Q375" i="2"/>
  <c r="R375" i="2"/>
  <c r="S375" i="2"/>
  <c r="T375" i="2"/>
  <c r="U375" i="2"/>
  <c r="V375" i="2"/>
  <c r="W383" i="2"/>
  <c r="W382" i="2"/>
  <c r="W381" i="2"/>
  <c r="W380" i="2"/>
  <c r="C377" i="2"/>
  <c r="C378" i="2"/>
  <c r="C379" i="2"/>
  <c r="C380" i="2"/>
  <c r="C381" i="2"/>
  <c r="C382" i="2"/>
  <c r="C383" i="2"/>
  <c r="C384" i="2"/>
  <c r="C385" i="2"/>
  <c r="C376" i="2"/>
  <c r="D913" i="2"/>
  <c r="E913" i="2"/>
  <c r="F913" i="2"/>
  <c r="G913" i="2"/>
  <c r="H913" i="2"/>
  <c r="I913" i="2"/>
  <c r="J913" i="2"/>
  <c r="K913" i="2"/>
  <c r="L913" i="2"/>
  <c r="N913" i="2"/>
  <c r="O913" i="2"/>
  <c r="P913" i="2"/>
  <c r="Q913" i="2"/>
  <c r="R913" i="2"/>
  <c r="S913" i="2"/>
  <c r="T913" i="2"/>
  <c r="U913" i="2"/>
  <c r="C915" i="2"/>
  <c r="M915" i="2" s="1"/>
  <c r="AF915" i="2" s="1"/>
  <c r="C916" i="2"/>
  <c r="M916" i="2" s="1"/>
  <c r="AF916" i="2" s="1"/>
  <c r="C917" i="2"/>
  <c r="M917" i="2" s="1"/>
  <c r="AF917" i="2" s="1"/>
  <c r="C918" i="2"/>
  <c r="M918" i="2" s="1"/>
  <c r="AF918" i="2" s="1"/>
  <c r="C919" i="2"/>
  <c r="M919" i="2" s="1"/>
  <c r="AF919" i="2" s="1"/>
  <c r="C914" i="2"/>
  <c r="C1405" i="2"/>
  <c r="O1405" i="2" s="1"/>
  <c r="C1406" i="2"/>
  <c r="O1406" i="2" s="1"/>
  <c r="C1407" i="2"/>
  <c r="O1407" i="2" s="1"/>
  <c r="C1408" i="2"/>
  <c r="O1408" i="2" s="1"/>
  <c r="C1409" i="2"/>
  <c r="O1409" i="2" s="1"/>
  <c r="C1410" i="2"/>
  <c r="O1410" i="2" s="1"/>
  <c r="C1411" i="2"/>
  <c r="O1411" i="2" s="1"/>
  <c r="C1412" i="2"/>
  <c r="O1412" i="2" s="1"/>
  <c r="C1413" i="2"/>
  <c r="O1413" i="2" s="1"/>
  <c r="C1414" i="2"/>
  <c r="O1414" i="2" s="1"/>
  <c r="C1404" i="2"/>
  <c r="O1404" i="2" s="1"/>
  <c r="D1403" i="2"/>
  <c r="E1403" i="2"/>
  <c r="F1403" i="2"/>
  <c r="G1403" i="2"/>
  <c r="H1403" i="2"/>
  <c r="I1403" i="2"/>
  <c r="J1403" i="2"/>
  <c r="K1403" i="2"/>
  <c r="L1403" i="2"/>
  <c r="M1403" i="2"/>
  <c r="N1403" i="2"/>
  <c r="P1403" i="2"/>
  <c r="Q1403" i="2"/>
  <c r="R1403" i="2"/>
  <c r="S1403" i="2"/>
  <c r="T1403" i="2"/>
  <c r="U1403" i="2"/>
  <c r="V1403" i="2"/>
  <c r="I1435" i="1"/>
  <c r="K1435" i="1"/>
  <c r="L1435" i="1"/>
  <c r="M1435" i="1"/>
  <c r="N1435" i="1"/>
  <c r="P1435" i="1"/>
  <c r="H1435" i="1"/>
  <c r="Q1445" i="1"/>
  <c r="Q1446" i="1"/>
  <c r="O1445" i="1"/>
  <c r="O1446" i="1"/>
  <c r="I938" i="1"/>
  <c r="K938" i="1"/>
  <c r="L938" i="1"/>
  <c r="M938" i="1"/>
  <c r="N938" i="1"/>
  <c r="P938" i="1"/>
  <c r="H938" i="1"/>
  <c r="O391" i="1"/>
  <c r="Q391" i="1"/>
  <c r="H385" i="1"/>
  <c r="J393" i="1"/>
  <c r="O1403" i="2" l="1"/>
  <c r="C375" i="2"/>
  <c r="C1403" i="2"/>
  <c r="C913" i="2"/>
  <c r="M914" i="2"/>
  <c r="V1290" i="2"/>
  <c r="C1293" i="2"/>
  <c r="C1294" i="2"/>
  <c r="C1295" i="2"/>
  <c r="C1292" i="2"/>
  <c r="C805" i="2"/>
  <c r="C804" i="2"/>
  <c r="C254" i="2"/>
  <c r="C255" i="2"/>
  <c r="C256" i="2"/>
  <c r="C257" i="2"/>
  <c r="C258" i="2"/>
  <c r="C259" i="2"/>
  <c r="C253" i="2"/>
  <c r="M913" i="2" l="1"/>
  <c r="AF914" i="2"/>
  <c r="W1425" i="2"/>
  <c r="W1426" i="2"/>
  <c r="W1424" i="2"/>
  <c r="H949" i="1"/>
  <c r="H909" i="1"/>
  <c r="C143" i="3" l="1"/>
  <c r="D524" i="2"/>
  <c r="E524" i="2"/>
  <c r="F524" i="2"/>
  <c r="G524" i="2"/>
  <c r="H524" i="2"/>
  <c r="I524" i="2"/>
  <c r="J524" i="2"/>
  <c r="K524" i="2"/>
  <c r="L524" i="2"/>
  <c r="M524" i="2"/>
  <c r="N524" i="2"/>
  <c r="O524" i="2"/>
  <c r="P524" i="2"/>
  <c r="Q524" i="2"/>
  <c r="R524" i="2"/>
  <c r="S524" i="2"/>
  <c r="T524" i="2"/>
  <c r="U524" i="2"/>
  <c r="V524" i="2"/>
  <c r="W525" i="2"/>
  <c r="C525" i="2"/>
  <c r="C524" i="2" s="1"/>
  <c r="E18" i="3" l="1"/>
  <c r="F18" i="3"/>
  <c r="G18" i="3"/>
  <c r="H18" i="3"/>
  <c r="J18" i="3"/>
  <c r="K18" i="3"/>
  <c r="L18" i="3"/>
  <c r="W1303" i="2"/>
  <c r="W1302" i="2"/>
  <c r="AA1301" i="2"/>
  <c r="D1302" i="2"/>
  <c r="D1303" i="2"/>
  <c r="D1301" i="2"/>
  <c r="E1299" i="2"/>
  <c r="F1299" i="2"/>
  <c r="G1299" i="2"/>
  <c r="H1299" i="2"/>
  <c r="I1299" i="2"/>
  <c r="J1299" i="2"/>
  <c r="K1299" i="2"/>
  <c r="L1299" i="2"/>
  <c r="M1299" i="2"/>
  <c r="N1299" i="2"/>
  <c r="O1299" i="2"/>
  <c r="P1299" i="2"/>
  <c r="Q1299" i="2"/>
  <c r="R1299" i="2"/>
  <c r="S1299" i="2"/>
  <c r="T1299" i="2"/>
  <c r="U1299" i="2"/>
  <c r="C1302" i="2"/>
  <c r="C1303" i="2"/>
  <c r="C1301" i="2"/>
  <c r="Y817" i="2"/>
  <c r="W817" i="2"/>
  <c r="AD816" i="2"/>
  <c r="AB816" i="2"/>
  <c r="AA816" i="2"/>
  <c r="Y816" i="2"/>
  <c r="W815" i="2"/>
  <c r="AD814" i="2"/>
  <c r="AB814" i="2"/>
  <c r="AA814" i="2"/>
  <c r="Y814" i="2"/>
  <c r="D814" i="2"/>
  <c r="D815" i="2"/>
  <c r="D816" i="2"/>
  <c r="D817" i="2"/>
  <c r="D813" i="2"/>
  <c r="E812" i="2"/>
  <c r="F812" i="2"/>
  <c r="G812" i="2"/>
  <c r="H812" i="2"/>
  <c r="I812" i="2"/>
  <c r="J812" i="2"/>
  <c r="K812" i="2"/>
  <c r="L812" i="2"/>
  <c r="M812" i="2"/>
  <c r="N812" i="2"/>
  <c r="O812" i="2"/>
  <c r="P812" i="2"/>
  <c r="Q812" i="2"/>
  <c r="R812" i="2"/>
  <c r="S812" i="2"/>
  <c r="T812" i="2"/>
  <c r="U812" i="2"/>
  <c r="C814" i="2"/>
  <c r="C815" i="2"/>
  <c r="C816" i="2"/>
  <c r="C817" i="2"/>
  <c r="C813" i="2"/>
  <c r="X271" i="2"/>
  <c r="W269" i="2"/>
  <c r="X268" i="2"/>
  <c r="X267" i="2"/>
  <c r="W266" i="2"/>
  <c r="W265" i="2"/>
  <c r="W264" i="2"/>
  <c r="W263" i="2"/>
  <c r="AD262" i="2"/>
  <c r="AB262" i="2"/>
  <c r="E261" i="2"/>
  <c r="F261" i="2"/>
  <c r="G261" i="2"/>
  <c r="H261" i="2"/>
  <c r="I261" i="2"/>
  <c r="J261" i="2"/>
  <c r="K261" i="2"/>
  <c r="L261" i="2"/>
  <c r="M261" i="2"/>
  <c r="N261" i="2"/>
  <c r="O261" i="2"/>
  <c r="P261" i="2"/>
  <c r="Q261" i="2"/>
  <c r="R261" i="2"/>
  <c r="S261" i="2"/>
  <c r="T261" i="2"/>
  <c r="U261" i="2"/>
  <c r="V261" i="2"/>
  <c r="C263" i="2"/>
  <c r="C264" i="2"/>
  <c r="C265" i="2"/>
  <c r="C266" i="2"/>
  <c r="C267" i="2"/>
  <c r="C268" i="2"/>
  <c r="C269" i="2"/>
  <c r="C270" i="2"/>
  <c r="C271" i="2"/>
  <c r="C262" i="2"/>
  <c r="D263" i="2"/>
  <c r="D264" i="2"/>
  <c r="D265" i="2"/>
  <c r="D266" i="2"/>
  <c r="D267" i="2"/>
  <c r="D268" i="2"/>
  <c r="D269" i="2"/>
  <c r="D270" i="2"/>
  <c r="D271" i="2"/>
  <c r="D262" i="2"/>
  <c r="D208" i="3"/>
  <c r="D207" i="3" s="1"/>
  <c r="M208" i="3"/>
  <c r="M207" i="3" s="1"/>
  <c r="C208" i="3"/>
  <c r="O1334" i="1"/>
  <c r="O1335" i="1"/>
  <c r="J1335" i="1"/>
  <c r="J1334" i="1"/>
  <c r="J1333" i="1"/>
  <c r="O837" i="1"/>
  <c r="O838" i="1"/>
  <c r="O839" i="1"/>
  <c r="O840" i="1"/>
  <c r="J840" i="1"/>
  <c r="J839" i="1"/>
  <c r="J838" i="1"/>
  <c r="J837" i="1"/>
  <c r="J836" i="1"/>
  <c r="Q274" i="1"/>
  <c r="Q275" i="1"/>
  <c r="Q276" i="1"/>
  <c r="Q277" i="1"/>
  <c r="Q278" i="1"/>
  <c r="O280" i="1"/>
  <c r="O279" i="1"/>
  <c r="O272" i="1"/>
  <c r="O273" i="1"/>
  <c r="O274" i="1"/>
  <c r="O275" i="1"/>
  <c r="O276" i="1"/>
  <c r="O278" i="1"/>
  <c r="J280" i="1"/>
  <c r="J279" i="1"/>
  <c r="J278" i="1"/>
  <c r="J277" i="1"/>
  <c r="J276" i="1"/>
  <c r="J275" i="1"/>
  <c r="J274" i="1"/>
  <c r="J273" i="1"/>
  <c r="J272" i="1"/>
  <c r="J271" i="1"/>
  <c r="J1332" i="1" l="1"/>
  <c r="D1300" i="2"/>
  <c r="C1300" i="2"/>
  <c r="C1299" i="2" s="1"/>
  <c r="C261" i="2"/>
  <c r="C812" i="2"/>
  <c r="D1299" i="2"/>
  <c r="D812" i="2"/>
  <c r="D261" i="2"/>
  <c r="V857" i="2"/>
  <c r="W1344" i="2"/>
  <c r="D1343" i="2"/>
  <c r="E1343" i="2"/>
  <c r="F1343" i="2"/>
  <c r="G1343" i="2"/>
  <c r="H1343" i="2"/>
  <c r="I1343" i="2"/>
  <c r="J1343" i="2"/>
  <c r="K1343" i="2"/>
  <c r="L1343" i="2"/>
  <c r="M1343" i="2"/>
  <c r="N1343" i="2"/>
  <c r="O1343" i="2"/>
  <c r="P1343" i="2"/>
  <c r="Q1343" i="2"/>
  <c r="R1343" i="2"/>
  <c r="S1343" i="2"/>
  <c r="T1343" i="2"/>
  <c r="U1343" i="2"/>
  <c r="C1343" i="2"/>
  <c r="N260" i="3"/>
  <c r="N71" i="3"/>
  <c r="E1457" i="2"/>
  <c r="F1457" i="2"/>
  <c r="G1457" i="2"/>
  <c r="H1457" i="2"/>
  <c r="I1457" i="2"/>
  <c r="J1457" i="2"/>
  <c r="K1457" i="2"/>
  <c r="L1457" i="2"/>
  <c r="M1457" i="2"/>
  <c r="N1457" i="2"/>
  <c r="O1457" i="2"/>
  <c r="P1457" i="2"/>
  <c r="Q1457" i="2"/>
  <c r="R1457" i="2"/>
  <c r="S1457" i="2"/>
  <c r="T1457" i="2"/>
  <c r="U1457" i="2"/>
  <c r="AB1458" i="2"/>
  <c r="D1458" i="2"/>
  <c r="D1457" i="2" s="1"/>
  <c r="C1458" i="2"/>
  <c r="C1457" i="2" s="1"/>
  <c r="D438" i="2"/>
  <c r="E438" i="2"/>
  <c r="F438" i="2"/>
  <c r="G438" i="2"/>
  <c r="H438" i="2"/>
  <c r="I438" i="2"/>
  <c r="J438" i="2"/>
  <c r="K438" i="2"/>
  <c r="L438" i="2"/>
  <c r="M438" i="2"/>
  <c r="N438" i="2"/>
  <c r="O438" i="2"/>
  <c r="P438" i="2"/>
  <c r="Q438" i="2"/>
  <c r="R438" i="2"/>
  <c r="S438" i="2"/>
  <c r="T438" i="2"/>
  <c r="U438" i="2"/>
  <c r="V438" i="2"/>
  <c r="W439" i="2"/>
  <c r="C439" i="2"/>
  <c r="C438" i="2" s="1"/>
  <c r="D1499" i="2"/>
  <c r="E1499" i="2"/>
  <c r="F1499" i="2"/>
  <c r="G1499" i="2"/>
  <c r="H1499" i="2"/>
  <c r="I1499" i="2"/>
  <c r="J1499" i="2"/>
  <c r="K1499" i="2"/>
  <c r="L1499" i="2"/>
  <c r="M1499" i="2"/>
  <c r="N1499" i="2"/>
  <c r="O1499" i="2"/>
  <c r="P1499" i="2"/>
  <c r="Q1499" i="2"/>
  <c r="R1499" i="2"/>
  <c r="S1499" i="2"/>
  <c r="T1499" i="2"/>
  <c r="U1499" i="2"/>
  <c r="H1523" i="1"/>
  <c r="I1523" i="1"/>
  <c r="J1523" i="1"/>
  <c r="K1523" i="1"/>
  <c r="L1523" i="1"/>
  <c r="M1523" i="1"/>
  <c r="N1523" i="1"/>
  <c r="O1523" i="1"/>
  <c r="P1523" i="1"/>
  <c r="D303" i="2"/>
  <c r="E303" i="2"/>
  <c r="F303" i="2"/>
  <c r="G303" i="2"/>
  <c r="H303" i="2"/>
  <c r="I303" i="2"/>
  <c r="J303" i="2"/>
  <c r="K303" i="2"/>
  <c r="L303" i="2"/>
  <c r="M303" i="2"/>
  <c r="N303" i="2"/>
  <c r="O303" i="2"/>
  <c r="P303" i="2"/>
  <c r="Q303" i="2"/>
  <c r="R303" i="2"/>
  <c r="S303" i="2"/>
  <c r="T303" i="2"/>
  <c r="U303" i="2"/>
  <c r="V303" i="2"/>
  <c r="C304" i="2"/>
  <c r="C303" i="2" s="1"/>
  <c r="D851" i="2"/>
  <c r="E851" i="2"/>
  <c r="F851" i="2"/>
  <c r="G851" i="2"/>
  <c r="H851" i="2"/>
  <c r="I851" i="2"/>
  <c r="J851" i="2"/>
  <c r="K851" i="2"/>
  <c r="L851" i="2"/>
  <c r="M851" i="2"/>
  <c r="N851" i="2"/>
  <c r="O851" i="2"/>
  <c r="P851" i="2"/>
  <c r="Q851" i="2"/>
  <c r="R851" i="2"/>
  <c r="S851" i="2"/>
  <c r="T851" i="2"/>
  <c r="U851" i="2"/>
  <c r="V851" i="2"/>
  <c r="W852" i="2"/>
  <c r="C852" i="2"/>
  <c r="C851" i="2" s="1"/>
  <c r="W1339" i="2"/>
  <c r="W1338" i="2"/>
  <c r="D1337" i="2"/>
  <c r="E1337" i="2"/>
  <c r="F1337" i="2"/>
  <c r="G1337" i="2"/>
  <c r="H1337" i="2"/>
  <c r="I1337" i="2"/>
  <c r="J1337" i="2"/>
  <c r="K1337" i="2"/>
  <c r="L1337" i="2"/>
  <c r="M1337" i="2"/>
  <c r="N1337" i="2"/>
  <c r="O1337" i="2"/>
  <c r="P1337" i="2"/>
  <c r="Q1337" i="2"/>
  <c r="R1337" i="2"/>
  <c r="S1337" i="2"/>
  <c r="T1337" i="2"/>
  <c r="U1337" i="2"/>
  <c r="V1337" i="2"/>
  <c r="C1339" i="2"/>
  <c r="C1338" i="2"/>
  <c r="I874" i="1"/>
  <c r="J874" i="1"/>
  <c r="K874" i="1"/>
  <c r="L874" i="1"/>
  <c r="M874" i="1"/>
  <c r="N874" i="1"/>
  <c r="P874" i="1"/>
  <c r="H874" i="1"/>
  <c r="I312" i="1"/>
  <c r="J312" i="1"/>
  <c r="K312" i="1"/>
  <c r="L312" i="1"/>
  <c r="M312" i="1"/>
  <c r="N312" i="1"/>
  <c r="P312" i="1"/>
  <c r="H312" i="1"/>
  <c r="D299" i="2"/>
  <c r="E299" i="2"/>
  <c r="F299" i="2"/>
  <c r="G299" i="2"/>
  <c r="H299" i="2"/>
  <c r="I299" i="2"/>
  <c r="J299" i="2"/>
  <c r="K299" i="2"/>
  <c r="L299" i="2"/>
  <c r="M299" i="2"/>
  <c r="N299" i="2"/>
  <c r="O299" i="2"/>
  <c r="P299" i="2"/>
  <c r="Q299" i="2"/>
  <c r="R299" i="2"/>
  <c r="S299" i="2"/>
  <c r="T299" i="2"/>
  <c r="U299" i="2"/>
  <c r="C300" i="2"/>
  <c r="C299" i="2" s="1"/>
  <c r="W847" i="2"/>
  <c r="W848" i="2"/>
  <c r="W846" i="2"/>
  <c r="D845" i="2"/>
  <c r="E845" i="2"/>
  <c r="F845" i="2"/>
  <c r="G845" i="2"/>
  <c r="H845" i="2"/>
  <c r="I845" i="2"/>
  <c r="J845" i="2"/>
  <c r="K845" i="2"/>
  <c r="L845" i="2"/>
  <c r="M845" i="2"/>
  <c r="N845" i="2"/>
  <c r="O845" i="2"/>
  <c r="P845" i="2"/>
  <c r="Q845" i="2"/>
  <c r="R845" i="2"/>
  <c r="S845" i="2"/>
  <c r="T845" i="2"/>
  <c r="U845" i="2"/>
  <c r="C847" i="2"/>
  <c r="C848" i="2"/>
  <c r="C846" i="2"/>
  <c r="W1334" i="2"/>
  <c r="D1333" i="2"/>
  <c r="E1333" i="2"/>
  <c r="F1333" i="2"/>
  <c r="G1333" i="2"/>
  <c r="H1333" i="2"/>
  <c r="I1333" i="2"/>
  <c r="J1333" i="2"/>
  <c r="K1333" i="2"/>
  <c r="L1333" i="2"/>
  <c r="M1333" i="2"/>
  <c r="N1333" i="2"/>
  <c r="O1333" i="2"/>
  <c r="P1333" i="2"/>
  <c r="Q1333" i="2"/>
  <c r="R1333" i="2"/>
  <c r="S1333" i="2"/>
  <c r="T1333" i="2"/>
  <c r="U1333" i="2"/>
  <c r="V1333" i="2"/>
  <c r="C1334" i="2"/>
  <c r="C1333" i="2" s="1"/>
  <c r="I1365" i="1"/>
  <c r="J1365" i="1"/>
  <c r="K1365" i="1"/>
  <c r="L1365" i="1"/>
  <c r="M1365" i="1"/>
  <c r="N1365" i="1"/>
  <c r="O1365" i="1"/>
  <c r="H1365" i="1"/>
  <c r="I308" i="1"/>
  <c r="J308" i="1"/>
  <c r="K308" i="1"/>
  <c r="L308" i="1"/>
  <c r="M308" i="1"/>
  <c r="N308" i="1"/>
  <c r="O308" i="1"/>
  <c r="H308" i="1"/>
  <c r="Q1271" i="1"/>
  <c r="Q1272" i="1"/>
  <c r="Q1273" i="1"/>
  <c r="W1238" i="2"/>
  <c r="W1239" i="2"/>
  <c r="W1240" i="2"/>
  <c r="W1237" i="2"/>
  <c r="D1236" i="2"/>
  <c r="E1236" i="2"/>
  <c r="F1236" i="2"/>
  <c r="G1236" i="2"/>
  <c r="H1236" i="2"/>
  <c r="I1236" i="2"/>
  <c r="J1236" i="2"/>
  <c r="K1236" i="2"/>
  <c r="L1236" i="2"/>
  <c r="M1236" i="2"/>
  <c r="N1236" i="2"/>
  <c r="O1236" i="2"/>
  <c r="P1236" i="2"/>
  <c r="Q1236" i="2"/>
  <c r="R1236" i="2"/>
  <c r="S1236" i="2"/>
  <c r="T1236" i="2"/>
  <c r="U1236" i="2"/>
  <c r="V1236" i="2"/>
  <c r="C1238" i="2"/>
  <c r="C1239" i="2"/>
  <c r="C1240" i="2"/>
  <c r="C1237" i="2"/>
  <c r="W749" i="2"/>
  <c r="W748" i="2"/>
  <c r="C749" i="2"/>
  <c r="C748" i="2"/>
  <c r="D747" i="2"/>
  <c r="E747" i="2"/>
  <c r="F747" i="2"/>
  <c r="G747" i="2"/>
  <c r="H747" i="2"/>
  <c r="I747" i="2"/>
  <c r="J747" i="2"/>
  <c r="K747" i="2"/>
  <c r="L747" i="2"/>
  <c r="M747" i="2"/>
  <c r="N747" i="2"/>
  <c r="O747" i="2"/>
  <c r="P747" i="2"/>
  <c r="Q747" i="2"/>
  <c r="R747" i="2"/>
  <c r="S747" i="2"/>
  <c r="T747" i="2"/>
  <c r="U747" i="2"/>
  <c r="W198" i="2"/>
  <c r="W199" i="2"/>
  <c r="W200" i="2"/>
  <c r="W201" i="2"/>
  <c r="W202" i="2"/>
  <c r="W203" i="2"/>
  <c r="W204" i="2"/>
  <c r="W205" i="2"/>
  <c r="W206" i="2"/>
  <c r="W207" i="2"/>
  <c r="W208" i="2"/>
  <c r="W197" i="2"/>
  <c r="D196" i="2"/>
  <c r="E196" i="2"/>
  <c r="F196" i="2"/>
  <c r="G196" i="2"/>
  <c r="H196" i="2"/>
  <c r="I196" i="2"/>
  <c r="J196" i="2"/>
  <c r="K196" i="2"/>
  <c r="L196" i="2"/>
  <c r="M196" i="2"/>
  <c r="N196" i="2"/>
  <c r="O196" i="2"/>
  <c r="P196" i="2"/>
  <c r="Q196" i="2"/>
  <c r="R196" i="2"/>
  <c r="S196" i="2"/>
  <c r="T196" i="2"/>
  <c r="U196" i="2"/>
  <c r="C198" i="2"/>
  <c r="C199" i="2"/>
  <c r="C200" i="2"/>
  <c r="C201" i="2"/>
  <c r="C202" i="2"/>
  <c r="C203" i="2"/>
  <c r="C204" i="2"/>
  <c r="C205" i="2"/>
  <c r="C206" i="2"/>
  <c r="C207" i="2"/>
  <c r="C208" i="2"/>
  <c r="C197" i="2"/>
  <c r="I1269" i="1"/>
  <c r="J1269" i="1"/>
  <c r="K1269" i="1"/>
  <c r="L1269" i="1"/>
  <c r="M1269" i="1"/>
  <c r="N1269" i="1"/>
  <c r="P1269" i="1"/>
  <c r="H1269" i="1"/>
  <c r="I770" i="1"/>
  <c r="J770" i="1"/>
  <c r="K770" i="1"/>
  <c r="D108" i="3" s="1"/>
  <c r="L770" i="1"/>
  <c r="M108" i="3" s="1"/>
  <c r="N108" i="3" s="1"/>
  <c r="M770" i="1"/>
  <c r="N770" i="1"/>
  <c r="P770" i="1"/>
  <c r="H770" i="1"/>
  <c r="C108" i="3" s="1"/>
  <c r="I207" i="1"/>
  <c r="J207" i="1"/>
  <c r="K207" i="1"/>
  <c r="L207" i="1"/>
  <c r="M207" i="1"/>
  <c r="N207" i="1"/>
  <c r="P207" i="1"/>
  <c r="H207" i="1"/>
  <c r="Q210" i="1"/>
  <c r="Q211" i="1"/>
  <c r="Q212" i="1"/>
  <c r="Q213" i="1"/>
  <c r="Q214" i="1"/>
  <c r="Q215" i="1"/>
  <c r="Q216" i="1"/>
  <c r="Q217" i="1"/>
  <c r="Q218" i="1"/>
  <c r="Q219" i="1"/>
  <c r="Q208" i="1"/>
  <c r="M10" i="3" l="1"/>
  <c r="N10" i="3" s="1"/>
  <c r="C201" i="3"/>
  <c r="M201" i="3"/>
  <c r="N201" i="3" s="1"/>
  <c r="C126" i="3"/>
  <c r="M126" i="3"/>
  <c r="D201" i="3"/>
  <c r="D126" i="3"/>
  <c r="W299" i="2"/>
  <c r="W303" i="2"/>
  <c r="D217" i="3"/>
  <c r="C217" i="3"/>
  <c r="M217" i="3"/>
  <c r="C1337" i="2"/>
  <c r="C845" i="2"/>
  <c r="C196" i="2"/>
  <c r="C1236" i="2"/>
  <c r="C747" i="2"/>
  <c r="W325" i="2"/>
  <c r="W324" i="2"/>
  <c r="C325" i="2"/>
  <c r="C324" i="2"/>
  <c r="D323" i="2"/>
  <c r="E323" i="2"/>
  <c r="F323" i="2"/>
  <c r="G323" i="2"/>
  <c r="H323" i="2"/>
  <c r="I323" i="2"/>
  <c r="J323" i="2"/>
  <c r="K323" i="2"/>
  <c r="L323" i="2"/>
  <c r="M323" i="2"/>
  <c r="N323" i="2"/>
  <c r="O323" i="2"/>
  <c r="P323" i="2"/>
  <c r="Q323" i="2"/>
  <c r="R323" i="2"/>
  <c r="S323" i="2"/>
  <c r="T323" i="2"/>
  <c r="U323" i="2"/>
  <c r="V323" i="2"/>
  <c r="AA868" i="2"/>
  <c r="W867" i="2"/>
  <c r="E866" i="2"/>
  <c r="F866" i="2"/>
  <c r="G866" i="2"/>
  <c r="H866" i="2"/>
  <c r="I866" i="2"/>
  <c r="J866" i="2"/>
  <c r="K866" i="2"/>
  <c r="L866" i="2"/>
  <c r="M866" i="2"/>
  <c r="N866" i="2"/>
  <c r="O866" i="2"/>
  <c r="P866" i="2"/>
  <c r="Q866" i="2"/>
  <c r="R866" i="2"/>
  <c r="S866" i="2"/>
  <c r="T866" i="2"/>
  <c r="U866" i="2"/>
  <c r="V866" i="2"/>
  <c r="D868" i="2"/>
  <c r="D867" i="2"/>
  <c r="C868" i="2"/>
  <c r="C867" i="2"/>
  <c r="D1355" i="2"/>
  <c r="E1355" i="2"/>
  <c r="F1355" i="2"/>
  <c r="G1355" i="2"/>
  <c r="H1355" i="2"/>
  <c r="I1355" i="2"/>
  <c r="J1355" i="2"/>
  <c r="K1355" i="2"/>
  <c r="L1355" i="2"/>
  <c r="M1355" i="2"/>
  <c r="N1355" i="2"/>
  <c r="O1355" i="2"/>
  <c r="P1355" i="2"/>
  <c r="Q1355" i="2"/>
  <c r="R1355" i="2"/>
  <c r="S1355" i="2"/>
  <c r="T1355" i="2"/>
  <c r="U1355" i="2"/>
  <c r="W1356" i="2"/>
  <c r="C1356" i="2"/>
  <c r="C1355" i="2" s="1"/>
  <c r="I1387" i="1"/>
  <c r="J1387" i="1"/>
  <c r="K1387" i="1"/>
  <c r="L1387" i="1"/>
  <c r="M1387" i="1"/>
  <c r="N1387" i="1"/>
  <c r="P1387" i="1"/>
  <c r="H1387" i="1"/>
  <c r="I890" i="1"/>
  <c r="J890" i="1"/>
  <c r="K890" i="1"/>
  <c r="L890" i="1"/>
  <c r="M890" i="1"/>
  <c r="N890" i="1"/>
  <c r="P890" i="1"/>
  <c r="H890" i="1"/>
  <c r="I332" i="1"/>
  <c r="J332" i="1"/>
  <c r="K332" i="1"/>
  <c r="L332" i="1"/>
  <c r="M332" i="1"/>
  <c r="N332" i="1"/>
  <c r="P332" i="1"/>
  <c r="H332" i="1"/>
  <c r="D117" i="3"/>
  <c r="C117" i="3"/>
  <c r="D819" i="2"/>
  <c r="E819" i="2"/>
  <c r="F819" i="2"/>
  <c r="G819" i="2"/>
  <c r="H819" i="2"/>
  <c r="I819" i="2"/>
  <c r="J819" i="2"/>
  <c r="K819" i="2"/>
  <c r="L819" i="2"/>
  <c r="M819" i="2"/>
  <c r="N819" i="2"/>
  <c r="O819" i="2"/>
  <c r="P819" i="2"/>
  <c r="Q819" i="2"/>
  <c r="R819" i="2"/>
  <c r="S819" i="2"/>
  <c r="T819" i="2"/>
  <c r="U819" i="2"/>
  <c r="V819" i="2"/>
  <c r="W820" i="2"/>
  <c r="C820" i="2"/>
  <c r="C819" i="2" s="1"/>
  <c r="Q843" i="1"/>
  <c r="C215" i="3"/>
  <c r="M122" i="3"/>
  <c r="D1329" i="2"/>
  <c r="D1328" i="2" s="1"/>
  <c r="E1329" i="2"/>
  <c r="E1328" i="2" s="1"/>
  <c r="F1329" i="2"/>
  <c r="F1328" i="2" s="1"/>
  <c r="G1329" i="2"/>
  <c r="G1328" i="2" s="1"/>
  <c r="H1329" i="2"/>
  <c r="H1328" i="2" s="1"/>
  <c r="I1329" i="2"/>
  <c r="I1328" i="2" s="1"/>
  <c r="J1329" i="2"/>
  <c r="J1328" i="2" s="1"/>
  <c r="K1329" i="2"/>
  <c r="K1328" i="2" s="1"/>
  <c r="L1329" i="2"/>
  <c r="L1328" i="2" s="1"/>
  <c r="M1329" i="2"/>
  <c r="M1328" i="2" s="1"/>
  <c r="N1329" i="2"/>
  <c r="N1328" i="2" s="1"/>
  <c r="O1329" i="2"/>
  <c r="O1328" i="2" s="1"/>
  <c r="P1329" i="2"/>
  <c r="P1328" i="2" s="1"/>
  <c r="Q1329" i="2"/>
  <c r="Q1328" i="2" s="1"/>
  <c r="R1329" i="2"/>
  <c r="R1328" i="2" s="1"/>
  <c r="S1329" i="2"/>
  <c r="S1328" i="2" s="1"/>
  <c r="T1329" i="2"/>
  <c r="T1328" i="2" s="1"/>
  <c r="U1329" i="2"/>
  <c r="U1328" i="2" s="1"/>
  <c r="V1329" i="2"/>
  <c r="W1330" i="2"/>
  <c r="C1330" i="2"/>
  <c r="C1329" i="2" s="1"/>
  <c r="C1328" i="2" s="1"/>
  <c r="W842" i="2"/>
  <c r="D841" i="2"/>
  <c r="E841" i="2"/>
  <c r="F841" i="2"/>
  <c r="G841" i="2"/>
  <c r="H841" i="2"/>
  <c r="I841" i="2"/>
  <c r="J841" i="2"/>
  <c r="K841" i="2"/>
  <c r="L841" i="2"/>
  <c r="M841" i="2"/>
  <c r="N841" i="2"/>
  <c r="O841" i="2"/>
  <c r="P841" i="2"/>
  <c r="Q841" i="2"/>
  <c r="R841" i="2"/>
  <c r="S841" i="2"/>
  <c r="T841" i="2"/>
  <c r="U841" i="2"/>
  <c r="C842" i="2"/>
  <c r="C841" i="2" s="1"/>
  <c r="X297" i="2"/>
  <c r="W297" i="2"/>
  <c r="W296" i="2"/>
  <c r="I1361" i="1"/>
  <c r="J1361" i="1"/>
  <c r="K1361" i="1"/>
  <c r="L1361" i="1"/>
  <c r="M1361" i="1"/>
  <c r="N1361" i="1"/>
  <c r="O1361" i="1"/>
  <c r="P1361" i="1"/>
  <c r="H1361" i="1"/>
  <c r="Q1362" i="1"/>
  <c r="I864" i="1"/>
  <c r="J864" i="1"/>
  <c r="K864" i="1"/>
  <c r="L864" i="1"/>
  <c r="M864" i="1"/>
  <c r="N864" i="1"/>
  <c r="O864" i="1"/>
  <c r="P864" i="1"/>
  <c r="H864" i="1"/>
  <c r="Q865" i="1"/>
  <c r="W1405" i="2"/>
  <c r="W1406" i="2"/>
  <c r="W1407" i="2"/>
  <c r="W1408" i="2"/>
  <c r="W1409" i="2"/>
  <c r="W1410" i="2"/>
  <c r="W1411" i="2"/>
  <c r="W1412" i="2"/>
  <c r="W1413" i="2"/>
  <c r="W1414" i="2"/>
  <c r="W1404" i="2"/>
  <c r="J1446" i="1"/>
  <c r="J1445" i="1"/>
  <c r="J1444" i="1"/>
  <c r="J1443" i="1"/>
  <c r="J1442" i="1"/>
  <c r="J1441" i="1"/>
  <c r="J1440" i="1"/>
  <c r="J1439" i="1"/>
  <c r="J944" i="1"/>
  <c r="J943" i="1"/>
  <c r="J941" i="1"/>
  <c r="J940" i="1"/>
  <c r="J939" i="1"/>
  <c r="D152" i="3"/>
  <c r="M152" i="3"/>
  <c r="I385" i="1"/>
  <c r="K385" i="1"/>
  <c r="M385" i="1"/>
  <c r="N385" i="1"/>
  <c r="P385" i="1"/>
  <c r="Q395" i="1"/>
  <c r="O394" i="1"/>
  <c r="O395" i="1"/>
  <c r="J395" i="1"/>
  <c r="J394" i="1"/>
  <c r="J392" i="1"/>
  <c r="L385" i="1"/>
  <c r="J389" i="1"/>
  <c r="J388" i="1"/>
  <c r="J387" i="1"/>
  <c r="J386" i="1"/>
  <c r="C56" i="3"/>
  <c r="AC1278" i="2"/>
  <c r="W1277" i="2"/>
  <c r="AD1276" i="2"/>
  <c r="V1275" i="2"/>
  <c r="D1276" i="2"/>
  <c r="D1277" i="2"/>
  <c r="D1278" i="2"/>
  <c r="C1277" i="2"/>
  <c r="C1278" i="2"/>
  <c r="C1276" i="2"/>
  <c r="W788" i="2"/>
  <c r="W789" i="2"/>
  <c r="W790" i="2"/>
  <c r="W791" i="2"/>
  <c r="W787" i="2"/>
  <c r="D786" i="2"/>
  <c r="E786" i="2"/>
  <c r="F786" i="2"/>
  <c r="G786" i="2"/>
  <c r="H786" i="2"/>
  <c r="I786" i="2"/>
  <c r="J786" i="2"/>
  <c r="K786" i="2"/>
  <c r="L786" i="2"/>
  <c r="M786" i="2"/>
  <c r="N786" i="2"/>
  <c r="O786" i="2"/>
  <c r="P786" i="2"/>
  <c r="Q786" i="2"/>
  <c r="R786" i="2"/>
  <c r="S786" i="2"/>
  <c r="T786" i="2"/>
  <c r="U786" i="2"/>
  <c r="C788" i="2"/>
  <c r="C789" i="2"/>
  <c r="C790" i="2"/>
  <c r="C791" i="2"/>
  <c r="C787" i="2"/>
  <c r="W238" i="2"/>
  <c r="W237" i="2"/>
  <c r="W236" i="2"/>
  <c r="C237" i="2"/>
  <c r="C238" i="2"/>
  <c r="C236" i="2"/>
  <c r="I1308" i="1"/>
  <c r="J1308" i="1"/>
  <c r="K1308" i="1"/>
  <c r="L1308" i="1"/>
  <c r="N1308" i="1"/>
  <c r="P1308" i="1"/>
  <c r="H1308" i="1"/>
  <c r="I809" i="1"/>
  <c r="J809" i="1"/>
  <c r="K809" i="1"/>
  <c r="L809" i="1"/>
  <c r="N809" i="1"/>
  <c r="P809" i="1"/>
  <c r="H809" i="1"/>
  <c r="M203" i="3" l="1"/>
  <c r="M110" i="3"/>
  <c r="C203" i="3"/>
  <c r="D203" i="3"/>
  <c r="D56" i="3"/>
  <c r="M215" i="3"/>
  <c r="C135" i="3"/>
  <c r="M135" i="3"/>
  <c r="C229" i="3"/>
  <c r="M229" i="3"/>
  <c r="C110" i="3"/>
  <c r="D110" i="3"/>
  <c r="C122" i="3"/>
  <c r="D122" i="3"/>
  <c r="D215" i="3"/>
  <c r="D135" i="3"/>
  <c r="D229" i="3"/>
  <c r="D1275" i="2"/>
  <c r="C235" i="2"/>
  <c r="C1275" i="2"/>
  <c r="D866" i="2"/>
  <c r="J1435" i="1"/>
  <c r="J938" i="1"/>
  <c r="C866" i="2"/>
  <c r="C323" i="2"/>
  <c r="J385" i="1"/>
  <c r="C786" i="2"/>
  <c r="D12" i="3" l="1"/>
  <c r="C12" i="3"/>
  <c r="D1423" i="2"/>
  <c r="E1423" i="2"/>
  <c r="F1423" i="2"/>
  <c r="G1423" i="2"/>
  <c r="H1423" i="2"/>
  <c r="I1423" i="2"/>
  <c r="J1423" i="2"/>
  <c r="K1423" i="2"/>
  <c r="L1423" i="2"/>
  <c r="M1423" i="2"/>
  <c r="N1423" i="2"/>
  <c r="O1423" i="2"/>
  <c r="P1423" i="2"/>
  <c r="Q1423" i="2"/>
  <c r="R1423" i="2"/>
  <c r="S1423" i="2"/>
  <c r="T1423" i="2"/>
  <c r="U1423" i="2"/>
  <c r="C1425" i="2"/>
  <c r="C1426" i="2"/>
  <c r="C1424" i="2"/>
  <c r="W936" i="2"/>
  <c r="W937" i="2"/>
  <c r="W938" i="2"/>
  <c r="W935" i="2"/>
  <c r="D934" i="2"/>
  <c r="E934" i="2"/>
  <c r="F934" i="2"/>
  <c r="G934" i="2"/>
  <c r="H934" i="2"/>
  <c r="I934" i="2"/>
  <c r="J934" i="2"/>
  <c r="K934" i="2"/>
  <c r="L934" i="2"/>
  <c r="M934" i="2"/>
  <c r="N934" i="2"/>
  <c r="O934" i="2"/>
  <c r="P934" i="2"/>
  <c r="Q934" i="2"/>
  <c r="R934" i="2"/>
  <c r="S934" i="2"/>
  <c r="T934" i="2"/>
  <c r="U934" i="2"/>
  <c r="V934" i="2"/>
  <c r="C936" i="2"/>
  <c r="C937" i="2"/>
  <c r="C938" i="2"/>
  <c r="C935" i="2"/>
  <c r="I405" i="1"/>
  <c r="J405" i="1"/>
  <c r="K405" i="1"/>
  <c r="L405" i="1"/>
  <c r="M405" i="1"/>
  <c r="N405" i="1"/>
  <c r="P405" i="1"/>
  <c r="H405" i="1"/>
  <c r="W402" i="2"/>
  <c r="W403" i="2"/>
  <c r="W404" i="2"/>
  <c r="W401" i="2"/>
  <c r="D402" i="2"/>
  <c r="D403" i="2"/>
  <c r="D404" i="2"/>
  <c r="D401" i="2"/>
  <c r="E400" i="2"/>
  <c r="F400" i="2"/>
  <c r="G400" i="2"/>
  <c r="H400" i="2"/>
  <c r="I400" i="2"/>
  <c r="J400" i="2"/>
  <c r="K400" i="2"/>
  <c r="L400" i="2"/>
  <c r="M400" i="2"/>
  <c r="N400" i="2"/>
  <c r="O400" i="2"/>
  <c r="P400" i="2"/>
  <c r="Q400" i="2"/>
  <c r="R400" i="2"/>
  <c r="S400" i="2"/>
  <c r="T400" i="2"/>
  <c r="U400" i="2"/>
  <c r="V400" i="2"/>
  <c r="C402" i="2"/>
  <c r="C403" i="2"/>
  <c r="C404" i="2"/>
  <c r="C401" i="2"/>
  <c r="C1423" i="2" l="1"/>
  <c r="C400" i="2"/>
  <c r="C934" i="2"/>
  <c r="D400" i="2"/>
  <c r="O1453" i="1" l="1"/>
  <c r="O1454" i="1"/>
  <c r="O1452" i="1"/>
  <c r="I1451" i="1"/>
  <c r="J1451" i="1"/>
  <c r="K1451" i="1"/>
  <c r="L1451" i="1"/>
  <c r="M1451" i="1"/>
  <c r="N1451" i="1"/>
  <c r="P1451" i="1"/>
  <c r="H1451" i="1"/>
  <c r="Q1454" i="1"/>
  <c r="Q1453" i="1"/>
  <c r="Q1452" i="1"/>
  <c r="O951" i="1"/>
  <c r="O952" i="1"/>
  <c r="O953" i="1"/>
  <c r="O950" i="1"/>
  <c r="I949" i="1"/>
  <c r="J949" i="1"/>
  <c r="K949" i="1"/>
  <c r="L949" i="1"/>
  <c r="M949" i="1"/>
  <c r="N949" i="1"/>
  <c r="P949" i="1"/>
  <c r="C155" i="3"/>
  <c r="Q953" i="1"/>
  <c r="Q952" i="1"/>
  <c r="Q951" i="1"/>
  <c r="Q950" i="1"/>
  <c r="O407" i="1"/>
  <c r="O408" i="1"/>
  <c r="O409" i="1"/>
  <c r="O406" i="1"/>
  <c r="Q409" i="1"/>
  <c r="Q408" i="1"/>
  <c r="Q407" i="1"/>
  <c r="Q406" i="1"/>
  <c r="D155" i="3" l="1"/>
  <c r="C249" i="3"/>
  <c r="M249" i="3"/>
  <c r="M155" i="3"/>
  <c r="D249" i="3"/>
  <c r="O1451" i="1"/>
  <c r="O405" i="1"/>
  <c r="O949" i="1"/>
  <c r="E1449" i="2" l="1"/>
  <c r="F1449" i="2"/>
  <c r="G1449" i="2"/>
  <c r="H1449" i="2"/>
  <c r="I1449" i="2"/>
  <c r="J1449" i="2"/>
  <c r="K1449" i="2"/>
  <c r="L1449" i="2"/>
  <c r="M1449" i="2"/>
  <c r="N1449" i="2"/>
  <c r="O1449" i="2"/>
  <c r="P1449" i="2"/>
  <c r="Q1449" i="2"/>
  <c r="R1449" i="2"/>
  <c r="S1449" i="2"/>
  <c r="T1449" i="2"/>
  <c r="U1449" i="2"/>
  <c r="V1449" i="2"/>
  <c r="W1454" i="2"/>
  <c r="W1453" i="2"/>
  <c r="AD1452" i="2"/>
  <c r="AB1452" i="2"/>
  <c r="Z1452" i="2"/>
  <c r="Y1452" i="2"/>
  <c r="W1451" i="2"/>
  <c r="Z1450" i="2"/>
  <c r="AA1450" i="2"/>
  <c r="Y1450" i="2"/>
  <c r="W1450" i="2"/>
  <c r="D1451" i="2"/>
  <c r="D1452" i="2"/>
  <c r="D1453" i="2"/>
  <c r="D1454" i="2"/>
  <c r="D1450" i="2"/>
  <c r="C1451" i="2"/>
  <c r="C1452" i="2"/>
  <c r="C1453" i="2"/>
  <c r="C1454" i="2"/>
  <c r="C1450" i="2"/>
  <c r="AD970" i="2"/>
  <c r="Y970" i="2"/>
  <c r="AD969" i="2"/>
  <c r="AC969" i="2"/>
  <c r="Z969" i="2"/>
  <c r="AD968" i="2"/>
  <c r="AA968" i="2"/>
  <c r="Z968" i="2"/>
  <c r="Y968" i="2"/>
  <c r="W967" i="2"/>
  <c r="AD966" i="2"/>
  <c r="AB966" i="2"/>
  <c r="Z966" i="2"/>
  <c r="W966" i="2"/>
  <c r="AD965" i="2"/>
  <c r="Z965" i="2"/>
  <c r="Y965" i="2"/>
  <c r="D966" i="2"/>
  <c r="D967" i="2"/>
  <c r="D968" i="2"/>
  <c r="D969" i="2"/>
  <c r="D970" i="2"/>
  <c r="D965" i="2"/>
  <c r="C966" i="2"/>
  <c r="C967" i="2"/>
  <c r="C968" i="2"/>
  <c r="C969" i="2"/>
  <c r="C970" i="2"/>
  <c r="C965" i="2"/>
  <c r="D964" i="2" l="1"/>
  <c r="D1449" i="2"/>
  <c r="C964" i="2"/>
  <c r="C1449" i="2"/>
  <c r="Z435" i="2"/>
  <c r="Y435" i="2"/>
  <c r="W435" i="2"/>
  <c r="Y433" i="2"/>
  <c r="Y434" i="2"/>
  <c r="W433" i="2"/>
  <c r="AD432" i="2"/>
  <c r="AC432" i="2"/>
  <c r="Z431" i="2"/>
  <c r="AE431" i="2"/>
  <c r="X431" i="2"/>
  <c r="D432" i="2"/>
  <c r="D433" i="2"/>
  <c r="D434" i="2"/>
  <c r="D435" i="2"/>
  <c r="D431" i="2"/>
  <c r="C432" i="2"/>
  <c r="C433" i="2"/>
  <c r="C434" i="2"/>
  <c r="C435" i="2"/>
  <c r="C431" i="2"/>
  <c r="I1477" i="1"/>
  <c r="J1477" i="1"/>
  <c r="K1477" i="1"/>
  <c r="D258" i="3" s="1"/>
  <c r="L1477" i="1"/>
  <c r="M258" i="3" s="1"/>
  <c r="M1477" i="1"/>
  <c r="N1477" i="1"/>
  <c r="O1477" i="1"/>
  <c r="P1477" i="1"/>
  <c r="H1477" i="1"/>
  <c r="C258" i="3" s="1"/>
  <c r="Q1482" i="1"/>
  <c r="Q1481" i="1"/>
  <c r="Q1480" i="1"/>
  <c r="Q1479" i="1"/>
  <c r="Q1478" i="1"/>
  <c r="I979" i="1"/>
  <c r="J979" i="1"/>
  <c r="K979" i="1"/>
  <c r="D165" i="3" s="1"/>
  <c r="L979" i="1"/>
  <c r="M165" i="3" s="1"/>
  <c r="M979" i="1"/>
  <c r="N979" i="1"/>
  <c r="O979" i="1"/>
  <c r="P979" i="1"/>
  <c r="C165" i="3"/>
  <c r="Q985" i="1"/>
  <c r="Q984" i="1"/>
  <c r="Q983" i="1"/>
  <c r="Q982" i="1"/>
  <c r="Q981" i="1"/>
  <c r="Q980" i="1"/>
  <c r="I435" i="1"/>
  <c r="J435" i="1"/>
  <c r="K435" i="1"/>
  <c r="L435" i="1"/>
  <c r="M435" i="1"/>
  <c r="N435" i="1"/>
  <c r="O435" i="1"/>
  <c r="P435" i="1"/>
  <c r="H435" i="1"/>
  <c r="Q437" i="1"/>
  <c r="Q438" i="1"/>
  <c r="Q439" i="1"/>
  <c r="Q440" i="1"/>
  <c r="Q436" i="1"/>
  <c r="D1418" i="2"/>
  <c r="E1418" i="2"/>
  <c r="F1418" i="2"/>
  <c r="G1418" i="2"/>
  <c r="H1418" i="2"/>
  <c r="I1418" i="2"/>
  <c r="J1418" i="2"/>
  <c r="K1418" i="2"/>
  <c r="L1418" i="2"/>
  <c r="M1418" i="2"/>
  <c r="N1418" i="2"/>
  <c r="O1418" i="2"/>
  <c r="P1418" i="2"/>
  <c r="Q1418" i="2"/>
  <c r="R1418" i="2"/>
  <c r="S1418" i="2"/>
  <c r="T1418" i="2"/>
  <c r="U1418" i="2"/>
  <c r="W1419" i="2"/>
  <c r="C1419" i="2"/>
  <c r="C1418" i="2" s="1"/>
  <c r="D929" i="2"/>
  <c r="E929" i="2"/>
  <c r="F929" i="2"/>
  <c r="G929" i="2"/>
  <c r="H929" i="2"/>
  <c r="I929" i="2"/>
  <c r="J929" i="2"/>
  <c r="K929" i="2"/>
  <c r="L929" i="2"/>
  <c r="M929" i="2"/>
  <c r="N929" i="2"/>
  <c r="O929" i="2"/>
  <c r="P929" i="2"/>
  <c r="Q929" i="2"/>
  <c r="R929" i="2"/>
  <c r="S929" i="2"/>
  <c r="T929" i="2"/>
  <c r="U929" i="2"/>
  <c r="X930" i="2"/>
  <c r="C930" i="2"/>
  <c r="C929" i="2" s="1"/>
  <c r="D391" i="2"/>
  <c r="E391" i="2"/>
  <c r="F391" i="2"/>
  <c r="G391" i="2"/>
  <c r="H391" i="2"/>
  <c r="I391" i="2"/>
  <c r="J391" i="2"/>
  <c r="K391" i="2"/>
  <c r="L391" i="2"/>
  <c r="M391" i="2"/>
  <c r="N391" i="2"/>
  <c r="O391" i="2"/>
  <c r="P391" i="2"/>
  <c r="Q391" i="2"/>
  <c r="R391" i="2"/>
  <c r="S391" i="2"/>
  <c r="T391" i="2"/>
  <c r="U391" i="2"/>
  <c r="V391" i="2"/>
  <c r="W394" i="2"/>
  <c r="X393" i="2"/>
  <c r="W393" i="2"/>
  <c r="X392" i="2"/>
  <c r="C394" i="2"/>
  <c r="C392" i="2"/>
  <c r="I397" i="1"/>
  <c r="J397" i="1"/>
  <c r="K397" i="1"/>
  <c r="M397" i="1"/>
  <c r="N397" i="1"/>
  <c r="O397" i="1"/>
  <c r="P397" i="1"/>
  <c r="H397" i="1"/>
  <c r="C393" i="2"/>
  <c r="Q398" i="1"/>
  <c r="Q400" i="1"/>
  <c r="C57" i="3" l="1"/>
  <c r="D57" i="3"/>
  <c r="D430" i="2"/>
  <c r="C430" i="2"/>
  <c r="Q399" i="1"/>
  <c r="L397" i="1"/>
  <c r="C391" i="2"/>
  <c r="M127" i="3"/>
  <c r="D127" i="3"/>
  <c r="C127" i="3"/>
  <c r="V1340" i="2"/>
  <c r="V1332" i="2" s="1"/>
  <c r="D853" i="2"/>
  <c r="E853" i="2"/>
  <c r="F853" i="2"/>
  <c r="G853" i="2"/>
  <c r="H853" i="2"/>
  <c r="I853" i="2"/>
  <c r="J853" i="2"/>
  <c r="K853" i="2"/>
  <c r="L853" i="2"/>
  <c r="M853" i="2"/>
  <c r="N853" i="2"/>
  <c r="O853" i="2"/>
  <c r="P853" i="2"/>
  <c r="Q853" i="2"/>
  <c r="R853" i="2"/>
  <c r="S853" i="2"/>
  <c r="T853" i="2"/>
  <c r="U853" i="2"/>
  <c r="C853" i="2"/>
  <c r="W854" i="2"/>
  <c r="D305" i="2"/>
  <c r="E305" i="2"/>
  <c r="F305" i="2"/>
  <c r="G305" i="2"/>
  <c r="H305" i="2"/>
  <c r="I305" i="2"/>
  <c r="J305" i="2"/>
  <c r="K305" i="2"/>
  <c r="L305" i="2"/>
  <c r="M305" i="2"/>
  <c r="N305" i="2"/>
  <c r="O305" i="2"/>
  <c r="P305" i="2"/>
  <c r="Q305" i="2"/>
  <c r="R305" i="2"/>
  <c r="S305" i="2"/>
  <c r="T305" i="2"/>
  <c r="U305" i="2"/>
  <c r="V305" i="2"/>
  <c r="C305" i="2"/>
  <c r="N218" i="3"/>
  <c r="D218" i="3"/>
  <c r="C218" i="3"/>
  <c r="E123" i="3"/>
  <c r="F123" i="3"/>
  <c r="G123" i="3"/>
  <c r="J123" i="3"/>
  <c r="K123" i="3"/>
  <c r="N125" i="3"/>
  <c r="D125" i="3"/>
  <c r="C125" i="3"/>
  <c r="N27" i="3"/>
  <c r="D27" i="3"/>
  <c r="C27" i="3"/>
  <c r="X1336" i="2"/>
  <c r="C1336" i="2"/>
  <c r="C1335" i="2" s="1"/>
  <c r="C1332" i="2" s="1"/>
  <c r="F1335" i="2"/>
  <c r="F1332" i="2" s="1"/>
  <c r="G1335" i="2"/>
  <c r="G1332" i="2" s="1"/>
  <c r="H1335" i="2"/>
  <c r="H1332" i="2" s="1"/>
  <c r="I1335" i="2"/>
  <c r="I1332" i="2" s="1"/>
  <c r="J1335" i="2"/>
  <c r="J1332" i="2" s="1"/>
  <c r="K1335" i="2"/>
  <c r="K1332" i="2" s="1"/>
  <c r="L1335" i="2"/>
  <c r="L1332" i="2" s="1"/>
  <c r="M1335" i="2"/>
  <c r="M1332" i="2" s="1"/>
  <c r="N1335" i="2"/>
  <c r="N1332" i="2" s="1"/>
  <c r="O1335" i="2"/>
  <c r="O1332" i="2" s="1"/>
  <c r="P1335" i="2"/>
  <c r="P1332" i="2" s="1"/>
  <c r="Q1335" i="2"/>
  <c r="Q1332" i="2" s="1"/>
  <c r="R1335" i="2"/>
  <c r="R1332" i="2" s="1"/>
  <c r="S1335" i="2"/>
  <c r="S1332" i="2" s="1"/>
  <c r="T1335" i="2"/>
  <c r="T1332" i="2" s="1"/>
  <c r="U1335" i="2"/>
  <c r="U1332" i="2" s="1"/>
  <c r="D1335" i="2"/>
  <c r="D1332" i="2" s="1"/>
  <c r="E1335" i="2"/>
  <c r="E1332" i="2" s="1"/>
  <c r="X850" i="2"/>
  <c r="C850" i="2"/>
  <c r="D849" i="2"/>
  <c r="E849" i="2"/>
  <c r="F849" i="2"/>
  <c r="G849" i="2"/>
  <c r="H849" i="2"/>
  <c r="I849" i="2"/>
  <c r="J849" i="2"/>
  <c r="K849" i="2"/>
  <c r="L849" i="2"/>
  <c r="M849" i="2"/>
  <c r="N849" i="2"/>
  <c r="O849" i="2"/>
  <c r="P849" i="2"/>
  <c r="Q849" i="2"/>
  <c r="R849" i="2"/>
  <c r="S849" i="2"/>
  <c r="T849" i="2"/>
  <c r="U849" i="2"/>
  <c r="V849" i="2"/>
  <c r="V844" i="2" s="1"/>
  <c r="C849" i="2"/>
  <c r="D301" i="2"/>
  <c r="D298" i="2" s="1"/>
  <c r="E301" i="2"/>
  <c r="F301" i="2"/>
  <c r="G301" i="2"/>
  <c r="H301" i="2"/>
  <c r="I301" i="2"/>
  <c r="I298" i="2" s="1"/>
  <c r="J301" i="2"/>
  <c r="J298" i="2" s="1"/>
  <c r="K301" i="2"/>
  <c r="K298" i="2" s="1"/>
  <c r="L301" i="2"/>
  <c r="L298" i="2" s="1"/>
  <c r="M301" i="2"/>
  <c r="M298" i="2" s="1"/>
  <c r="N301" i="2"/>
  <c r="N298" i="2" s="1"/>
  <c r="O301" i="2"/>
  <c r="P301" i="2"/>
  <c r="P298" i="2" s="1"/>
  <c r="Q301" i="2"/>
  <c r="R301" i="2"/>
  <c r="S301" i="2"/>
  <c r="T301" i="2"/>
  <c r="U301" i="2"/>
  <c r="U298" i="2" s="1"/>
  <c r="V301" i="2"/>
  <c r="V298" i="2" s="1"/>
  <c r="C302" i="2"/>
  <c r="C301" i="2" s="1"/>
  <c r="C298" i="2" s="1"/>
  <c r="I1367" i="1"/>
  <c r="J1367" i="1"/>
  <c r="K1367" i="1"/>
  <c r="L1367" i="1"/>
  <c r="M1367" i="1"/>
  <c r="N1367" i="1"/>
  <c r="O1367" i="1"/>
  <c r="P1367" i="1"/>
  <c r="H1367" i="1"/>
  <c r="Q1368" i="1"/>
  <c r="I872" i="1"/>
  <c r="J872" i="1"/>
  <c r="K872" i="1"/>
  <c r="L872" i="1"/>
  <c r="M872" i="1"/>
  <c r="N872" i="1"/>
  <c r="O872" i="1"/>
  <c r="P872" i="1"/>
  <c r="H872" i="1"/>
  <c r="Q873" i="1"/>
  <c r="I310" i="1"/>
  <c r="J310" i="1"/>
  <c r="K310" i="1"/>
  <c r="L310" i="1"/>
  <c r="M310" i="1"/>
  <c r="N310" i="1"/>
  <c r="O310" i="1"/>
  <c r="P310" i="1"/>
  <c r="H310" i="1"/>
  <c r="Q311" i="1"/>
  <c r="D559" i="2"/>
  <c r="E559" i="2"/>
  <c r="F559" i="2"/>
  <c r="G559" i="2"/>
  <c r="H559" i="2"/>
  <c r="I559" i="2"/>
  <c r="J559" i="2"/>
  <c r="K559" i="2"/>
  <c r="L559" i="2"/>
  <c r="M559" i="2"/>
  <c r="N559" i="2"/>
  <c r="O559" i="2"/>
  <c r="P559" i="2"/>
  <c r="Q559" i="2"/>
  <c r="R559" i="2"/>
  <c r="S559" i="2"/>
  <c r="T559" i="2"/>
  <c r="U559" i="2"/>
  <c r="V559" i="2"/>
  <c r="C560" i="2"/>
  <c r="C559" i="2" s="1"/>
  <c r="X416" i="2"/>
  <c r="X415" i="2"/>
  <c r="D414" i="2"/>
  <c r="E414" i="2"/>
  <c r="F414" i="2"/>
  <c r="G414" i="2"/>
  <c r="H414" i="2"/>
  <c r="I414" i="2"/>
  <c r="J414" i="2"/>
  <c r="K414" i="2"/>
  <c r="L414" i="2"/>
  <c r="M414" i="2"/>
  <c r="N414" i="2"/>
  <c r="O414" i="2"/>
  <c r="P414" i="2"/>
  <c r="Q414" i="2"/>
  <c r="R414" i="2"/>
  <c r="S414" i="2"/>
  <c r="T414" i="2"/>
  <c r="U414" i="2"/>
  <c r="V414" i="2"/>
  <c r="C414" i="2"/>
  <c r="W949" i="2"/>
  <c r="D948" i="2"/>
  <c r="E948" i="2"/>
  <c r="F948" i="2"/>
  <c r="G948" i="2"/>
  <c r="H948" i="2"/>
  <c r="I948" i="2"/>
  <c r="J948" i="2"/>
  <c r="K948" i="2"/>
  <c r="L948" i="2"/>
  <c r="M948" i="2"/>
  <c r="N948" i="2"/>
  <c r="O948" i="2"/>
  <c r="P948" i="2"/>
  <c r="Q948" i="2"/>
  <c r="R948" i="2"/>
  <c r="S948" i="2"/>
  <c r="T948" i="2"/>
  <c r="U948" i="2"/>
  <c r="V948" i="2"/>
  <c r="C948" i="2"/>
  <c r="D1433" i="2"/>
  <c r="E1433" i="2"/>
  <c r="F1433" i="2"/>
  <c r="G1433" i="2"/>
  <c r="H1433" i="2"/>
  <c r="I1433" i="2"/>
  <c r="J1433" i="2"/>
  <c r="K1433" i="2"/>
  <c r="L1433" i="2"/>
  <c r="M1433" i="2"/>
  <c r="N1433" i="2"/>
  <c r="O1433" i="2"/>
  <c r="P1433" i="2"/>
  <c r="Q1433" i="2"/>
  <c r="R1433" i="2"/>
  <c r="S1433" i="2"/>
  <c r="T1433" i="2"/>
  <c r="U1433" i="2"/>
  <c r="C1433" i="2"/>
  <c r="W1434" i="2"/>
  <c r="I1461" i="1"/>
  <c r="J1461" i="1"/>
  <c r="K1461" i="1"/>
  <c r="L1461" i="1"/>
  <c r="M1461" i="1"/>
  <c r="N1461" i="1"/>
  <c r="O1461" i="1"/>
  <c r="P1461" i="1"/>
  <c r="H1461" i="1"/>
  <c r="I963" i="1"/>
  <c r="J963" i="1"/>
  <c r="K963" i="1"/>
  <c r="L963" i="1"/>
  <c r="M963" i="1"/>
  <c r="N963" i="1"/>
  <c r="O963" i="1"/>
  <c r="P963" i="1"/>
  <c r="H963" i="1"/>
  <c r="I419" i="1"/>
  <c r="J419" i="1"/>
  <c r="K419" i="1"/>
  <c r="L419" i="1"/>
  <c r="M419" i="1"/>
  <c r="N419" i="1"/>
  <c r="O419" i="1"/>
  <c r="P419" i="1"/>
  <c r="H419" i="1"/>
  <c r="W1500" i="2"/>
  <c r="C1500" i="2"/>
  <c r="C1499" i="2" s="1"/>
  <c r="D1498" i="2"/>
  <c r="E1498" i="2"/>
  <c r="F1498" i="2"/>
  <c r="G1498" i="2"/>
  <c r="H1498" i="2"/>
  <c r="I1498" i="2"/>
  <c r="J1498" i="2"/>
  <c r="K1498" i="2"/>
  <c r="L1498" i="2"/>
  <c r="M1498" i="2"/>
  <c r="N1498" i="2"/>
  <c r="O1498" i="2"/>
  <c r="P1498" i="2"/>
  <c r="Q1498" i="2"/>
  <c r="R1498" i="2"/>
  <c r="S1498" i="2"/>
  <c r="T1498" i="2"/>
  <c r="U1498" i="2"/>
  <c r="W1020" i="2"/>
  <c r="W1019" i="2"/>
  <c r="D1018" i="2"/>
  <c r="D1017" i="2" s="1"/>
  <c r="E1018" i="2"/>
  <c r="E1017" i="2" s="1"/>
  <c r="F1018" i="2"/>
  <c r="F1017" i="2" s="1"/>
  <c r="G1018" i="2"/>
  <c r="G1017" i="2" s="1"/>
  <c r="H1018" i="2"/>
  <c r="H1017" i="2" s="1"/>
  <c r="I1018" i="2"/>
  <c r="I1017" i="2" s="1"/>
  <c r="J1018" i="2"/>
  <c r="J1017" i="2" s="1"/>
  <c r="K1018" i="2"/>
  <c r="K1017" i="2" s="1"/>
  <c r="L1018" i="2"/>
  <c r="L1017" i="2" s="1"/>
  <c r="M1018" i="2"/>
  <c r="M1017" i="2" s="1"/>
  <c r="N1018" i="2"/>
  <c r="N1017" i="2" s="1"/>
  <c r="O1018" i="2"/>
  <c r="O1017" i="2" s="1"/>
  <c r="P1018" i="2"/>
  <c r="P1017" i="2" s="1"/>
  <c r="Q1018" i="2"/>
  <c r="Q1017" i="2" s="1"/>
  <c r="R1018" i="2"/>
  <c r="R1017" i="2" s="1"/>
  <c r="S1018" i="2"/>
  <c r="S1017" i="2" s="1"/>
  <c r="T1018" i="2"/>
  <c r="T1017" i="2" s="1"/>
  <c r="U1018" i="2"/>
  <c r="U1017" i="2" s="1"/>
  <c r="V1018" i="2"/>
  <c r="C1020" i="2"/>
  <c r="C1019" i="2"/>
  <c r="V519" i="2"/>
  <c r="D520" i="2"/>
  <c r="D519" i="2" s="1"/>
  <c r="E520" i="2"/>
  <c r="E519" i="2" s="1"/>
  <c r="F520" i="2"/>
  <c r="F519" i="2" s="1"/>
  <c r="G520" i="2"/>
  <c r="G519" i="2" s="1"/>
  <c r="H520" i="2"/>
  <c r="H519" i="2" s="1"/>
  <c r="I520" i="2"/>
  <c r="I519" i="2" s="1"/>
  <c r="J520" i="2"/>
  <c r="J519" i="2" s="1"/>
  <c r="K520" i="2"/>
  <c r="K519" i="2" s="1"/>
  <c r="L520" i="2"/>
  <c r="L519" i="2" s="1"/>
  <c r="M520" i="2"/>
  <c r="M519" i="2" s="1"/>
  <c r="N520" i="2"/>
  <c r="N519" i="2" s="1"/>
  <c r="O520" i="2"/>
  <c r="O519" i="2" s="1"/>
  <c r="P520" i="2"/>
  <c r="P519" i="2" s="1"/>
  <c r="Q520" i="2"/>
  <c r="Q519" i="2" s="1"/>
  <c r="R520" i="2"/>
  <c r="R519" i="2" s="1"/>
  <c r="S520" i="2"/>
  <c r="S519" i="2" s="1"/>
  <c r="T520" i="2"/>
  <c r="T519" i="2" s="1"/>
  <c r="U520" i="2"/>
  <c r="U519" i="2" s="1"/>
  <c r="W522" i="2"/>
  <c r="W521" i="2"/>
  <c r="C522" i="2"/>
  <c r="C521" i="2"/>
  <c r="D367" i="2"/>
  <c r="E367" i="2"/>
  <c r="F367" i="2"/>
  <c r="G367" i="2"/>
  <c r="H367" i="2"/>
  <c r="I367" i="2"/>
  <c r="J367" i="2"/>
  <c r="K367" i="2"/>
  <c r="L367" i="2"/>
  <c r="M367" i="2"/>
  <c r="N367" i="2"/>
  <c r="O367" i="2"/>
  <c r="P367" i="2"/>
  <c r="Q367" i="2"/>
  <c r="R367" i="2"/>
  <c r="S367" i="2"/>
  <c r="T367" i="2"/>
  <c r="U367" i="2"/>
  <c r="V367" i="2"/>
  <c r="C367" i="2"/>
  <c r="D905" i="2"/>
  <c r="E905" i="2"/>
  <c r="F905" i="2"/>
  <c r="G905" i="2"/>
  <c r="H905" i="2"/>
  <c r="I905" i="2"/>
  <c r="J905" i="2"/>
  <c r="K905" i="2"/>
  <c r="L905" i="2"/>
  <c r="M905" i="2"/>
  <c r="N905" i="2"/>
  <c r="O905" i="2"/>
  <c r="P905" i="2"/>
  <c r="Q905" i="2"/>
  <c r="R905" i="2"/>
  <c r="S905" i="2"/>
  <c r="T905" i="2"/>
  <c r="U905" i="2"/>
  <c r="V905" i="2"/>
  <c r="C905" i="2"/>
  <c r="D1395" i="2"/>
  <c r="E1395" i="2"/>
  <c r="F1395" i="2"/>
  <c r="G1395" i="2"/>
  <c r="H1395" i="2"/>
  <c r="I1395" i="2"/>
  <c r="J1395" i="2"/>
  <c r="K1395" i="2"/>
  <c r="L1395" i="2"/>
  <c r="M1395" i="2"/>
  <c r="N1395" i="2"/>
  <c r="O1395" i="2"/>
  <c r="P1395" i="2"/>
  <c r="Q1395" i="2"/>
  <c r="R1395" i="2"/>
  <c r="S1395" i="2"/>
  <c r="T1395" i="2"/>
  <c r="U1395" i="2"/>
  <c r="V1395" i="2"/>
  <c r="C1395" i="2"/>
  <c r="W1396" i="2"/>
  <c r="W906" i="2"/>
  <c r="W368" i="2"/>
  <c r="I1427" i="1"/>
  <c r="J1427" i="1"/>
  <c r="K1427" i="1"/>
  <c r="L1427" i="1"/>
  <c r="M1427" i="1"/>
  <c r="N1427" i="1"/>
  <c r="P1427" i="1"/>
  <c r="H1427" i="1"/>
  <c r="I930" i="1"/>
  <c r="J930" i="1"/>
  <c r="K930" i="1"/>
  <c r="L930" i="1"/>
  <c r="M930" i="1"/>
  <c r="N930" i="1"/>
  <c r="P930" i="1"/>
  <c r="H930" i="1"/>
  <c r="I377" i="1"/>
  <c r="J377" i="1"/>
  <c r="K377" i="1"/>
  <c r="L377" i="1"/>
  <c r="M377" i="1"/>
  <c r="N377" i="1"/>
  <c r="P377" i="1"/>
  <c r="H377" i="1"/>
  <c r="I156" i="3"/>
  <c r="D941" i="2"/>
  <c r="E941" i="2"/>
  <c r="F941" i="2"/>
  <c r="G941" i="2"/>
  <c r="H941" i="2"/>
  <c r="I941" i="2"/>
  <c r="J941" i="2"/>
  <c r="K941" i="2"/>
  <c r="L941" i="2"/>
  <c r="M941" i="2"/>
  <c r="N941" i="2"/>
  <c r="O941" i="2"/>
  <c r="P941" i="2"/>
  <c r="Q941" i="2"/>
  <c r="R941" i="2"/>
  <c r="S941" i="2"/>
  <c r="T941" i="2"/>
  <c r="U941" i="2"/>
  <c r="V941" i="2"/>
  <c r="C941" i="2"/>
  <c r="W942" i="2"/>
  <c r="W409" i="2"/>
  <c r="W408" i="2"/>
  <c r="D407" i="2"/>
  <c r="E407" i="2"/>
  <c r="F407" i="2"/>
  <c r="G407" i="2"/>
  <c r="H407" i="2"/>
  <c r="I407" i="2"/>
  <c r="J407" i="2"/>
  <c r="K407" i="2"/>
  <c r="L407" i="2"/>
  <c r="M407" i="2"/>
  <c r="N407" i="2"/>
  <c r="O407" i="2"/>
  <c r="P407" i="2"/>
  <c r="Q407" i="2"/>
  <c r="R407" i="2"/>
  <c r="S407" i="2"/>
  <c r="T407" i="2"/>
  <c r="U407" i="2"/>
  <c r="C407" i="2"/>
  <c r="I956" i="1"/>
  <c r="J956" i="1"/>
  <c r="K956" i="1"/>
  <c r="L956" i="1"/>
  <c r="M956" i="1"/>
  <c r="N956" i="1"/>
  <c r="O956" i="1"/>
  <c r="P956" i="1"/>
  <c r="H956" i="1"/>
  <c r="Q957" i="1"/>
  <c r="I412" i="1"/>
  <c r="J412" i="1"/>
  <c r="K412" i="1"/>
  <c r="L412" i="1"/>
  <c r="M412" i="1"/>
  <c r="N412" i="1"/>
  <c r="O412" i="1"/>
  <c r="P412" i="1"/>
  <c r="H412" i="1"/>
  <c r="Q413" i="1"/>
  <c r="Q414" i="1"/>
  <c r="E275" i="3"/>
  <c r="F275" i="3"/>
  <c r="G275" i="3"/>
  <c r="H275" i="3"/>
  <c r="I275" i="3"/>
  <c r="J275" i="3"/>
  <c r="K275" i="3"/>
  <c r="L275" i="3"/>
  <c r="M275" i="3"/>
  <c r="N275" i="3"/>
  <c r="D276" i="3"/>
  <c r="D275" i="3" s="1"/>
  <c r="C276" i="3"/>
  <c r="C275" i="3" s="1"/>
  <c r="E86" i="3"/>
  <c r="F86" i="3"/>
  <c r="G86" i="3"/>
  <c r="H86" i="3"/>
  <c r="I86" i="3"/>
  <c r="J86" i="3"/>
  <c r="K86" i="3"/>
  <c r="L86" i="3"/>
  <c r="M86" i="3"/>
  <c r="N86" i="3"/>
  <c r="D87" i="3"/>
  <c r="D86" i="3" s="1"/>
  <c r="C87" i="3"/>
  <c r="C86" i="3" s="1"/>
  <c r="D1501" i="2"/>
  <c r="E1501" i="2"/>
  <c r="F1501" i="2"/>
  <c r="G1501" i="2"/>
  <c r="H1501" i="2"/>
  <c r="I1501" i="2"/>
  <c r="J1501" i="2"/>
  <c r="K1501" i="2"/>
  <c r="L1501" i="2"/>
  <c r="M1501" i="2"/>
  <c r="N1501" i="2"/>
  <c r="O1501" i="2"/>
  <c r="P1501" i="2"/>
  <c r="Q1501" i="2"/>
  <c r="R1501" i="2"/>
  <c r="S1501" i="2"/>
  <c r="T1501" i="2"/>
  <c r="U1501" i="2"/>
  <c r="C1501" i="2"/>
  <c r="W1502" i="2"/>
  <c r="D523" i="2"/>
  <c r="E523" i="2"/>
  <c r="F523" i="2"/>
  <c r="G523" i="2"/>
  <c r="H523" i="2"/>
  <c r="I523" i="2"/>
  <c r="J523" i="2"/>
  <c r="K523" i="2"/>
  <c r="L523" i="2"/>
  <c r="M523" i="2"/>
  <c r="N523" i="2"/>
  <c r="O523" i="2"/>
  <c r="P523" i="2"/>
  <c r="Q523" i="2"/>
  <c r="R523" i="2"/>
  <c r="S523" i="2"/>
  <c r="T523" i="2"/>
  <c r="U523" i="2"/>
  <c r="V523" i="2"/>
  <c r="C523" i="2"/>
  <c r="I1525" i="1"/>
  <c r="J1525" i="1"/>
  <c r="K1525" i="1"/>
  <c r="L1525" i="1"/>
  <c r="M1525" i="1"/>
  <c r="N1525" i="1"/>
  <c r="O1525" i="1"/>
  <c r="P1525" i="1"/>
  <c r="H1525" i="1"/>
  <c r="Q1526" i="1"/>
  <c r="I483" i="1"/>
  <c r="J483" i="1"/>
  <c r="K483" i="1"/>
  <c r="L483" i="1"/>
  <c r="M483" i="1"/>
  <c r="N483" i="1"/>
  <c r="O483" i="1"/>
  <c r="P483" i="1"/>
  <c r="H483" i="1"/>
  <c r="Q484" i="1"/>
  <c r="D235" i="3"/>
  <c r="C235" i="3"/>
  <c r="D141" i="3"/>
  <c r="C141" i="3"/>
  <c r="D1368" i="2"/>
  <c r="E1368" i="2"/>
  <c r="F1368" i="2"/>
  <c r="G1368" i="2"/>
  <c r="H1368" i="2"/>
  <c r="I1368" i="2"/>
  <c r="J1368" i="2"/>
  <c r="K1368" i="2"/>
  <c r="L1368" i="2"/>
  <c r="M1368" i="2"/>
  <c r="N1368" i="2"/>
  <c r="O1368" i="2"/>
  <c r="P1368" i="2"/>
  <c r="Q1368" i="2"/>
  <c r="R1368" i="2"/>
  <c r="S1368" i="2"/>
  <c r="T1368" i="2"/>
  <c r="U1368" i="2"/>
  <c r="V1368" i="2"/>
  <c r="C1368" i="2"/>
  <c r="W1369" i="2"/>
  <c r="D880" i="2"/>
  <c r="E880" i="2"/>
  <c r="F880" i="2"/>
  <c r="G880" i="2"/>
  <c r="H880" i="2"/>
  <c r="I880" i="2"/>
  <c r="J880" i="2"/>
  <c r="K880" i="2"/>
  <c r="L880" i="2"/>
  <c r="M880" i="2"/>
  <c r="N880" i="2"/>
  <c r="O880" i="2"/>
  <c r="P880" i="2"/>
  <c r="Q880" i="2"/>
  <c r="R880" i="2"/>
  <c r="S880" i="2"/>
  <c r="T880" i="2"/>
  <c r="U880" i="2"/>
  <c r="C880" i="2"/>
  <c r="X881" i="2"/>
  <c r="D339" i="2"/>
  <c r="E339" i="2"/>
  <c r="F339" i="2"/>
  <c r="G339" i="2"/>
  <c r="H339" i="2"/>
  <c r="I339" i="2"/>
  <c r="J339" i="2"/>
  <c r="K339" i="2"/>
  <c r="L339" i="2"/>
  <c r="M339" i="2"/>
  <c r="N339" i="2"/>
  <c r="O339" i="2"/>
  <c r="P339" i="2"/>
  <c r="Q339" i="2"/>
  <c r="R339" i="2"/>
  <c r="S339" i="2"/>
  <c r="T339" i="2"/>
  <c r="U339" i="2"/>
  <c r="C339" i="2"/>
  <c r="W340" i="2"/>
  <c r="I1400" i="1"/>
  <c r="J1400" i="1"/>
  <c r="K1400" i="1"/>
  <c r="L1400" i="1"/>
  <c r="M1400" i="1"/>
  <c r="N1400" i="1"/>
  <c r="O1400" i="1"/>
  <c r="P1400" i="1"/>
  <c r="H1400" i="1"/>
  <c r="I905" i="1"/>
  <c r="J905" i="1"/>
  <c r="K905" i="1"/>
  <c r="L905" i="1"/>
  <c r="M905" i="1"/>
  <c r="N905" i="1"/>
  <c r="O905" i="1"/>
  <c r="P905" i="1"/>
  <c r="H905" i="1"/>
  <c r="I349" i="1"/>
  <c r="J349" i="1"/>
  <c r="K349" i="1"/>
  <c r="L349" i="1"/>
  <c r="M349" i="1"/>
  <c r="N349" i="1"/>
  <c r="O349" i="1"/>
  <c r="P349" i="1"/>
  <c r="H349" i="1"/>
  <c r="Q350" i="1"/>
  <c r="N178" i="3"/>
  <c r="L178" i="3"/>
  <c r="D178" i="3"/>
  <c r="C178" i="3"/>
  <c r="D1493" i="2"/>
  <c r="D1492" i="2" s="1"/>
  <c r="E1493" i="2"/>
  <c r="E1492" i="2" s="1"/>
  <c r="F1493" i="2"/>
  <c r="F1492" i="2" s="1"/>
  <c r="G1493" i="2"/>
  <c r="G1492" i="2" s="1"/>
  <c r="H1493" i="2"/>
  <c r="H1492" i="2" s="1"/>
  <c r="I1493" i="2"/>
  <c r="I1492" i="2" s="1"/>
  <c r="J1493" i="2"/>
  <c r="J1492" i="2" s="1"/>
  <c r="K1493" i="2"/>
  <c r="K1492" i="2" s="1"/>
  <c r="L1493" i="2"/>
  <c r="L1492" i="2" s="1"/>
  <c r="M1493" i="2"/>
  <c r="M1492" i="2" s="1"/>
  <c r="N1493" i="2"/>
  <c r="N1492" i="2" s="1"/>
  <c r="O1493" i="2"/>
  <c r="O1492" i="2" s="1"/>
  <c r="P1493" i="2"/>
  <c r="P1492" i="2" s="1"/>
  <c r="Q1493" i="2"/>
  <c r="Q1492" i="2" s="1"/>
  <c r="R1493" i="2"/>
  <c r="R1492" i="2" s="1"/>
  <c r="S1493" i="2"/>
  <c r="S1492" i="2" s="1"/>
  <c r="T1493" i="2"/>
  <c r="T1492" i="2" s="1"/>
  <c r="U1493" i="2"/>
  <c r="U1492" i="2" s="1"/>
  <c r="V1493" i="2"/>
  <c r="V1492" i="2" s="1"/>
  <c r="C1493" i="2"/>
  <c r="C1492" i="2" s="1"/>
  <c r="W1494" i="2"/>
  <c r="V1010" i="2"/>
  <c r="D1011" i="2"/>
  <c r="D1010" i="2" s="1"/>
  <c r="E1011" i="2"/>
  <c r="E1010" i="2" s="1"/>
  <c r="F1011" i="2"/>
  <c r="F1010" i="2" s="1"/>
  <c r="G1011" i="2"/>
  <c r="G1010" i="2" s="1"/>
  <c r="H1011" i="2"/>
  <c r="H1010" i="2" s="1"/>
  <c r="I1011" i="2"/>
  <c r="I1010" i="2" s="1"/>
  <c r="J1011" i="2"/>
  <c r="J1010" i="2" s="1"/>
  <c r="K1011" i="2"/>
  <c r="K1010" i="2" s="1"/>
  <c r="L1011" i="2"/>
  <c r="L1010" i="2" s="1"/>
  <c r="M1011" i="2"/>
  <c r="M1010" i="2" s="1"/>
  <c r="N1011" i="2"/>
  <c r="N1010" i="2" s="1"/>
  <c r="O1011" i="2"/>
  <c r="O1010" i="2" s="1"/>
  <c r="P1011" i="2"/>
  <c r="P1010" i="2" s="1"/>
  <c r="Q1011" i="2"/>
  <c r="Q1010" i="2" s="1"/>
  <c r="R1011" i="2"/>
  <c r="R1010" i="2" s="1"/>
  <c r="S1011" i="2"/>
  <c r="S1010" i="2" s="1"/>
  <c r="T1011" i="2"/>
  <c r="T1010" i="2" s="1"/>
  <c r="U1011" i="2"/>
  <c r="U1010" i="2" s="1"/>
  <c r="C1011" i="2"/>
  <c r="C1010" i="2" s="1"/>
  <c r="X1013" i="2"/>
  <c r="X1012" i="2"/>
  <c r="Y515" i="2"/>
  <c r="E514" i="2"/>
  <c r="E513" i="2" s="1"/>
  <c r="F514" i="2"/>
  <c r="F513" i="2" s="1"/>
  <c r="G514" i="2"/>
  <c r="G513" i="2" s="1"/>
  <c r="H514" i="2"/>
  <c r="H513" i="2" s="1"/>
  <c r="I514" i="2"/>
  <c r="I513" i="2" s="1"/>
  <c r="J514" i="2"/>
  <c r="J513" i="2" s="1"/>
  <c r="K514" i="2"/>
  <c r="K513" i="2" s="1"/>
  <c r="L514" i="2"/>
  <c r="L513" i="2" s="1"/>
  <c r="M514" i="2"/>
  <c r="M513" i="2" s="1"/>
  <c r="N514" i="2"/>
  <c r="N513" i="2" s="1"/>
  <c r="O514" i="2"/>
  <c r="O513" i="2" s="1"/>
  <c r="P514" i="2"/>
  <c r="P513" i="2" s="1"/>
  <c r="Q514" i="2"/>
  <c r="Q513" i="2" s="1"/>
  <c r="R514" i="2"/>
  <c r="R513" i="2" s="1"/>
  <c r="S514" i="2"/>
  <c r="S513" i="2" s="1"/>
  <c r="T514" i="2"/>
  <c r="T513" i="2" s="1"/>
  <c r="U514" i="2"/>
  <c r="U513" i="2" s="1"/>
  <c r="V514" i="2"/>
  <c r="D515" i="2"/>
  <c r="D514" i="2" s="1"/>
  <c r="D513" i="2" s="1"/>
  <c r="I1517" i="1"/>
  <c r="I1516" i="1" s="1"/>
  <c r="J1517" i="1"/>
  <c r="J1516" i="1" s="1"/>
  <c r="K1517" i="1"/>
  <c r="K1516" i="1" s="1"/>
  <c r="L1517" i="1"/>
  <c r="L1516" i="1" s="1"/>
  <c r="M1517" i="1"/>
  <c r="M1516" i="1" s="1"/>
  <c r="N1517" i="1"/>
  <c r="N1516" i="1" s="1"/>
  <c r="O1517" i="1"/>
  <c r="O1516" i="1" s="1"/>
  <c r="P1517" i="1"/>
  <c r="P1516" i="1" s="1"/>
  <c r="H1517" i="1"/>
  <c r="H1516" i="1" s="1"/>
  <c r="Q1518" i="1"/>
  <c r="I1022" i="1"/>
  <c r="I1021" i="1" s="1"/>
  <c r="J1022" i="1"/>
  <c r="J1021" i="1" s="1"/>
  <c r="K1022" i="1"/>
  <c r="K1021" i="1" s="1"/>
  <c r="L1022" i="1"/>
  <c r="L1021" i="1" s="1"/>
  <c r="M1022" i="1"/>
  <c r="M1021" i="1" s="1"/>
  <c r="N1022" i="1"/>
  <c r="N1021" i="1" s="1"/>
  <c r="O1022" i="1"/>
  <c r="O1021" i="1" s="1"/>
  <c r="P1022" i="1"/>
  <c r="P1021" i="1" s="1"/>
  <c r="H1022" i="1"/>
  <c r="H1021" i="1" s="1"/>
  <c r="Q1023" i="1"/>
  <c r="Q1024" i="1"/>
  <c r="I474" i="1"/>
  <c r="I473" i="1" s="1"/>
  <c r="J474" i="1"/>
  <c r="J473" i="1" s="1"/>
  <c r="K474" i="1"/>
  <c r="K473" i="1" s="1"/>
  <c r="L474" i="1"/>
  <c r="L473" i="1" s="1"/>
  <c r="M474" i="1"/>
  <c r="M473" i="1" s="1"/>
  <c r="N474" i="1"/>
  <c r="N473" i="1" s="1"/>
  <c r="O474" i="1"/>
  <c r="O473" i="1" s="1"/>
  <c r="P474" i="1"/>
  <c r="P473" i="1" s="1"/>
  <c r="H474" i="1"/>
  <c r="H473" i="1" s="1"/>
  <c r="Q475" i="1"/>
  <c r="D1234" i="2"/>
  <c r="E1234" i="2"/>
  <c r="F1234" i="2"/>
  <c r="G1234" i="2"/>
  <c r="H1234" i="2"/>
  <c r="I1234" i="2"/>
  <c r="J1234" i="2"/>
  <c r="K1234" i="2"/>
  <c r="L1234" i="2"/>
  <c r="M1234" i="2"/>
  <c r="N1234" i="2"/>
  <c r="O1234" i="2"/>
  <c r="P1234" i="2"/>
  <c r="Q1234" i="2"/>
  <c r="R1234" i="2"/>
  <c r="S1234" i="2"/>
  <c r="T1234" i="2"/>
  <c r="U1234" i="2"/>
  <c r="C1234" i="2"/>
  <c r="E744" i="2"/>
  <c r="F744" i="2"/>
  <c r="G744" i="2"/>
  <c r="H744" i="2"/>
  <c r="I744" i="2"/>
  <c r="J744" i="2"/>
  <c r="K744" i="2"/>
  <c r="L744" i="2"/>
  <c r="M744" i="2"/>
  <c r="N744" i="2"/>
  <c r="O744" i="2"/>
  <c r="P744" i="2"/>
  <c r="Q744" i="2"/>
  <c r="R744" i="2"/>
  <c r="S744" i="2"/>
  <c r="T744" i="2"/>
  <c r="U744" i="2"/>
  <c r="V744" i="2"/>
  <c r="C744" i="2"/>
  <c r="W746" i="2"/>
  <c r="AA745" i="2"/>
  <c r="D746" i="2"/>
  <c r="D745" i="2"/>
  <c r="E194" i="2"/>
  <c r="F194" i="2"/>
  <c r="G194" i="2"/>
  <c r="H194" i="2"/>
  <c r="I194" i="2"/>
  <c r="J194" i="2"/>
  <c r="K194" i="2"/>
  <c r="L194" i="2"/>
  <c r="M194" i="2"/>
  <c r="N194" i="2"/>
  <c r="O194" i="2"/>
  <c r="P194" i="2"/>
  <c r="Q194" i="2"/>
  <c r="R194" i="2"/>
  <c r="S194" i="2"/>
  <c r="T194" i="2"/>
  <c r="U194" i="2"/>
  <c r="C194" i="2"/>
  <c r="AA195" i="2"/>
  <c r="D195" i="2"/>
  <c r="D194" i="2" s="1"/>
  <c r="I1267" i="1"/>
  <c r="J1267" i="1"/>
  <c r="K1267" i="1"/>
  <c r="L1267" i="1"/>
  <c r="M1267" i="1"/>
  <c r="N1267" i="1"/>
  <c r="O1267" i="1"/>
  <c r="P1267" i="1"/>
  <c r="H1267" i="1"/>
  <c r="I767" i="1"/>
  <c r="J767" i="1"/>
  <c r="K767" i="1"/>
  <c r="L767" i="1"/>
  <c r="M767" i="1"/>
  <c r="N767" i="1"/>
  <c r="O767" i="1"/>
  <c r="P767" i="1"/>
  <c r="Q768" i="1"/>
  <c r="E279" i="3"/>
  <c r="F279" i="3"/>
  <c r="G279" i="3"/>
  <c r="H279" i="3"/>
  <c r="J279" i="3"/>
  <c r="K279" i="3"/>
  <c r="L279" i="3"/>
  <c r="M279" i="3"/>
  <c r="E90" i="3"/>
  <c r="F90" i="3"/>
  <c r="G90" i="3"/>
  <c r="H90" i="3"/>
  <c r="J90" i="3"/>
  <c r="K90" i="3"/>
  <c r="L90" i="3"/>
  <c r="M90" i="3"/>
  <c r="I91" i="3"/>
  <c r="AD539" i="2"/>
  <c r="AD1516" i="2"/>
  <c r="D1516" i="2"/>
  <c r="D1515" i="2" s="1"/>
  <c r="E538" i="2"/>
  <c r="F538" i="2"/>
  <c r="G538" i="2"/>
  <c r="H538" i="2"/>
  <c r="I538" i="2"/>
  <c r="J538" i="2"/>
  <c r="K538" i="2"/>
  <c r="L538" i="2"/>
  <c r="M538" i="2"/>
  <c r="N538" i="2"/>
  <c r="O538" i="2"/>
  <c r="P538" i="2"/>
  <c r="Q538" i="2"/>
  <c r="R538" i="2"/>
  <c r="S538" i="2"/>
  <c r="T538" i="2"/>
  <c r="U538" i="2"/>
  <c r="V538" i="2"/>
  <c r="V537" i="2" s="1"/>
  <c r="C538" i="2"/>
  <c r="D539" i="2"/>
  <c r="D538" i="2" s="1"/>
  <c r="I1539" i="1"/>
  <c r="J1539" i="1"/>
  <c r="K1539" i="1"/>
  <c r="L1539" i="1"/>
  <c r="M1539" i="1"/>
  <c r="N1539" i="1"/>
  <c r="O1539" i="1"/>
  <c r="P1539" i="1"/>
  <c r="H1539" i="1"/>
  <c r="Q1540" i="1"/>
  <c r="I497" i="1"/>
  <c r="J497" i="1"/>
  <c r="K497" i="1"/>
  <c r="L497" i="1"/>
  <c r="M497" i="1"/>
  <c r="N497" i="1"/>
  <c r="O497" i="1"/>
  <c r="P497" i="1"/>
  <c r="H497" i="1"/>
  <c r="Q498" i="1"/>
  <c r="D184" i="3"/>
  <c r="E184" i="3"/>
  <c r="F184" i="3"/>
  <c r="G184" i="3"/>
  <c r="H184" i="3"/>
  <c r="J184" i="3"/>
  <c r="K184" i="3"/>
  <c r="L184" i="3"/>
  <c r="M184" i="3"/>
  <c r="C184" i="3"/>
  <c r="V1032" i="2"/>
  <c r="D1512" i="2"/>
  <c r="E1512" i="2"/>
  <c r="F1512" i="2"/>
  <c r="G1512" i="2"/>
  <c r="H1512" i="2"/>
  <c r="I1512" i="2"/>
  <c r="J1512" i="2"/>
  <c r="K1512" i="2"/>
  <c r="L1512" i="2"/>
  <c r="M1512" i="2"/>
  <c r="N1512" i="2"/>
  <c r="O1512" i="2"/>
  <c r="P1512" i="2"/>
  <c r="Q1512" i="2"/>
  <c r="R1512" i="2"/>
  <c r="S1512" i="2"/>
  <c r="T1512" i="2"/>
  <c r="U1512" i="2"/>
  <c r="V1512" i="2"/>
  <c r="C1512" i="2"/>
  <c r="D1510" i="2"/>
  <c r="E1510" i="2"/>
  <c r="F1510" i="2"/>
  <c r="G1510" i="2"/>
  <c r="G1509" i="2" s="1"/>
  <c r="H1510" i="2"/>
  <c r="I1510" i="2"/>
  <c r="J1510" i="2"/>
  <c r="K1510" i="2"/>
  <c r="L1510" i="2"/>
  <c r="L1509" i="2" s="1"/>
  <c r="M1510" i="2"/>
  <c r="N1510" i="2"/>
  <c r="O1510" i="2"/>
  <c r="P1510" i="2"/>
  <c r="Q1510" i="2"/>
  <c r="R1510" i="2"/>
  <c r="S1510" i="2"/>
  <c r="S1509" i="2" s="1"/>
  <c r="T1510" i="2"/>
  <c r="U1510" i="2"/>
  <c r="V1510" i="2"/>
  <c r="C1510" i="2"/>
  <c r="W1513" i="2"/>
  <c r="W1511" i="2"/>
  <c r="V1027" i="2"/>
  <c r="D1030" i="2"/>
  <c r="E1030" i="2"/>
  <c r="F1030" i="2"/>
  <c r="G1030" i="2"/>
  <c r="H1030" i="2"/>
  <c r="I1030" i="2"/>
  <c r="J1030" i="2"/>
  <c r="K1030" i="2"/>
  <c r="L1030" i="2"/>
  <c r="M1030" i="2"/>
  <c r="N1030" i="2"/>
  <c r="O1030" i="2"/>
  <c r="P1030" i="2"/>
  <c r="Q1030" i="2"/>
  <c r="R1030" i="2"/>
  <c r="S1030" i="2"/>
  <c r="T1030" i="2"/>
  <c r="U1030" i="2"/>
  <c r="C1030" i="2"/>
  <c r="W1031" i="2"/>
  <c r="D1028" i="2"/>
  <c r="E1028" i="2"/>
  <c r="E1027" i="2" s="1"/>
  <c r="F1028" i="2"/>
  <c r="G1028" i="2"/>
  <c r="H1028" i="2"/>
  <c r="I1028" i="2"/>
  <c r="J1028" i="2"/>
  <c r="K1028" i="2"/>
  <c r="L1028" i="2"/>
  <c r="L1027" i="2" s="1"/>
  <c r="M1028" i="2"/>
  <c r="N1028" i="2"/>
  <c r="O1028" i="2"/>
  <c r="P1028" i="2"/>
  <c r="Q1028" i="2"/>
  <c r="Q1027" i="2" s="1"/>
  <c r="R1028" i="2"/>
  <c r="S1028" i="2"/>
  <c r="T1028" i="2"/>
  <c r="U1028" i="2"/>
  <c r="C1028" i="2"/>
  <c r="W1029" i="2"/>
  <c r="L540" i="2"/>
  <c r="D535" i="2"/>
  <c r="E535" i="2"/>
  <c r="F535" i="2"/>
  <c r="G535" i="2"/>
  <c r="H535" i="2"/>
  <c r="I535" i="2"/>
  <c r="J535" i="2"/>
  <c r="K535" i="2"/>
  <c r="L535" i="2"/>
  <c r="M535" i="2"/>
  <c r="N535" i="2"/>
  <c r="O535" i="2"/>
  <c r="P535" i="2"/>
  <c r="Q535" i="2"/>
  <c r="R535" i="2"/>
  <c r="S535" i="2"/>
  <c r="T535" i="2"/>
  <c r="U535" i="2"/>
  <c r="V535" i="2"/>
  <c r="C535" i="2"/>
  <c r="W536" i="2"/>
  <c r="W534" i="2"/>
  <c r="D533" i="2"/>
  <c r="E533" i="2"/>
  <c r="F533" i="2"/>
  <c r="G533" i="2"/>
  <c r="H533" i="2"/>
  <c r="I533" i="2"/>
  <c r="J533" i="2"/>
  <c r="K533" i="2"/>
  <c r="L533" i="2"/>
  <c r="M533" i="2"/>
  <c r="N533" i="2"/>
  <c r="O533" i="2"/>
  <c r="P533" i="2"/>
  <c r="Q533" i="2"/>
  <c r="R533" i="2"/>
  <c r="S533" i="2"/>
  <c r="T533" i="2"/>
  <c r="U533" i="2"/>
  <c r="C533" i="2"/>
  <c r="X1293" i="2"/>
  <c r="X1294" i="2"/>
  <c r="X1295" i="2"/>
  <c r="X1292" i="2"/>
  <c r="W1292" i="2"/>
  <c r="X805" i="2"/>
  <c r="X804" i="2"/>
  <c r="W805" i="2"/>
  <c r="W804" i="2"/>
  <c r="X254" i="2"/>
  <c r="X255" i="2"/>
  <c r="X256" i="2"/>
  <c r="X257" i="2"/>
  <c r="X258" i="2"/>
  <c r="X259" i="2"/>
  <c r="X253" i="2"/>
  <c r="W256" i="2"/>
  <c r="D252" i="2"/>
  <c r="D251" i="2" s="1"/>
  <c r="E252" i="2"/>
  <c r="E251" i="2" s="1"/>
  <c r="F252" i="2"/>
  <c r="F251" i="2" s="1"/>
  <c r="G252" i="2"/>
  <c r="G251" i="2" s="1"/>
  <c r="H252" i="2"/>
  <c r="H251" i="2" s="1"/>
  <c r="I252" i="2"/>
  <c r="I251" i="2" s="1"/>
  <c r="J252" i="2"/>
  <c r="J251" i="2" s="1"/>
  <c r="K252" i="2"/>
  <c r="K251" i="2" s="1"/>
  <c r="L252" i="2"/>
  <c r="L251" i="2" s="1"/>
  <c r="M252" i="2"/>
  <c r="M251" i="2" s="1"/>
  <c r="N252" i="2"/>
  <c r="N251" i="2" s="1"/>
  <c r="O252" i="2"/>
  <c r="O251" i="2" s="1"/>
  <c r="P252" i="2"/>
  <c r="P251" i="2" s="1"/>
  <c r="Q252" i="2"/>
  <c r="Q251" i="2" s="1"/>
  <c r="R252" i="2"/>
  <c r="R251" i="2" s="1"/>
  <c r="S252" i="2"/>
  <c r="S251" i="2" s="1"/>
  <c r="T252" i="2"/>
  <c r="T251" i="2" s="1"/>
  <c r="U252" i="2"/>
  <c r="U251" i="2" s="1"/>
  <c r="V252" i="2"/>
  <c r="C252" i="2"/>
  <c r="C251" i="2" s="1"/>
  <c r="O268" i="1"/>
  <c r="Q268" i="1"/>
  <c r="I261" i="1"/>
  <c r="J261" i="1"/>
  <c r="K261" i="1"/>
  <c r="L261" i="1"/>
  <c r="M261" i="1"/>
  <c r="N261" i="1"/>
  <c r="P261" i="1"/>
  <c r="H261" i="1"/>
  <c r="E205" i="3"/>
  <c r="F205" i="3"/>
  <c r="G205" i="3"/>
  <c r="H205" i="3"/>
  <c r="J205" i="3"/>
  <c r="K205" i="3"/>
  <c r="L205" i="3"/>
  <c r="E112" i="3"/>
  <c r="F112" i="3"/>
  <c r="G112" i="3"/>
  <c r="H112" i="3"/>
  <c r="J112" i="3"/>
  <c r="K112" i="3"/>
  <c r="L112" i="3"/>
  <c r="E14" i="3"/>
  <c r="F14" i="3"/>
  <c r="G14" i="3"/>
  <c r="H14" i="3"/>
  <c r="J14" i="3"/>
  <c r="K14" i="3"/>
  <c r="L14" i="3"/>
  <c r="D1291" i="2"/>
  <c r="D1290" i="2" s="1"/>
  <c r="E1291" i="2"/>
  <c r="E1290" i="2" s="1"/>
  <c r="F1291" i="2"/>
  <c r="F1290" i="2" s="1"/>
  <c r="G1291" i="2"/>
  <c r="G1290" i="2" s="1"/>
  <c r="H1291" i="2"/>
  <c r="H1290" i="2" s="1"/>
  <c r="I1291" i="2"/>
  <c r="I1290" i="2" s="1"/>
  <c r="J1291" i="2"/>
  <c r="J1290" i="2" s="1"/>
  <c r="K1291" i="2"/>
  <c r="K1290" i="2" s="1"/>
  <c r="L1291" i="2"/>
  <c r="L1290" i="2" s="1"/>
  <c r="M1291" i="2"/>
  <c r="M1290" i="2" s="1"/>
  <c r="N1291" i="2"/>
  <c r="N1290" i="2" s="1"/>
  <c r="O1291" i="2"/>
  <c r="O1290" i="2" s="1"/>
  <c r="P1291" i="2"/>
  <c r="P1290" i="2" s="1"/>
  <c r="Q1291" i="2"/>
  <c r="Q1290" i="2" s="1"/>
  <c r="R1291" i="2"/>
  <c r="R1290" i="2" s="1"/>
  <c r="S1291" i="2"/>
  <c r="S1290" i="2" s="1"/>
  <c r="T1291" i="2"/>
  <c r="T1290" i="2" s="1"/>
  <c r="U1291" i="2"/>
  <c r="U1290" i="2" s="1"/>
  <c r="D803" i="2"/>
  <c r="D802" i="2" s="1"/>
  <c r="E803" i="2"/>
  <c r="E802" i="2" s="1"/>
  <c r="F803" i="2"/>
  <c r="F802" i="2" s="1"/>
  <c r="G803" i="2"/>
  <c r="G802" i="2" s="1"/>
  <c r="H803" i="2"/>
  <c r="H802" i="2" s="1"/>
  <c r="I803" i="2"/>
  <c r="I802" i="2" s="1"/>
  <c r="J803" i="2"/>
  <c r="J802" i="2" s="1"/>
  <c r="K803" i="2"/>
  <c r="K802" i="2" s="1"/>
  <c r="L803" i="2"/>
  <c r="L802" i="2" s="1"/>
  <c r="M803" i="2"/>
  <c r="M802" i="2" s="1"/>
  <c r="N803" i="2"/>
  <c r="N802" i="2" s="1"/>
  <c r="O803" i="2"/>
  <c r="O802" i="2" s="1"/>
  <c r="P803" i="2"/>
  <c r="P802" i="2" s="1"/>
  <c r="Q803" i="2"/>
  <c r="Q802" i="2" s="1"/>
  <c r="R803" i="2"/>
  <c r="R802" i="2" s="1"/>
  <c r="S803" i="2"/>
  <c r="S802" i="2" s="1"/>
  <c r="T803" i="2"/>
  <c r="T802" i="2" s="1"/>
  <c r="U803" i="2"/>
  <c r="U802" i="2" s="1"/>
  <c r="V803" i="2"/>
  <c r="C803" i="2"/>
  <c r="C802" i="2" s="1"/>
  <c r="O1325" i="1"/>
  <c r="O1326" i="1"/>
  <c r="O1327" i="1"/>
  <c r="I1323" i="1"/>
  <c r="J1323" i="1"/>
  <c r="K1323" i="1"/>
  <c r="L1323" i="1"/>
  <c r="M1323" i="1"/>
  <c r="N1323" i="1"/>
  <c r="P1323" i="1"/>
  <c r="H1323" i="1"/>
  <c r="I826" i="1"/>
  <c r="J826" i="1"/>
  <c r="K826" i="1"/>
  <c r="L826" i="1"/>
  <c r="M826" i="1"/>
  <c r="N826" i="1"/>
  <c r="P826" i="1"/>
  <c r="O827" i="1"/>
  <c r="H826" i="1"/>
  <c r="O265" i="1"/>
  <c r="O266" i="1"/>
  <c r="O267" i="1"/>
  <c r="O264" i="1"/>
  <c r="D277" i="3"/>
  <c r="E277" i="3"/>
  <c r="F277" i="3"/>
  <c r="G277" i="3"/>
  <c r="H277" i="3"/>
  <c r="J277" i="3"/>
  <c r="K277" i="3"/>
  <c r="L277" i="3"/>
  <c r="M277" i="3"/>
  <c r="C277" i="3"/>
  <c r="D182" i="3"/>
  <c r="E182" i="3"/>
  <c r="F182" i="3"/>
  <c r="G182" i="3"/>
  <c r="H182" i="3"/>
  <c r="J182" i="3"/>
  <c r="K182" i="3"/>
  <c r="L182" i="3"/>
  <c r="M182" i="3"/>
  <c r="C182" i="3"/>
  <c r="E88" i="3"/>
  <c r="F88" i="3"/>
  <c r="G88" i="3"/>
  <c r="H88" i="3"/>
  <c r="J88" i="3"/>
  <c r="K88" i="3"/>
  <c r="L88" i="3"/>
  <c r="W1506" i="2"/>
  <c r="W1505" i="2"/>
  <c r="D1504" i="2"/>
  <c r="E1504" i="2"/>
  <c r="F1504" i="2"/>
  <c r="G1504" i="2"/>
  <c r="H1504" i="2"/>
  <c r="I1504" i="2"/>
  <c r="J1504" i="2"/>
  <c r="K1504" i="2"/>
  <c r="L1504" i="2"/>
  <c r="M1504" i="2"/>
  <c r="N1504" i="2"/>
  <c r="O1504" i="2"/>
  <c r="P1504" i="2"/>
  <c r="Q1504" i="2"/>
  <c r="R1504" i="2"/>
  <c r="S1504" i="2"/>
  <c r="T1504" i="2"/>
  <c r="U1504" i="2"/>
  <c r="C1504" i="2"/>
  <c r="W1024" i="2"/>
  <c r="W1025" i="2"/>
  <c r="W1026" i="2"/>
  <c r="W1023" i="2"/>
  <c r="D1022" i="2"/>
  <c r="E1022" i="2"/>
  <c r="F1022" i="2"/>
  <c r="G1022" i="2"/>
  <c r="H1022" i="2"/>
  <c r="I1022" i="2"/>
  <c r="J1022" i="2"/>
  <c r="K1022" i="2"/>
  <c r="L1022" i="2"/>
  <c r="M1022" i="2"/>
  <c r="N1022" i="2"/>
  <c r="O1022" i="2"/>
  <c r="P1022" i="2"/>
  <c r="Q1022" i="2"/>
  <c r="R1022" i="2"/>
  <c r="S1022" i="2"/>
  <c r="T1022" i="2"/>
  <c r="U1022" i="2"/>
  <c r="C1022" i="2"/>
  <c r="C529" i="2"/>
  <c r="C530" i="2"/>
  <c r="C531" i="2"/>
  <c r="C528" i="2"/>
  <c r="Y529" i="2"/>
  <c r="Y528" i="2"/>
  <c r="X529" i="2"/>
  <c r="X528" i="2"/>
  <c r="W529" i="2"/>
  <c r="W530" i="2"/>
  <c r="W531" i="2"/>
  <c r="W528" i="2"/>
  <c r="D529" i="2"/>
  <c r="D530" i="2"/>
  <c r="D531" i="2"/>
  <c r="D528" i="2"/>
  <c r="E527" i="2"/>
  <c r="F527" i="2"/>
  <c r="G527" i="2"/>
  <c r="H527" i="2"/>
  <c r="I527" i="2"/>
  <c r="J527" i="2"/>
  <c r="K527" i="2"/>
  <c r="L527" i="2"/>
  <c r="M527" i="2"/>
  <c r="N527" i="2"/>
  <c r="O527" i="2"/>
  <c r="P527" i="2"/>
  <c r="Q527" i="2"/>
  <c r="R527" i="2"/>
  <c r="S527" i="2"/>
  <c r="T527" i="2"/>
  <c r="U527" i="2"/>
  <c r="I1528" i="1"/>
  <c r="J1528" i="1"/>
  <c r="K1528" i="1"/>
  <c r="L1528" i="1"/>
  <c r="M1528" i="1"/>
  <c r="N1528" i="1"/>
  <c r="P1528" i="1"/>
  <c r="H1528" i="1"/>
  <c r="D255" i="3"/>
  <c r="E255" i="3"/>
  <c r="F255" i="3"/>
  <c r="G255" i="3"/>
  <c r="H255" i="3"/>
  <c r="J255" i="3"/>
  <c r="K255" i="3"/>
  <c r="L255" i="3"/>
  <c r="M255" i="3"/>
  <c r="C255" i="3"/>
  <c r="N256" i="3"/>
  <c r="N255" i="3" s="1"/>
  <c r="D162" i="3"/>
  <c r="E162" i="3"/>
  <c r="F162" i="3"/>
  <c r="G162" i="3"/>
  <c r="H162" i="3"/>
  <c r="J162" i="3"/>
  <c r="K162" i="3"/>
  <c r="L162" i="3"/>
  <c r="M162" i="3"/>
  <c r="C162" i="3"/>
  <c r="N163" i="3"/>
  <c r="N162" i="3" s="1"/>
  <c r="E66" i="3"/>
  <c r="F66" i="3"/>
  <c r="G66" i="3"/>
  <c r="H66" i="3"/>
  <c r="J66" i="3"/>
  <c r="K66" i="3"/>
  <c r="L66" i="3"/>
  <c r="M66" i="3"/>
  <c r="N67" i="3"/>
  <c r="N66" i="3" s="1"/>
  <c r="W1445" i="2"/>
  <c r="D1444" i="2"/>
  <c r="D1443" i="2" s="1"/>
  <c r="E1444" i="2"/>
  <c r="E1443" i="2" s="1"/>
  <c r="F1444" i="2"/>
  <c r="F1443" i="2" s="1"/>
  <c r="G1444" i="2"/>
  <c r="G1443" i="2" s="1"/>
  <c r="H1444" i="2"/>
  <c r="H1443" i="2" s="1"/>
  <c r="I1444" i="2"/>
  <c r="I1443" i="2" s="1"/>
  <c r="J1444" i="2"/>
  <c r="J1443" i="2" s="1"/>
  <c r="K1444" i="2"/>
  <c r="K1443" i="2" s="1"/>
  <c r="L1444" i="2"/>
  <c r="L1443" i="2" s="1"/>
  <c r="M1444" i="2"/>
  <c r="M1443" i="2" s="1"/>
  <c r="N1444" i="2"/>
  <c r="N1443" i="2" s="1"/>
  <c r="O1444" i="2"/>
  <c r="O1443" i="2" s="1"/>
  <c r="P1444" i="2"/>
  <c r="P1443" i="2" s="1"/>
  <c r="Q1444" i="2"/>
  <c r="Q1443" i="2" s="1"/>
  <c r="R1444" i="2"/>
  <c r="R1443" i="2" s="1"/>
  <c r="S1444" i="2"/>
  <c r="S1443" i="2" s="1"/>
  <c r="T1444" i="2"/>
  <c r="T1443" i="2" s="1"/>
  <c r="U1444" i="2"/>
  <c r="U1443" i="2" s="1"/>
  <c r="V1444" i="2"/>
  <c r="C1444" i="2"/>
  <c r="C1443" i="2" s="1"/>
  <c r="AD960" i="2"/>
  <c r="W960" i="2"/>
  <c r="E959" i="2"/>
  <c r="E958" i="2" s="1"/>
  <c r="F959" i="2"/>
  <c r="F958" i="2" s="1"/>
  <c r="G959" i="2"/>
  <c r="G958" i="2" s="1"/>
  <c r="H959" i="2"/>
  <c r="H958" i="2" s="1"/>
  <c r="I959" i="2"/>
  <c r="I958" i="2" s="1"/>
  <c r="J959" i="2"/>
  <c r="J958" i="2" s="1"/>
  <c r="K959" i="2"/>
  <c r="K958" i="2" s="1"/>
  <c r="L959" i="2"/>
  <c r="L958" i="2" s="1"/>
  <c r="M959" i="2"/>
  <c r="M958" i="2" s="1"/>
  <c r="N959" i="2"/>
  <c r="N958" i="2" s="1"/>
  <c r="O959" i="2"/>
  <c r="O958" i="2" s="1"/>
  <c r="P959" i="2"/>
  <c r="P958" i="2" s="1"/>
  <c r="Q959" i="2"/>
  <c r="Q958" i="2" s="1"/>
  <c r="R959" i="2"/>
  <c r="R958" i="2" s="1"/>
  <c r="S959" i="2"/>
  <c r="S958" i="2" s="1"/>
  <c r="T959" i="2"/>
  <c r="T958" i="2" s="1"/>
  <c r="U959" i="2"/>
  <c r="U958" i="2" s="1"/>
  <c r="C959" i="2"/>
  <c r="C958" i="2" s="1"/>
  <c r="D960" i="2"/>
  <c r="D959" i="2" s="1"/>
  <c r="D958" i="2" s="1"/>
  <c r="AD427" i="2"/>
  <c r="AD426" i="2"/>
  <c r="W427" i="2"/>
  <c r="W426" i="2"/>
  <c r="D425" i="2"/>
  <c r="D424" i="2" s="1"/>
  <c r="E425" i="2"/>
  <c r="E424" i="2" s="1"/>
  <c r="F425" i="2"/>
  <c r="F424" i="2" s="1"/>
  <c r="G425" i="2"/>
  <c r="G424" i="2" s="1"/>
  <c r="H425" i="2"/>
  <c r="H424" i="2" s="1"/>
  <c r="I425" i="2"/>
  <c r="I424" i="2" s="1"/>
  <c r="J425" i="2"/>
  <c r="J424" i="2" s="1"/>
  <c r="K425" i="2"/>
  <c r="K424" i="2" s="1"/>
  <c r="L425" i="2"/>
  <c r="L424" i="2" s="1"/>
  <c r="M425" i="2"/>
  <c r="M424" i="2" s="1"/>
  <c r="N425" i="2"/>
  <c r="N424" i="2" s="1"/>
  <c r="O425" i="2"/>
  <c r="O424" i="2" s="1"/>
  <c r="P425" i="2"/>
  <c r="P424" i="2" s="1"/>
  <c r="Q425" i="2"/>
  <c r="Q424" i="2" s="1"/>
  <c r="R425" i="2"/>
  <c r="R424" i="2" s="1"/>
  <c r="S425" i="2"/>
  <c r="S424" i="2" s="1"/>
  <c r="T425" i="2"/>
  <c r="T424" i="2" s="1"/>
  <c r="U425" i="2"/>
  <c r="U424" i="2" s="1"/>
  <c r="V425" i="2"/>
  <c r="V424" i="2" s="1"/>
  <c r="C425" i="2"/>
  <c r="C424" i="2" s="1"/>
  <c r="I1472" i="1"/>
  <c r="J1472" i="1"/>
  <c r="K1472" i="1"/>
  <c r="L1472" i="1"/>
  <c r="M1472" i="1"/>
  <c r="N1472" i="1"/>
  <c r="O1472" i="1"/>
  <c r="P1472" i="1"/>
  <c r="H1472" i="1"/>
  <c r="I974" i="1"/>
  <c r="J974" i="1"/>
  <c r="K974" i="1"/>
  <c r="L974" i="1"/>
  <c r="M974" i="1"/>
  <c r="N974" i="1"/>
  <c r="O974" i="1"/>
  <c r="P974" i="1"/>
  <c r="H974" i="1"/>
  <c r="I430" i="1"/>
  <c r="J430" i="1"/>
  <c r="K430" i="1"/>
  <c r="L430" i="1"/>
  <c r="M430" i="1"/>
  <c r="N430" i="1"/>
  <c r="P430" i="1"/>
  <c r="H430" i="1"/>
  <c r="N270" i="3"/>
  <c r="I270" i="3"/>
  <c r="N177" i="3"/>
  <c r="N81" i="3"/>
  <c r="I80" i="3"/>
  <c r="I81" i="3"/>
  <c r="I83" i="3"/>
  <c r="Y1491" i="2"/>
  <c r="W1489" i="2"/>
  <c r="W1490" i="2"/>
  <c r="W1488" i="2"/>
  <c r="D1489" i="2"/>
  <c r="D1490" i="2"/>
  <c r="D1491" i="2"/>
  <c r="D1488" i="2"/>
  <c r="E1487" i="2"/>
  <c r="F1487" i="2"/>
  <c r="G1487" i="2"/>
  <c r="H1487" i="2"/>
  <c r="I1487" i="2"/>
  <c r="J1487" i="2"/>
  <c r="K1487" i="2"/>
  <c r="L1487" i="2"/>
  <c r="M1487" i="2"/>
  <c r="N1487" i="2"/>
  <c r="O1487" i="2"/>
  <c r="P1487" i="2"/>
  <c r="Q1487" i="2"/>
  <c r="R1487" i="2"/>
  <c r="S1487" i="2"/>
  <c r="T1487" i="2"/>
  <c r="U1487" i="2"/>
  <c r="V1487" i="2"/>
  <c r="C1487" i="2"/>
  <c r="W1008" i="2"/>
  <c r="W1009" i="2"/>
  <c r="W1007" i="2"/>
  <c r="D1006" i="2"/>
  <c r="E1006" i="2"/>
  <c r="F1006" i="2"/>
  <c r="G1006" i="2"/>
  <c r="H1006" i="2"/>
  <c r="I1006" i="2"/>
  <c r="J1006" i="2"/>
  <c r="K1006" i="2"/>
  <c r="L1006" i="2"/>
  <c r="M1006" i="2"/>
  <c r="N1006" i="2"/>
  <c r="O1006" i="2"/>
  <c r="P1006" i="2"/>
  <c r="Q1006" i="2"/>
  <c r="R1006" i="2"/>
  <c r="S1006" i="2"/>
  <c r="T1006" i="2"/>
  <c r="U1006" i="2"/>
  <c r="C1006" i="2"/>
  <c r="W512" i="2"/>
  <c r="W511" i="2"/>
  <c r="N185" i="3"/>
  <c r="N184" i="3" s="1"/>
  <c r="I185" i="3"/>
  <c r="I184" i="3" s="1"/>
  <c r="N281" i="3"/>
  <c r="N279" i="3" s="1"/>
  <c r="I281" i="3"/>
  <c r="I279" i="3" s="1"/>
  <c r="N92" i="3"/>
  <c r="N90" i="3" s="1"/>
  <c r="I92" i="3"/>
  <c r="W1519" i="2"/>
  <c r="W1518" i="2"/>
  <c r="D1517" i="2"/>
  <c r="D1514" i="2" s="1"/>
  <c r="E1517" i="2"/>
  <c r="E1514" i="2" s="1"/>
  <c r="F1517" i="2"/>
  <c r="F1514" i="2" s="1"/>
  <c r="G1517" i="2"/>
  <c r="G1514" i="2" s="1"/>
  <c r="H1517" i="2"/>
  <c r="H1514" i="2" s="1"/>
  <c r="I1517" i="2"/>
  <c r="I1514" i="2" s="1"/>
  <c r="J1517" i="2"/>
  <c r="J1514" i="2" s="1"/>
  <c r="K1517" i="2"/>
  <c r="K1514" i="2" s="1"/>
  <c r="L1517" i="2"/>
  <c r="L1514" i="2" s="1"/>
  <c r="M1517" i="2"/>
  <c r="M1514" i="2" s="1"/>
  <c r="N1517" i="2"/>
  <c r="N1514" i="2" s="1"/>
  <c r="O1517" i="2"/>
  <c r="O1514" i="2" s="1"/>
  <c r="P1517" i="2"/>
  <c r="P1514" i="2" s="1"/>
  <c r="Q1517" i="2"/>
  <c r="Q1514" i="2" s="1"/>
  <c r="R1517" i="2"/>
  <c r="R1514" i="2" s="1"/>
  <c r="S1517" i="2"/>
  <c r="S1514" i="2" s="1"/>
  <c r="T1517" i="2"/>
  <c r="T1514" i="2" s="1"/>
  <c r="U1517" i="2"/>
  <c r="U1514" i="2" s="1"/>
  <c r="V1517" i="2"/>
  <c r="C1517" i="2"/>
  <c r="C1514" i="2" s="1"/>
  <c r="D1033" i="2"/>
  <c r="D1032" i="2" s="1"/>
  <c r="E1033" i="2"/>
  <c r="E1032" i="2" s="1"/>
  <c r="F1033" i="2"/>
  <c r="F1032" i="2" s="1"/>
  <c r="G1033" i="2"/>
  <c r="G1032" i="2" s="1"/>
  <c r="H1033" i="2"/>
  <c r="H1032" i="2" s="1"/>
  <c r="I1033" i="2"/>
  <c r="I1032" i="2" s="1"/>
  <c r="J1033" i="2"/>
  <c r="J1032" i="2" s="1"/>
  <c r="K1033" i="2"/>
  <c r="K1032" i="2" s="1"/>
  <c r="L1033" i="2"/>
  <c r="L1032" i="2" s="1"/>
  <c r="M1033" i="2"/>
  <c r="M1032" i="2" s="1"/>
  <c r="N1033" i="2"/>
  <c r="N1032" i="2" s="1"/>
  <c r="O1033" i="2"/>
  <c r="O1032" i="2" s="1"/>
  <c r="P1033" i="2"/>
  <c r="P1032" i="2" s="1"/>
  <c r="Q1033" i="2"/>
  <c r="Q1032" i="2" s="1"/>
  <c r="R1033" i="2"/>
  <c r="R1032" i="2" s="1"/>
  <c r="S1033" i="2"/>
  <c r="S1032" i="2" s="1"/>
  <c r="T1033" i="2"/>
  <c r="T1032" i="2" s="1"/>
  <c r="U1033" i="2"/>
  <c r="U1032" i="2" s="1"/>
  <c r="C1033" i="2"/>
  <c r="C1032" i="2" s="1"/>
  <c r="W1034" i="2"/>
  <c r="M1027" i="2" l="1"/>
  <c r="T1509" i="2"/>
  <c r="H1509" i="2"/>
  <c r="P1027" i="2"/>
  <c r="D1027" i="2"/>
  <c r="C1509" i="2"/>
  <c r="N1027" i="2"/>
  <c r="U1509" i="2"/>
  <c r="I1509" i="2"/>
  <c r="K1027" i="2"/>
  <c r="R1509" i="2"/>
  <c r="F1509" i="2"/>
  <c r="S1027" i="2"/>
  <c r="G1027" i="2"/>
  <c r="N1509" i="2"/>
  <c r="R1027" i="2"/>
  <c r="F1027" i="2"/>
  <c r="M1509" i="2"/>
  <c r="K1509" i="2"/>
  <c r="R532" i="2"/>
  <c r="J532" i="2"/>
  <c r="F532" i="2"/>
  <c r="C1027" i="2"/>
  <c r="J1027" i="2"/>
  <c r="Q1509" i="2"/>
  <c r="E1509" i="2"/>
  <c r="N532" i="2"/>
  <c r="U1027" i="2"/>
  <c r="I1027" i="2"/>
  <c r="P1509" i="2"/>
  <c r="D1509" i="2"/>
  <c r="T1027" i="2"/>
  <c r="H1027" i="2"/>
  <c r="O1509" i="2"/>
  <c r="T298" i="2"/>
  <c r="H298" i="2"/>
  <c r="S298" i="2"/>
  <c r="G298" i="2"/>
  <c r="R298" i="2"/>
  <c r="F298" i="2"/>
  <c r="O1027" i="2"/>
  <c r="J1509" i="2"/>
  <c r="Q298" i="2"/>
  <c r="E298" i="2"/>
  <c r="I90" i="3"/>
  <c r="U532" i="2"/>
  <c r="Q532" i="2"/>
  <c r="M532" i="2"/>
  <c r="I532" i="2"/>
  <c r="E532" i="2"/>
  <c r="T532" i="2"/>
  <c r="P532" i="2"/>
  <c r="L532" i="2"/>
  <c r="H532" i="2"/>
  <c r="D532" i="2"/>
  <c r="S532" i="2"/>
  <c r="O532" i="2"/>
  <c r="K532" i="2"/>
  <c r="G532" i="2"/>
  <c r="M113" i="3"/>
  <c r="M112" i="3" s="1"/>
  <c r="C206" i="3"/>
  <c r="C205" i="3" s="1"/>
  <c r="M206" i="3"/>
  <c r="M205" i="3" s="1"/>
  <c r="C15" i="3"/>
  <c r="C91" i="3"/>
  <c r="C90" i="3" s="1"/>
  <c r="D91" i="3"/>
  <c r="D90" i="3" s="1"/>
  <c r="C280" i="3"/>
  <c r="C279" i="3" s="1"/>
  <c r="D280" i="3"/>
  <c r="D279" i="3" s="1"/>
  <c r="C60" i="3"/>
  <c r="D60" i="3"/>
  <c r="M63" i="3"/>
  <c r="C159" i="3"/>
  <c r="D159" i="3"/>
  <c r="M252" i="3"/>
  <c r="N252" i="3" s="1"/>
  <c r="M57" i="3"/>
  <c r="C113" i="3"/>
  <c r="C112" i="3" s="1"/>
  <c r="D113" i="3"/>
  <c r="D112" i="3" s="1"/>
  <c r="D206" i="3"/>
  <c r="D205" i="3" s="1"/>
  <c r="D15" i="3"/>
  <c r="D14" i="3" s="1"/>
  <c r="C63" i="3"/>
  <c r="D63" i="3"/>
  <c r="M159" i="3"/>
  <c r="N159" i="3" s="1"/>
  <c r="C252" i="3"/>
  <c r="D252" i="3"/>
  <c r="W301" i="2"/>
  <c r="O298" i="2"/>
  <c r="W305" i="2"/>
  <c r="T844" i="2"/>
  <c r="R844" i="2"/>
  <c r="P844" i="2"/>
  <c r="L844" i="2"/>
  <c r="J844" i="2"/>
  <c r="H844" i="2"/>
  <c r="F844" i="2"/>
  <c r="D844" i="2"/>
  <c r="C527" i="2"/>
  <c r="L537" i="2"/>
  <c r="C844" i="2"/>
  <c r="C532" i="2"/>
  <c r="V912" i="2"/>
  <c r="U844" i="2"/>
  <c r="S844" i="2"/>
  <c r="Q844" i="2"/>
  <c r="O844" i="2"/>
  <c r="M844" i="2"/>
  <c r="K844" i="2"/>
  <c r="I844" i="2"/>
  <c r="G844" i="2"/>
  <c r="E844" i="2"/>
  <c r="D744" i="2"/>
  <c r="C1018" i="2"/>
  <c r="C1017" i="2" s="1"/>
  <c r="C520" i="2"/>
  <c r="C519" i="2" s="1"/>
  <c r="C1498" i="2"/>
  <c r="D527" i="2"/>
  <c r="C1291" i="2"/>
  <c r="C1290" i="2" s="1"/>
  <c r="D1487" i="2"/>
  <c r="W313" i="2"/>
  <c r="W508" i="2"/>
  <c r="W542" i="2"/>
  <c r="W543" i="2"/>
  <c r="W545" i="2"/>
  <c r="W546" i="2"/>
  <c r="W547" i="2"/>
  <c r="W548" i="2"/>
  <c r="W549" i="2"/>
  <c r="W550" i="2"/>
  <c r="W551" i="2"/>
  <c r="W541" i="2"/>
  <c r="W1039" i="2"/>
  <c r="W1040" i="2"/>
  <c r="W1041" i="2"/>
  <c r="W1042" i="2"/>
  <c r="W1043" i="2"/>
  <c r="W1044" i="2"/>
  <c r="W1045" i="2"/>
  <c r="W1046" i="2"/>
  <c r="W1047" i="2"/>
  <c r="W1038" i="2"/>
  <c r="W1523" i="2"/>
  <c r="W1524" i="2"/>
  <c r="W1525" i="2"/>
  <c r="W1526" i="2"/>
  <c r="W1527" i="2"/>
  <c r="W1528" i="2"/>
  <c r="W1522" i="2"/>
  <c r="D1037" i="2"/>
  <c r="E1037" i="2"/>
  <c r="F1037" i="2"/>
  <c r="G1037" i="2"/>
  <c r="H1037" i="2"/>
  <c r="I1037" i="2"/>
  <c r="J1037" i="2"/>
  <c r="K1037" i="2"/>
  <c r="L1037" i="2"/>
  <c r="M1037" i="2"/>
  <c r="N1037" i="2"/>
  <c r="O1037" i="2"/>
  <c r="P1037" i="2"/>
  <c r="Q1037" i="2"/>
  <c r="R1037" i="2"/>
  <c r="S1037" i="2"/>
  <c r="T1037" i="2"/>
  <c r="U1037" i="2"/>
  <c r="V1037" i="2"/>
  <c r="C1037" i="2"/>
  <c r="Y274" i="2"/>
  <c r="D248" i="3"/>
  <c r="C248" i="3"/>
  <c r="D154" i="3"/>
  <c r="C154" i="3"/>
  <c r="W1421" i="2"/>
  <c r="W932" i="2"/>
  <c r="W398" i="2"/>
  <c r="X1349" i="2"/>
  <c r="X860" i="2"/>
  <c r="N269" i="3"/>
  <c r="I269" i="3"/>
  <c r="X1485" i="2"/>
  <c r="N176" i="3"/>
  <c r="I176" i="3"/>
  <c r="D176" i="3"/>
  <c r="X1004" i="2"/>
  <c r="N80" i="3"/>
  <c r="D232" i="3"/>
  <c r="C232" i="3"/>
  <c r="D138" i="3"/>
  <c r="C138" i="3"/>
  <c r="W330" i="2"/>
  <c r="W873" i="2"/>
  <c r="W1361" i="2"/>
  <c r="N272" i="3"/>
  <c r="N179" i="3"/>
  <c r="N83" i="3"/>
  <c r="W1497" i="2"/>
  <c r="I293" i="3"/>
  <c r="L292" i="3"/>
  <c r="N292" i="3" s="1"/>
  <c r="I292" i="3"/>
  <c r="D292" i="3"/>
  <c r="C292" i="3"/>
  <c r="H291" i="3"/>
  <c r="G291" i="3"/>
  <c r="D291" i="3"/>
  <c r="C291" i="3"/>
  <c r="N290" i="3"/>
  <c r="I290" i="3"/>
  <c r="M287" i="3"/>
  <c r="N287" i="3" s="1"/>
  <c r="I287" i="3"/>
  <c r="D287" i="3"/>
  <c r="C287" i="3"/>
  <c r="M286" i="3"/>
  <c r="N286" i="3" s="1"/>
  <c r="I286" i="3"/>
  <c r="D286" i="3"/>
  <c r="C286" i="3"/>
  <c r="A286" i="3"/>
  <c r="N278" i="3"/>
  <c r="N277" i="3" s="1"/>
  <c r="I278" i="3"/>
  <c r="I277" i="3" s="1"/>
  <c r="L273" i="3"/>
  <c r="K273" i="3"/>
  <c r="J273" i="3"/>
  <c r="G273" i="3"/>
  <c r="I273" i="3" s="1"/>
  <c r="F273" i="3"/>
  <c r="E273" i="3"/>
  <c r="I272" i="3"/>
  <c r="N268" i="3"/>
  <c r="M268" i="3"/>
  <c r="L268" i="3"/>
  <c r="K268" i="3"/>
  <c r="J268" i="3"/>
  <c r="H268" i="3"/>
  <c r="G268" i="3"/>
  <c r="F268" i="3"/>
  <c r="E268" i="3"/>
  <c r="D268" i="3"/>
  <c r="C268" i="3"/>
  <c r="N267" i="3"/>
  <c r="N266" i="3"/>
  <c r="M264" i="3"/>
  <c r="N264" i="3" s="1"/>
  <c r="N263" i="3" s="1"/>
  <c r="H264" i="3"/>
  <c r="I264" i="3" s="1"/>
  <c r="D264" i="3"/>
  <c r="C264" i="3"/>
  <c r="C263" i="3" s="1"/>
  <c r="L263" i="3"/>
  <c r="K263" i="3"/>
  <c r="J263" i="3"/>
  <c r="G263" i="3"/>
  <c r="F263" i="3"/>
  <c r="E263" i="3"/>
  <c r="D263" i="3"/>
  <c r="N262" i="3"/>
  <c r="N261" i="3" s="1"/>
  <c r="I262" i="3"/>
  <c r="M261" i="3"/>
  <c r="L261" i="3"/>
  <c r="K261" i="3"/>
  <c r="J261" i="3"/>
  <c r="H261" i="3"/>
  <c r="G261" i="3"/>
  <c r="F261" i="3"/>
  <c r="E261" i="3"/>
  <c r="D261" i="3"/>
  <c r="C261" i="3"/>
  <c r="I259" i="3"/>
  <c r="N258" i="3"/>
  <c r="I258" i="3"/>
  <c r="L257" i="3"/>
  <c r="K257" i="3"/>
  <c r="J257" i="3"/>
  <c r="G257" i="3"/>
  <c r="F257" i="3"/>
  <c r="E257" i="3"/>
  <c r="D257" i="3"/>
  <c r="C257" i="3"/>
  <c r="I256" i="3"/>
  <c r="I255" i="3" s="1"/>
  <c r="M254" i="3"/>
  <c r="N254" i="3" s="1"/>
  <c r="N253" i="3" s="1"/>
  <c r="H254" i="3"/>
  <c r="I254" i="3" s="1"/>
  <c r="L253" i="3"/>
  <c r="K253" i="3"/>
  <c r="J253" i="3"/>
  <c r="G253" i="3"/>
  <c r="F253" i="3"/>
  <c r="E253" i="3"/>
  <c r="I252" i="3"/>
  <c r="M251" i="3"/>
  <c r="N251" i="3" s="1"/>
  <c r="I251" i="3"/>
  <c r="D251" i="3"/>
  <c r="C251" i="3"/>
  <c r="N250" i="3"/>
  <c r="I250" i="3"/>
  <c r="N249" i="3"/>
  <c r="I249" i="3"/>
  <c r="N248" i="3"/>
  <c r="I248" i="3"/>
  <c r="I247" i="3"/>
  <c r="I246" i="3"/>
  <c r="L245" i="3"/>
  <c r="K245" i="3"/>
  <c r="J245" i="3"/>
  <c r="H245" i="3"/>
  <c r="G245" i="3"/>
  <c r="F245" i="3"/>
  <c r="E245" i="3"/>
  <c r="D245" i="3"/>
  <c r="C245" i="3"/>
  <c r="M244" i="3"/>
  <c r="N244" i="3" s="1"/>
  <c r="I244" i="3"/>
  <c r="D244" i="3"/>
  <c r="C244" i="3"/>
  <c r="N243" i="3"/>
  <c r="I243" i="3"/>
  <c r="D243" i="3"/>
  <c r="C243" i="3"/>
  <c r="I242" i="3"/>
  <c r="L241" i="3"/>
  <c r="K241" i="3"/>
  <c r="J241" i="3"/>
  <c r="H241" i="3"/>
  <c r="G241" i="3"/>
  <c r="F241" i="3"/>
  <c r="E241" i="3"/>
  <c r="I239" i="3"/>
  <c r="L238" i="3"/>
  <c r="K238" i="3"/>
  <c r="J238" i="3"/>
  <c r="H238" i="3"/>
  <c r="G238" i="3"/>
  <c r="F238" i="3"/>
  <c r="E238" i="3"/>
  <c r="I237" i="3"/>
  <c r="L236" i="3"/>
  <c r="K236" i="3"/>
  <c r="J236" i="3"/>
  <c r="H236" i="3"/>
  <c r="G236" i="3"/>
  <c r="F236" i="3"/>
  <c r="E236" i="3"/>
  <c r="M234" i="3"/>
  <c r="N234" i="3" s="1"/>
  <c r="I234" i="3"/>
  <c r="D234" i="3"/>
  <c r="I233" i="3"/>
  <c r="N232" i="3"/>
  <c r="I232" i="3"/>
  <c r="K231" i="3"/>
  <c r="J231" i="3"/>
  <c r="H231" i="3"/>
  <c r="G231" i="3"/>
  <c r="F231" i="3"/>
  <c r="E231" i="3"/>
  <c r="D231" i="3"/>
  <c r="C231" i="3"/>
  <c r="H230" i="3"/>
  <c r="I230" i="3" s="1"/>
  <c r="N229" i="3"/>
  <c r="I229" i="3"/>
  <c r="L228" i="3"/>
  <c r="K228" i="3"/>
  <c r="J228" i="3"/>
  <c r="G228" i="3"/>
  <c r="F228" i="3"/>
  <c r="E228" i="3"/>
  <c r="D228" i="3"/>
  <c r="C228" i="3"/>
  <c r="N227" i="3"/>
  <c r="N226" i="3" s="1"/>
  <c r="I227" i="3"/>
  <c r="I226" i="3" s="1"/>
  <c r="N225" i="3"/>
  <c r="N224" i="3" s="1"/>
  <c r="I225" i="3"/>
  <c r="I224" i="3" s="1"/>
  <c r="I222" i="3"/>
  <c r="I221" i="3"/>
  <c r="I220" i="3"/>
  <c r="I219" i="3"/>
  <c r="N215" i="3"/>
  <c r="N214" i="3" s="1"/>
  <c r="C214" i="3"/>
  <c r="A215" i="3"/>
  <c r="A217" i="3" s="1"/>
  <c r="A219" i="3" s="1"/>
  <c r="A220" i="3" s="1"/>
  <c r="A221" i="3" s="1"/>
  <c r="A222" i="3" s="1"/>
  <c r="A225" i="3" s="1"/>
  <c r="A227" i="3" s="1"/>
  <c r="A229" i="3" s="1"/>
  <c r="A230" i="3" s="1"/>
  <c r="A232" i="3" s="1"/>
  <c r="A233" i="3" s="1"/>
  <c r="A234" i="3" s="1"/>
  <c r="A235" i="3" s="1"/>
  <c r="A237" i="3" s="1"/>
  <c r="A239" i="3" s="1"/>
  <c r="A242" i="3" s="1"/>
  <c r="A243" i="3" s="1"/>
  <c r="A244" i="3" s="1"/>
  <c r="A246" i="3" s="1"/>
  <c r="A247" i="3" s="1"/>
  <c r="A248" i="3" s="1"/>
  <c r="A249" i="3" s="1"/>
  <c r="A250" i="3" s="1"/>
  <c r="A251" i="3" s="1"/>
  <c r="A252" i="3" s="1"/>
  <c r="A254" i="3" s="1"/>
  <c r="L214" i="3"/>
  <c r="K214" i="3"/>
  <c r="J214" i="3"/>
  <c r="H214" i="3"/>
  <c r="G214" i="3"/>
  <c r="F214" i="3"/>
  <c r="E214" i="3"/>
  <c r="D214" i="3"/>
  <c r="I213" i="3"/>
  <c r="H212" i="3"/>
  <c r="I212" i="3" s="1"/>
  <c r="D212" i="3"/>
  <c r="C212" i="3"/>
  <c r="L211" i="3"/>
  <c r="K211" i="3"/>
  <c r="J211" i="3"/>
  <c r="G211" i="3"/>
  <c r="F211" i="3"/>
  <c r="E211" i="3"/>
  <c r="N210" i="3"/>
  <c r="N209" i="3" s="1"/>
  <c r="I210" i="3"/>
  <c r="L209" i="3"/>
  <c r="K209" i="3"/>
  <c r="J209" i="3"/>
  <c r="H209" i="3"/>
  <c r="G209" i="3"/>
  <c r="F209" i="3"/>
  <c r="E209" i="3"/>
  <c r="D209" i="3"/>
  <c r="C209" i="3"/>
  <c r="N208" i="3"/>
  <c r="N207" i="3" s="1"/>
  <c r="I208" i="3"/>
  <c r="I207" i="3" s="1"/>
  <c r="C207" i="3"/>
  <c r="I206" i="3"/>
  <c r="I205" i="3" s="1"/>
  <c r="N203" i="3"/>
  <c r="I203" i="3"/>
  <c r="N202" i="3"/>
  <c r="I202" i="3"/>
  <c r="I201" i="3"/>
  <c r="N200" i="3"/>
  <c r="I200" i="3"/>
  <c r="I199" i="3"/>
  <c r="M198" i="3"/>
  <c r="N198" i="3" s="1"/>
  <c r="I198" i="3"/>
  <c r="D198" i="3"/>
  <c r="C198" i="3"/>
  <c r="L196" i="3"/>
  <c r="N196" i="3" s="1"/>
  <c r="I196" i="3"/>
  <c r="D196" i="3"/>
  <c r="C196" i="3"/>
  <c r="M195" i="3"/>
  <c r="H195" i="3"/>
  <c r="G195" i="3"/>
  <c r="D195" i="3"/>
  <c r="C195" i="3"/>
  <c r="N194" i="3"/>
  <c r="I194" i="3"/>
  <c r="M191" i="3"/>
  <c r="N191" i="3" s="1"/>
  <c r="I191" i="3"/>
  <c r="D191" i="3"/>
  <c r="C191" i="3"/>
  <c r="M190" i="3"/>
  <c r="N190" i="3" s="1"/>
  <c r="I190" i="3"/>
  <c r="D190" i="3"/>
  <c r="C190" i="3"/>
  <c r="A190" i="3"/>
  <c r="N183" i="3"/>
  <c r="I183" i="3"/>
  <c r="I182" i="3" s="1"/>
  <c r="L180" i="3"/>
  <c r="K180" i="3"/>
  <c r="J180" i="3"/>
  <c r="G180" i="3"/>
  <c r="I180" i="3" s="1"/>
  <c r="F180" i="3"/>
  <c r="E180" i="3"/>
  <c r="I179" i="3"/>
  <c r="I177" i="3"/>
  <c r="N175" i="3"/>
  <c r="M175" i="3"/>
  <c r="L175" i="3"/>
  <c r="K175" i="3"/>
  <c r="J175" i="3"/>
  <c r="H175" i="3"/>
  <c r="G175" i="3"/>
  <c r="F175" i="3"/>
  <c r="E175" i="3"/>
  <c r="D175" i="3"/>
  <c r="C175" i="3"/>
  <c r="N174" i="3"/>
  <c r="I174" i="3"/>
  <c r="I172" i="3" s="1"/>
  <c r="D174" i="3"/>
  <c r="C174" i="3"/>
  <c r="N173" i="3"/>
  <c r="D173" i="3"/>
  <c r="C173" i="3"/>
  <c r="M171" i="3"/>
  <c r="N171" i="3" s="1"/>
  <c r="N170" i="3" s="1"/>
  <c r="H171" i="3"/>
  <c r="I171" i="3" s="1"/>
  <c r="D171" i="3"/>
  <c r="C171" i="3"/>
  <c r="C170" i="3" s="1"/>
  <c r="L170" i="3"/>
  <c r="K170" i="3"/>
  <c r="J170" i="3"/>
  <c r="G170" i="3"/>
  <c r="F170" i="3"/>
  <c r="E170" i="3"/>
  <c r="D170" i="3"/>
  <c r="I169" i="3"/>
  <c r="L168" i="3"/>
  <c r="K168" i="3"/>
  <c r="J168" i="3"/>
  <c r="H168" i="3"/>
  <c r="G168" i="3"/>
  <c r="F168" i="3"/>
  <c r="E168" i="3"/>
  <c r="H167" i="3"/>
  <c r="I167" i="3" s="1"/>
  <c r="N166" i="3"/>
  <c r="I166" i="3"/>
  <c r="I165" i="3"/>
  <c r="L164" i="3"/>
  <c r="K164" i="3"/>
  <c r="J164" i="3"/>
  <c r="G164" i="3"/>
  <c r="F164" i="3"/>
  <c r="E164" i="3"/>
  <c r="I163" i="3"/>
  <c r="I162" i="3" s="1"/>
  <c r="M161" i="3"/>
  <c r="N161" i="3" s="1"/>
  <c r="N160" i="3" s="1"/>
  <c r="H161" i="3"/>
  <c r="I161" i="3" s="1"/>
  <c r="D161" i="3"/>
  <c r="D160" i="3" s="1"/>
  <c r="C161" i="3"/>
  <c r="C160" i="3" s="1"/>
  <c r="L160" i="3"/>
  <c r="K160" i="3"/>
  <c r="J160" i="3"/>
  <c r="G160" i="3"/>
  <c r="F160" i="3"/>
  <c r="E160" i="3"/>
  <c r="I159" i="3"/>
  <c r="M158" i="3"/>
  <c r="N158" i="3" s="1"/>
  <c r="I158" i="3"/>
  <c r="D158" i="3"/>
  <c r="C158" i="3"/>
  <c r="N157" i="3"/>
  <c r="I157" i="3"/>
  <c r="N155" i="3"/>
  <c r="I155" i="3"/>
  <c r="N154" i="3"/>
  <c r="I154" i="3"/>
  <c r="I153" i="3"/>
  <c r="N152" i="3"/>
  <c r="I152" i="3"/>
  <c r="L151" i="3"/>
  <c r="K151" i="3"/>
  <c r="J151" i="3"/>
  <c r="G151" i="3"/>
  <c r="F151" i="3"/>
  <c r="E151" i="3"/>
  <c r="M150" i="3"/>
  <c r="N150" i="3" s="1"/>
  <c r="I150" i="3"/>
  <c r="D150" i="3"/>
  <c r="C150" i="3"/>
  <c r="N149" i="3"/>
  <c r="I149" i="3"/>
  <c r="L147" i="3"/>
  <c r="K147" i="3"/>
  <c r="J147" i="3"/>
  <c r="H147" i="3"/>
  <c r="G147" i="3"/>
  <c r="F147" i="3"/>
  <c r="E147" i="3"/>
  <c r="I145" i="3"/>
  <c r="L144" i="3"/>
  <c r="K144" i="3"/>
  <c r="J144" i="3"/>
  <c r="H144" i="3"/>
  <c r="G144" i="3"/>
  <c r="F144" i="3"/>
  <c r="E144" i="3"/>
  <c r="I143" i="3"/>
  <c r="C142" i="3"/>
  <c r="L142" i="3"/>
  <c r="K142" i="3"/>
  <c r="J142" i="3"/>
  <c r="H142" i="3"/>
  <c r="G142" i="3"/>
  <c r="F142" i="3"/>
  <c r="E142" i="3"/>
  <c r="I141" i="3"/>
  <c r="M140" i="3"/>
  <c r="N140" i="3" s="1"/>
  <c r="I140" i="3"/>
  <c r="D140" i="3"/>
  <c r="C140" i="3"/>
  <c r="I139" i="3"/>
  <c r="N138" i="3"/>
  <c r="I138" i="3"/>
  <c r="K137" i="3"/>
  <c r="J137" i="3"/>
  <c r="H137" i="3"/>
  <c r="G137" i="3"/>
  <c r="F137" i="3"/>
  <c r="E137" i="3"/>
  <c r="D137" i="3"/>
  <c r="C137" i="3"/>
  <c r="H136" i="3"/>
  <c r="I136" i="3" s="1"/>
  <c r="I135" i="3"/>
  <c r="L134" i="3"/>
  <c r="K134" i="3"/>
  <c r="J134" i="3"/>
  <c r="G134" i="3"/>
  <c r="F134" i="3"/>
  <c r="E134" i="3"/>
  <c r="I133" i="3"/>
  <c r="I132" i="3" s="1"/>
  <c r="N131" i="3"/>
  <c r="N130" i="3" s="1"/>
  <c r="I131" i="3"/>
  <c r="I130" i="3" s="1"/>
  <c r="N129" i="3"/>
  <c r="I129" i="3"/>
  <c r="I128" i="3"/>
  <c r="N127" i="3"/>
  <c r="I127" i="3"/>
  <c r="I126" i="3"/>
  <c r="N122" i="3"/>
  <c r="N121" i="3" s="1"/>
  <c r="I122" i="3"/>
  <c r="D121" i="3"/>
  <c r="A122" i="3"/>
  <c r="A124" i="3" s="1"/>
  <c r="A127" i="3" s="1"/>
  <c r="A128" i="3" s="1"/>
  <c r="A129" i="3" s="1"/>
  <c r="A131" i="3" s="1"/>
  <c r="A133" i="3" s="1"/>
  <c r="A135" i="3" s="1"/>
  <c r="A136" i="3" s="1"/>
  <c r="A138" i="3" s="1"/>
  <c r="A139" i="3" s="1"/>
  <c r="A140" i="3" s="1"/>
  <c r="A141" i="3" s="1"/>
  <c r="A143" i="3" s="1"/>
  <c r="A145" i="3" s="1"/>
  <c r="A148" i="3" s="1"/>
  <c r="A149" i="3" s="1"/>
  <c r="A150" i="3" s="1"/>
  <c r="A152" i="3" s="1"/>
  <c r="A153" i="3" s="1"/>
  <c r="A154" i="3" s="1"/>
  <c r="A155" i="3" s="1"/>
  <c r="A157" i="3" s="1"/>
  <c r="A158" i="3" s="1"/>
  <c r="A159" i="3" s="1"/>
  <c r="A161" i="3" s="1"/>
  <c r="M121" i="3"/>
  <c r="L121" i="3"/>
  <c r="K121" i="3"/>
  <c r="J121" i="3"/>
  <c r="H121" i="3"/>
  <c r="G121" i="3"/>
  <c r="F121" i="3"/>
  <c r="E121" i="3"/>
  <c r="C121" i="3"/>
  <c r="I120" i="3"/>
  <c r="M119" i="3"/>
  <c r="N119" i="3" s="1"/>
  <c r="H119" i="3"/>
  <c r="I119" i="3" s="1"/>
  <c r="D119" i="3"/>
  <c r="C119" i="3"/>
  <c r="L118" i="3"/>
  <c r="K118" i="3"/>
  <c r="J118" i="3"/>
  <c r="G118" i="3"/>
  <c r="F118" i="3"/>
  <c r="E118" i="3"/>
  <c r="I117" i="3"/>
  <c r="M116" i="3"/>
  <c r="L116" i="3"/>
  <c r="K116" i="3"/>
  <c r="J116" i="3"/>
  <c r="H116" i="3"/>
  <c r="G116" i="3"/>
  <c r="F116" i="3"/>
  <c r="E116" i="3"/>
  <c r="D116" i="3"/>
  <c r="C116" i="3"/>
  <c r="I115" i="3"/>
  <c r="I114" i="3" s="1"/>
  <c r="I113" i="3"/>
  <c r="I112" i="3" s="1"/>
  <c r="N110" i="3"/>
  <c r="I110" i="3"/>
  <c r="I109" i="3"/>
  <c r="I108" i="3"/>
  <c r="N107" i="3"/>
  <c r="I107" i="3"/>
  <c r="I106" i="3"/>
  <c r="M105" i="3"/>
  <c r="N105" i="3" s="1"/>
  <c r="I105" i="3"/>
  <c r="D105" i="3"/>
  <c r="C105" i="3"/>
  <c r="I89" i="3"/>
  <c r="I88" i="3" s="1"/>
  <c r="L84" i="3"/>
  <c r="K84" i="3"/>
  <c r="J84" i="3"/>
  <c r="G84" i="3"/>
  <c r="F84" i="3"/>
  <c r="E84" i="3"/>
  <c r="W1016" i="2"/>
  <c r="W518" i="2"/>
  <c r="Y777" i="2"/>
  <c r="AA226" i="2"/>
  <c r="AA225" i="2"/>
  <c r="W778" i="2"/>
  <c r="W779" i="2"/>
  <c r="W780" i="2"/>
  <c r="W782" i="2"/>
  <c r="W776" i="2"/>
  <c r="D776" i="2"/>
  <c r="D777" i="2"/>
  <c r="D778" i="2"/>
  <c r="D779" i="2"/>
  <c r="D780" i="2"/>
  <c r="D781" i="2"/>
  <c r="D782" i="2"/>
  <c r="W224" i="2"/>
  <c r="W228" i="2"/>
  <c r="W229" i="2"/>
  <c r="W230" i="2"/>
  <c r="W231" i="2"/>
  <c r="W223" i="2"/>
  <c r="W775" i="2"/>
  <c r="W774" i="2"/>
  <c r="V1521" i="2"/>
  <c r="U1521" i="2"/>
  <c r="T1521" i="2"/>
  <c r="S1521" i="2"/>
  <c r="R1521" i="2"/>
  <c r="Q1521" i="2"/>
  <c r="P1521" i="2"/>
  <c r="O1521" i="2"/>
  <c r="N1521" i="2"/>
  <c r="M1521" i="2"/>
  <c r="L1521" i="2"/>
  <c r="K1521" i="2"/>
  <c r="J1521" i="2"/>
  <c r="I1521" i="2"/>
  <c r="H1521" i="2"/>
  <c r="G1521" i="2"/>
  <c r="F1521" i="2"/>
  <c r="E1521" i="2"/>
  <c r="D1521" i="2"/>
  <c r="C1521" i="2"/>
  <c r="V1496" i="2"/>
  <c r="U1496" i="2"/>
  <c r="T1496" i="2"/>
  <c r="S1496" i="2"/>
  <c r="R1496" i="2"/>
  <c r="Q1496" i="2"/>
  <c r="P1496" i="2"/>
  <c r="O1496" i="2"/>
  <c r="N1496" i="2"/>
  <c r="M1496" i="2"/>
  <c r="L1496" i="2"/>
  <c r="K1496" i="2"/>
  <c r="J1496" i="2"/>
  <c r="I1496" i="2"/>
  <c r="H1496" i="2"/>
  <c r="G1496" i="2"/>
  <c r="F1496" i="2"/>
  <c r="E1496" i="2"/>
  <c r="D1496" i="2"/>
  <c r="C1496" i="2"/>
  <c r="U1484" i="2"/>
  <c r="T1484" i="2"/>
  <c r="S1484" i="2"/>
  <c r="R1484" i="2"/>
  <c r="Q1484" i="2"/>
  <c r="P1484" i="2"/>
  <c r="O1484" i="2"/>
  <c r="N1484" i="2"/>
  <c r="M1484" i="2"/>
  <c r="L1484" i="2"/>
  <c r="K1484" i="2"/>
  <c r="J1484" i="2"/>
  <c r="I1484" i="2"/>
  <c r="H1484" i="2"/>
  <c r="G1484" i="2"/>
  <c r="F1484" i="2"/>
  <c r="E1484" i="2"/>
  <c r="D1484" i="2"/>
  <c r="C1484" i="2"/>
  <c r="N1431" i="2"/>
  <c r="U1420" i="2"/>
  <c r="T1420" i="2"/>
  <c r="S1420" i="2"/>
  <c r="R1420" i="2"/>
  <c r="Q1420" i="2"/>
  <c r="P1420" i="2"/>
  <c r="O1420" i="2"/>
  <c r="O1402" i="2" s="1"/>
  <c r="N1420" i="2"/>
  <c r="M1420" i="2"/>
  <c r="M1402" i="2" s="1"/>
  <c r="L1420" i="2"/>
  <c r="K1420" i="2"/>
  <c r="J1420" i="2"/>
  <c r="I1420" i="2"/>
  <c r="H1420" i="2"/>
  <c r="G1420" i="2"/>
  <c r="F1420" i="2"/>
  <c r="E1420" i="2"/>
  <c r="D1420" i="2"/>
  <c r="C1420" i="2"/>
  <c r="U1360" i="2"/>
  <c r="T1360" i="2"/>
  <c r="S1360" i="2"/>
  <c r="R1360" i="2"/>
  <c r="Q1360" i="2"/>
  <c r="P1360" i="2"/>
  <c r="O1360" i="2"/>
  <c r="N1360" i="2"/>
  <c r="M1360" i="2"/>
  <c r="L1360" i="2"/>
  <c r="K1360" i="2"/>
  <c r="J1360" i="2"/>
  <c r="I1360" i="2"/>
  <c r="H1360" i="2"/>
  <c r="G1360" i="2"/>
  <c r="F1360" i="2"/>
  <c r="E1360" i="2"/>
  <c r="D1360" i="2"/>
  <c r="C1360" i="2"/>
  <c r="U1348" i="2"/>
  <c r="U1347" i="2" s="1"/>
  <c r="T1348" i="2"/>
  <c r="T1347" i="2" s="1"/>
  <c r="S1348" i="2"/>
  <c r="S1347" i="2" s="1"/>
  <c r="R1348" i="2"/>
  <c r="R1347" i="2" s="1"/>
  <c r="Q1348" i="2"/>
  <c r="Q1347" i="2" s="1"/>
  <c r="P1348" i="2"/>
  <c r="P1347" i="2" s="1"/>
  <c r="O1348" i="2"/>
  <c r="O1347" i="2" s="1"/>
  <c r="N1348" i="2"/>
  <c r="N1347" i="2" s="1"/>
  <c r="M1348" i="2"/>
  <c r="M1347" i="2" s="1"/>
  <c r="L1348" i="2"/>
  <c r="L1347" i="2" s="1"/>
  <c r="K1348" i="2"/>
  <c r="K1347" i="2" s="1"/>
  <c r="J1348" i="2"/>
  <c r="J1347" i="2" s="1"/>
  <c r="I1348" i="2"/>
  <c r="I1347" i="2" s="1"/>
  <c r="H1348" i="2"/>
  <c r="H1347" i="2" s="1"/>
  <c r="G1348" i="2"/>
  <c r="G1347" i="2" s="1"/>
  <c r="F1348" i="2"/>
  <c r="F1347" i="2" s="1"/>
  <c r="E1348" i="2"/>
  <c r="E1347" i="2" s="1"/>
  <c r="D1348" i="2"/>
  <c r="D1347" i="2" s="1"/>
  <c r="C1348" i="2"/>
  <c r="C1347" i="2" s="1"/>
  <c r="U1306" i="2"/>
  <c r="T1306" i="2"/>
  <c r="S1306" i="2"/>
  <c r="R1306" i="2"/>
  <c r="Q1306" i="2"/>
  <c r="P1306" i="2"/>
  <c r="O1306" i="2"/>
  <c r="N1306" i="2"/>
  <c r="M1306" i="2"/>
  <c r="L1306" i="2"/>
  <c r="K1306" i="2"/>
  <c r="J1306" i="2"/>
  <c r="I1306" i="2"/>
  <c r="H1306" i="2"/>
  <c r="G1306" i="2"/>
  <c r="F1306" i="2"/>
  <c r="E1306" i="2"/>
  <c r="D1306" i="2"/>
  <c r="C1306" i="2"/>
  <c r="V1221" i="2"/>
  <c r="V1220" i="2"/>
  <c r="V1219" i="2"/>
  <c r="V1218" i="2"/>
  <c r="V1217" i="2"/>
  <c r="V1216" i="2"/>
  <c r="K1216" i="2"/>
  <c r="V1215" i="2"/>
  <c r="V1214" i="2"/>
  <c r="V1213" i="2"/>
  <c r="V1212" i="2"/>
  <c r="V1211" i="2"/>
  <c r="V1210" i="2"/>
  <c r="V1209" i="2"/>
  <c r="V1208" i="2"/>
  <c r="V1207" i="2"/>
  <c r="V1206" i="2"/>
  <c r="V1205" i="2"/>
  <c r="V1204" i="2"/>
  <c r="K1204" i="2"/>
  <c r="V1203" i="2"/>
  <c r="V1202" i="2"/>
  <c r="V1201" i="2"/>
  <c r="V1200" i="2"/>
  <c r="K1200" i="2"/>
  <c r="V1199" i="2"/>
  <c r="V1198" i="2"/>
  <c r="V1197" i="2"/>
  <c r="V1196" i="2"/>
  <c r="V1195" i="2"/>
  <c r="V1194" i="2"/>
  <c r="V1193" i="2"/>
  <c r="V1192" i="2"/>
  <c r="V1191" i="2"/>
  <c r="V1190" i="2"/>
  <c r="V1189" i="2"/>
  <c r="V1188" i="2"/>
  <c r="K1188" i="2"/>
  <c r="V1187" i="2"/>
  <c r="V1186" i="2"/>
  <c r="V1185" i="2"/>
  <c r="V1184" i="2"/>
  <c r="V1183" i="2"/>
  <c r="V1182" i="2"/>
  <c r="V1181" i="2"/>
  <c r="V1180" i="2"/>
  <c r="V1179" i="2"/>
  <c r="V1178" i="2"/>
  <c r="V1177" i="2"/>
  <c r="V1176" i="2"/>
  <c r="V1175" i="2"/>
  <c r="V1174" i="2"/>
  <c r="V1173" i="2"/>
  <c r="V1172" i="2"/>
  <c r="V1171" i="2"/>
  <c r="V1170" i="2"/>
  <c r="V1169" i="2"/>
  <c r="V1168" i="2"/>
  <c r="V1167" i="2"/>
  <c r="V1166" i="2"/>
  <c r="K1165" i="2"/>
  <c r="V1165" i="2"/>
  <c r="V1164" i="2"/>
  <c r="V1163" i="2"/>
  <c r="V1162" i="2"/>
  <c r="V1161" i="2"/>
  <c r="V1160" i="2"/>
  <c r="K1159" i="2"/>
  <c r="V1159" i="2"/>
  <c r="V1158" i="2"/>
  <c r="V1157" i="2"/>
  <c r="V1156" i="2"/>
  <c r="V1155" i="2"/>
  <c r="V1154" i="2"/>
  <c r="V1153" i="2"/>
  <c r="K1153" i="2"/>
  <c r="V1152" i="2"/>
  <c r="V1151" i="2"/>
  <c r="V1150" i="2"/>
  <c r="V1149" i="2"/>
  <c r="V1148" i="2"/>
  <c r="V1147" i="2"/>
  <c r="V1146" i="2"/>
  <c r="V1145" i="2"/>
  <c r="V1144" i="2"/>
  <c r="V1143" i="2"/>
  <c r="V1142" i="2"/>
  <c r="V1141" i="2"/>
  <c r="V1140" i="2"/>
  <c r="V1139" i="2"/>
  <c r="V1138" i="2"/>
  <c r="V1137" i="2"/>
  <c r="V1136" i="2"/>
  <c r="V1135" i="2"/>
  <c r="V1134" i="2"/>
  <c r="V1133" i="2"/>
  <c r="V1132" i="2"/>
  <c r="V1131" i="2"/>
  <c r="V1130" i="2"/>
  <c r="V1129" i="2"/>
  <c r="V1128" i="2"/>
  <c r="V1127" i="2"/>
  <c r="V1126" i="2"/>
  <c r="K1126" i="2"/>
  <c r="V1125" i="2"/>
  <c r="V1124" i="2"/>
  <c r="V1123" i="2"/>
  <c r="V1122" i="2"/>
  <c r="V1121" i="2"/>
  <c r="V1120" i="2"/>
  <c r="V1119" i="2"/>
  <c r="V1118" i="2"/>
  <c r="V1117" i="2"/>
  <c r="V1116" i="2"/>
  <c r="V1115" i="2"/>
  <c r="V1114" i="2"/>
  <c r="V1113" i="2"/>
  <c r="V1112" i="2"/>
  <c r="V1111" i="2"/>
  <c r="V1110" i="2"/>
  <c r="V1109" i="2"/>
  <c r="V1108" i="2"/>
  <c r="V1107" i="2"/>
  <c r="V1106" i="2"/>
  <c r="V1105" i="2"/>
  <c r="V1104" i="2"/>
  <c r="V1103" i="2"/>
  <c r="K1102" i="2"/>
  <c r="V1102" i="2"/>
  <c r="V1101" i="2"/>
  <c r="V1100" i="2"/>
  <c r="O1100" i="2"/>
  <c r="V1099" i="2"/>
  <c r="O1099" i="2"/>
  <c r="V1098" i="2"/>
  <c r="V1097" i="2"/>
  <c r="V1096" i="2"/>
  <c r="V1095" i="2"/>
  <c r="V1094" i="2"/>
  <c r="V1093" i="2"/>
  <c r="V1092" i="2"/>
  <c r="V1091" i="2"/>
  <c r="V1090" i="2"/>
  <c r="V1089" i="2"/>
  <c r="V1088" i="2"/>
  <c r="V1087" i="2"/>
  <c r="V1086" i="2"/>
  <c r="V1085" i="2"/>
  <c r="V1084" i="2"/>
  <c r="V1083" i="2"/>
  <c r="V1082" i="2"/>
  <c r="V1081" i="2"/>
  <c r="V1080" i="2"/>
  <c r="V1079" i="2"/>
  <c r="V1078" i="2"/>
  <c r="K1078" i="2"/>
  <c r="V1076" i="2"/>
  <c r="V1075" i="2"/>
  <c r="V1074" i="2"/>
  <c r="V1073" i="2"/>
  <c r="V1072" i="2"/>
  <c r="V1071" i="2"/>
  <c r="V1070" i="2"/>
  <c r="Q1069" i="2"/>
  <c r="Q1053" i="2" s="1"/>
  <c r="V1068" i="2"/>
  <c r="V1067" i="2"/>
  <c r="V1066" i="2"/>
  <c r="V1065" i="2"/>
  <c r="V1064" i="2"/>
  <c r="V1063" i="2"/>
  <c r="V1062" i="2"/>
  <c r="K1062" i="2"/>
  <c r="V1061" i="2"/>
  <c r="O1061" i="2"/>
  <c r="V1060" i="2"/>
  <c r="M1060" i="2"/>
  <c r="M1053" i="2" s="1"/>
  <c r="V1059" i="2"/>
  <c r="V1058" i="2"/>
  <c r="V1057" i="2"/>
  <c r="V1056" i="2"/>
  <c r="V1055" i="2"/>
  <c r="V1054" i="2"/>
  <c r="S1053" i="2"/>
  <c r="R1053" i="2"/>
  <c r="P1053" i="2"/>
  <c r="N1053" i="2"/>
  <c r="C1053" i="2"/>
  <c r="V1015" i="2"/>
  <c r="U1015" i="2"/>
  <c r="T1015" i="2"/>
  <c r="S1015" i="2"/>
  <c r="R1015" i="2"/>
  <c r="Q1015" i="2"/>
  <c r="P1015" i="2"/>
  <c r="O1015" i="2"/>
  <c r="N1015" i="2"/>
  <c r="M1015" i="2"/>
  <c r="L1015" i="2"/>
  <c r="K1015" i="2"/>
  <c r="J1015" i="2"/>
  <c r="I1015" i="2"/>
  <c r="H1015" i="2"/>
  <c r="G1015" i="2"/>
  <c r="F1015" i="2"/>
  <c r="E1015" i="2"/>
  <c r="D1015" i="2"/>
  <c r="C1015" i="2"/>
  <c r="U1003" i="2"/>
  <c r="T1003" i="2"/>
  <c r="S1003" i="2"/>
  <c r="R1003" i="2"/>
  <c r="Q1003" i="2"/>
  <c r="P1003" i="2"/>
  <c r="O1003" i="2"/>
  <c r="N1003" i="2"/>
  <c r="M1003" i="2"/>
  <c r="L1003" i="2"/>
  <c r="K1003" i="2"/>
  <c r="J1003" i="2"/>
  <c r="I1003" i="2"/>
  <c r="H1003" i="2"/>
  <c r="G1003" i="2"/>
  <c r="F1003" i="2"/>
  <c r="E1003" i="2"/>
  <c r="D1003" i="2"/>
  <c r="C1003" i="2"/>
  <c r="N946" i="2"/>
  <c r="U931" i="2"/>
  <c r="U912" i="2" s="1"/>
  <c r="T931" i="2"/>
  <c r="T912" i="2" s="1"/>
  <c r="S931" i="2"/>
  <c r="S912" i="2" s="1"/>
  <c r="R931" i="2"/>
  <c r="R912" i="2" s="1"/>
  <c r="Q931" i="2"/>
  <c r="Q912" i="2" s="1"/>
  <c r="P931" i="2"/>
  <c r="P912" i="2" s="1"/>
  <c r="O931" i="2"/>
  <c r="O912" i="2" s="1"/>
  <c r="N931" i="2"/>
  <c r="N912" i="2" s="1"/>
  <c r="M931" i="2"/>
  <c r="M912" i="2" s="1"/>
  <c r="L931" i="2"/>
  <c r="L912" i="2" s="1"/>
  <c r="K931" i="2"/>
  <c r="K912" i="2" s="1"/>
  <c r="J931" i="2"/>
  <c r="J912" i="2" s="1"/>
  <c r="I931" i="2"/>
  <c r="I912" i="2" s="1"/>
  <c r="H931" i="2"/>
  <c r="H912" i="2" s="1"/>
  <c r="G931" i="2"/>
  <c r="G912" i="2" s="1"/>
  <c r="F931" i="2"/>
  <c r="F912" i="2" s="1"/>
  <c r="E931" i="2"/>
  <c r="E912" i="2" s="1"/>
  <c r="D931" i="2"/>
  <c r="D912" i="2" s="1"/>
  <c r="C931" i="2"/>
  <c r="C912" i="2" s="1"/>
  <c r="U872" i="2"/>
  <c r="T872" i="2"/>
  <c r="S872" i="2"/>
  <c r="R872" i="2"/>
  <c r="Q872" i="2"/>
  <c r="P872" i="2"/>
  <c r="O872" i="2"/>
  <c r="N872" i="2"/>
  <c r="M872" i="2"/>
  <c r="L872" i="2"/>
  <c r="K872" i="2"/>
  <c r="J872" i="2"/>
  <c r="I872" i="2"/>
  <c r="H872" i="2"/>
  <c r="G872" i="2"/>
  <c r="F872" i="2"/>
  <c r="E872" i="2"/>
  <c r="D872" i="2"/>
  <c r="C872" i="2"/>
  <c r="U859" i="2"/>
  <c r="U858" i="2" s="1"/>
  <c r="T859" i="2"/>
  <c r="T858" i="2" s="1"/>
  <c r="S859" i="2"/>
  <c r="S858" i="2" s="1"/>
  <c r="R859" i="2"/>
  <c r="R858" i="2" s="1"/>
  <c r="Q859" i="2"/>
  <c r="Q858" i="2" s="1"/>
  <c r="P859" i="2"/>
  <c r="P858" i="2" s="1"/>
  <c r="O859" i="2"/>
  <c r="O858" i="2" s="1"/>
  <c r="N859" i="2"/>
  <c r="N858" i="2" s="1"/>
  <c r="M859" i="2"/>
  <c r="M858" i="2" s="1"/>
  <c r="L859" i="2"/>
  <c r="L858" i="2" s="1"/>
  <c r="K859" i="2"/>
  <c r="K858" i="2" s="1"/>
  <c r="J859" i="2"/>
  <c r="J858" i="2" s="1"/>
  <c r="I859" i="2"/>
  <c r="I858" i="2" s="1"/>
  <c r="H859" i="2"/>
  <c r="H858" i="2" s="1"/>
  <c r="G859" i="2"/>
  <c r="G858" i="2" s="1"/>
  <c r="F859" i="2"/>
  <c r="F858" i="2" s="1"/>
  <c r="E859" i="2"/>
  <c r="E858" i="2" s="1"/>
  <c r="D859" i="2"/>
  <c r="D858" i="2" s="1"/>
  <c r="C859" i="2"/>
  <c r="C858" i="2" s="1"/>
  <c r="V841" i="2"/>
  <c r="U818" i="2"/>
  <c r="T818" i="2"/>
  <c r="S818" i="2"/>
  <c r="R818" i="2"/>
  <c r="Q818" i="2"/>
  <c r="P818" i="2"/>
  <c r="O818" i="2"/>
  <c r="N818" i="2"/>
  <c r="M818" i="2"/>
  <c r="L818" i="2"/>
  <c r="K818" i="2"/>
  <c r="J818" i="2"/>
  <c r="I818" i="2"/>
  <c r="H818" i="2"/>
  <c r="G818" i="2"/>
  <c r="F818" i="2"/>
  <c r="E818" i="2"/>
  <c r="D818" i="2"/>
  <c r="C818" i="2"/>
  <c r="N811" i="2"/>
  <c r="D775" i="2"/>
  <c r="D774" i="2"/>
  <c r="U773" i="2"/>
  <c r="T773" i="2"/>
  <c r="S773" i="2"/>
  <c r="R773" i="2"/>
  <c r="Q773" i="2"/>
  <c r="P773" i="2"/>
  <c r="O773" i="2"/>
  <c r="N773" i="2"/>
  <c r="M773" i="2"/>
  <c r="L773" i="2"/>
  <c r="K773" i="2"/>
  <c r="J773" i="2"/>
  <c r="I773" i="2"/>
  <c r="H773" i="2"/>
  <c r="G773" i="2"/>
  <c r="F773" i="2"/>
  <c r="E773" i="2"/>
  <c r="C773" i="2"/>
  <c r="V729" i="2"/>
  <c r="V728" i="2"/>
  <c r="V727" i="2"/>
  <c r="V726" i="2"/>
  <c r="V725" i="2"/>
  <c r="V724" i="2"/>
  <c r="K724" i="2"/>
  <c r="V723" i="2"/>
  <c r="V722" i="2"/>
  <c r="V721" i="2"/>
  <c r="V720" i="2"/>
  <c r="V719" i="2"/>
  <c r="V718" i="2"/>
  <c r="V717" i="2"/>
  <c r="V716" i="2"/>
  <c r="V715" i="2"/>
  <c r="V714" i="2"/>
  <c r="V713" i="2"/>
  <c r="K712" i="2"/>
  <c r="V712" i="2"/>
  <c r="V711" i="2"/>
  <c r="V710" i="2"/>
  <c r="V709" i="2"/>
  <c r="V708" i="2"/>
  <c r="K708" i="2"/>
  <c r="V707" i="2"/>
  <c r="V706" i="2"/>
  <c r="V705" i="2"/>
  <c r="V704" i="2"/>
  <c r="V703" i="2"/>
  <c r="V702" i="2"/>
  <c r="V701" i="2"/>
  <c r="V700" i="2"/>
  <c r="V699" i="2"/>
  <c r="V698" i="2"/>
  <c r="V697" i="2"/>
  <c r="V696" i="2"/>
  <c r="K696" i="2"/>
  <c r="V695" i="2"/>
  <c r="V694" i="2"/>
  <c r="V693" i="2"/>
  <c r="V692" i="2"/>
  <c r="V691" i="2"/>
  <c r="V690" i="2"/>
  <c r="V689" i="2"/>
  <c r="V688" i="2"/>
  <c r="V687" i="2"/>
  <c r="V686" i="2"/>
  <c r="V685" i="2"/>
  <c r="V684" i="2"/>
  <c r="V683" i="2"/>
  <c r="V682" i="2"/>
  <c r="V681" i="2"/>
  <c r="V680" i="2"/>
  <c r="V679" i="2"/>
  <c r="V678" i="2"/>
  <c r="V677" i="2"/>
  <c r="V676" i="2"/>
  <c r="V675" i="2"/>
  <c r="V674" i="2"/>
  <c r="K673" i="2"/>
  <c r="V673" i="2"/>
  <c r="V672" i="2"/>
  <c r="V671" i="2"/>
  <c r="V670" i="2"/>
  <c r="V669" i="2"/>
  <c r="V668" i="2"/>
  <c r="V667" i="2"/>
  <c r="K667" i="2"/>
  <c r="V666" i="2"/>
  <c r="V665" i="2"/>
  <c r="V664" i="2"/>
  <c r="V663" i="2"/>
  <c r="V662" i="2"/>
  <c r="K661" i="2"/>
  <c r="V661" i="2"/>
  <c r="V660" i="2"/>
  <c r="V659" i="2"/>
  <c r="V658" i="2"/>
  <c r="V657" i="2"/>
  <c r="V656" i="2"/>
  <c r="V655" i="2"/>
  <c r="V654" i="2"/>
  <c r="V653" i="2"/>
  <c r="V652" i="2"/>
  <c r="V651" i="2"/>
  <c r="V650" i="2"/>
  <c r="V649" i="2"/>
  <c r="V648" i="2"/>
  <c r="V647" i="2"/>
  <c r="V646" i="2"/>
  <c r="V645" i="2"/>
  <c r="V644" i="2"/>
  <c r="V643" i="2"/>
  <c r="V642" i="2"/>
  <c r="V641" i="2"/>
  <c r="V640" i="2"/>
  <c r="V639" i="2"/>
  <c r="V638" i="2"/>
  <c r="V637" i="2"/>
  <c r="V636" i="2"/>
  <c r="V635" i="2"/>
  <c r="V634" i="2"/>
  <c r="K634" i="2"/>
  <c r="V633" i="2"/>
  <c r="V632" i="2"/>
  <c r="V631" i="2"/>
  <c r="V630" i="2"/>
  <c r="V629" i="2"/>
  <c r="V628" i="2"/>
  <c r="V627" i="2"/>
  <c r="V626" i="2"/>
  <c r="V625" i="2"/>
  <c r="V624" i="2"/>
  <c r="V623" i="2"/>
  <c r="V622" i="2"/>
  <c r="V621" i="2"/>
  <c r="V620" i="2"/>
  <c r="V619" i="2"/>
  <c r="V618" i="2"/>
  <c r="V617" i="2"/>
  <c r="V616" i="2"/>
  <c r="V615" i="2"/>
  <c r="V614" i="2"/>
  <c r="V613" i="2"/>
  <c r="V612" i="2"/>
  <c r="V611" i="2"/>
  <c r="K610" i="2"/>
  <c r="V610" i="2"/>
  <c r="V609" i="2"/>
  <c r="V608" i="2"/>
  <c r="O608" i="2"/>
  <c r="V607" i="2"/>
  <c r="O607" i="2"/>
  <c r="V606" i="2"/>
  <c r="V605" i="2"/>
  <c r="V604" i="2"/>
  <c r="V603" i="2"/>
  <c r="V602" i="2"/>
  <c r="V601" i="2"/>
  <c r="V600" i="2"/>
  <c r="V599" i="2"/>
  <c r="V598" i="2"/>
  <c r="V597" i="2"/>
  <c r="V596" i="2"/>
  <c r="V595" i="2"/>
  <c r="V594" i="2"/>
  <c r="V593" i="2"/>
  <c r="V592" i="2"/>
  <c r="V591" i="2"/>
  <c r="V590" i="2"/>
  <c r="V589" i="2"/>
  <c r="V588" i="2"/>
  <c r="V587" i="2"/>
  <c r="V586" i="2"/>
  <c r="K586" i="2"/>
  <c r="V585" i="2"/>
  <c r="V584" i="2"/>
  <c r="V583" i="2"/>
  <c r="V582" i="2"/>
  <c r="V581" i="2"/>
  <c r="V580" i="2"/>
  <c r="V579" i="2"/>
  <c r="V578" i="2"/>
  <c r="V577" i="2"/>
  <c r="Q577" i="2"/>
  <c r="Q561" i="2" s="1"/>
  <c r="V576" i="2"/>
  <c r="V575" i="2"/>
  <c r="V574" i="2"/>
  <c r="V573" i="2"/>
  <c r="V571" i="2"/>
  <c r="V570" i="2"/>
  <c r="K570" i="2"/>
  <c r="V569" i="2"/>
  <c r="O569" i="2"/>
  <c r="V568" i="2"/>
  <c r="M568" i="2"/>
  <c r="M561" i="2" s="1"/>
  <c r="V567" i="2"/>
  <c r="V566" i="2"/>
  <c r="V565" i="2"/>
  <c r="V563" i="2"/>
  <c r="V562" i="2"/>
  <c r="S561" i="2"/>
  <c r="R561" i="2"/>
  <c r="P561" i="2"/>
  <c r="N561" i="2"/>
  <c r="C561" i="2"/>
  <c r="D540" i="2"/>
  <c r="D537" i="2" s="1"/>
  <c r="E540" i="2"/>
  <c r="E537" i="2" s="1"/>
  <c r="F540" i="2"/>
  <c r="F537" i="2" s="1"/>
  <c r="G540" i="2"/>
  <c r="G537" i="2" s="1"/>
  <c r="H540" i="2"/>
  <c r="H537" i="2" s="1"/>
  <c r="I540" i="2"/>
  <c r="I537" i="2" s="1"/>
  <c r="J540" i="2"/>
  <c r="J537" i="2" s="1"/>
  <c r="K540" i="2"/>
  <c r="K537" i="2" s="1"/>
  <c r="M540" i="2"/>
  <c r="M537" i="2" s="1"/>
  <c r="N540" i="2"/>
  <c r="N537" i="2" s="1"/>
  <c r="O540" i="2"/>
  <c r="O537" i="2" s="1"/>
  <c r="P540" i="2"/>
  <c r="P537" i="2" s="1"/>
  <c r="Q540" i="2"/>
  <c r="Q537" i="2" s="1"/>
  <c r="R540" i="2"/>
  <c r="R537" i="2" s="1"/>
  <c r="S540" i="2"/>
  <c r="S537" i="2" s="1"/>
  <c r="T540" i="2"/>
  <c r="T537" i="2" s="1"/>
  <c r="U540" i="2"/>
  <c r="U537" i="2" s="1"/>
  <c r="C540" i="2"/>
  <c r="C537" i="2" s="1"/>
  <c r="D510" i="2"/>
  <c r="E510" i="2"/>
  <c r="F510" i="2"/>
  <c r="G510" i="2"/>
  <c r="H510" i="2"/>
  <c r="I510" i="2"/>
  <c r="J510" i="2"/>
  <c r="K510" i="2"/>
  <c r="L510" i="2"/>
  <c r="M510" i="2"/>
  <c r="N510" i="2"/>
  <c r="O510" i="2"/>
  <c r="P510" i="2"/>
  <c r="Q510" i="2"/>
  <c r="R510" i="2"/>
  <c r="S510" i="2"/>
  <c r="T510" i="2"/>
  <c r="U510" i="2"/>
  <c r="C510" i="2"/>
  <c r="E222" i="2"/>
  <c r="F222" i="2"/>
  <c r="G222" i="2"/>
  <c r="H222" i="2"/>
  <c r="I222" i="2"/>
  <c r="J222" i="2"/>
  <c r="K222" i="2"/>
  <c r="L222" i="2"/>
  <c r="M222" i="2"/>
  <c r="N222" i="2"/>
  <c r="O222" i="2"/>
  <c r="P222" i="2"/>
  <c r="Q222" i="2"/>
  <c r="R222" i="2"/>
  <c r="S222" i="2"/>
  <c r="T222" i="2"/>
  <c r="U222" i="2"/>
  <c r="D223" i="2"/>
  <c r="D517" i="2"/>
  <c r="E517" i="2"/>
  <c r="F517" i="2"/>
  <c r="G517" i="2"/>
  <c r="H517" i="2"/>
  <c r="I517" i="2"/>
  <c r="J517" i="2"/>
  <c r="K517" i="2"/>
  <c r="L517" i="2"/>
  <c r="M517" i="2"/>
  <c r="N517" i="2"/>
  <c r="O517" i="2"/>
  <c r="P517" i="2"/>
  <c r="Q517" i="2"/>
  <c r="R517" i="2"/>
  <c r="S517" i="2"/>
  <c r="T517" i="2"/>
  <c r="U517" i="2"/>
  <c r="V517" i="2"/>
  <c r="C517" i="2"/>
  <c r="D329" i="2"/>
  <c r="E329" i="2"/>
  <c r="F329" i="2"/>
  <c r="G329" i="2"/>
  <c r="H329" i="2"/>
  <c r="I329" i="2"/>
  <c r="J329" i="2"/>
  <c r="K329" i="2"/>
  <c r="L329" i="2"/>
  <c r="M329" i="2"/>
  <c r="N329" i="2"/>
  <c r="O329" i="2"/>
  <c r="P329" i="2"/>
  <c r="Q329" i="2"/>
  <c r="R329" i="2"/>
  <c r="S329" i="2"/>
  <c r="T329" i="2"/>
  <c r="U329" i="2"/>
  <c r="C329" i="2"/>
  <c r="D507" i="2"/>
  <c r="E507" i="2"/>
  <c r="F507" i="2"/>
  <c r="G507" i="2"/>
  <c r="H507" i="2"/>
  <c r="I507" i="2"/>
  <c r="J507" i="2"/>
  <c r="K507" i="2"/>
  <c r="L507" i="2"/>
  <c r="M507" i="2"/>
  <c r="N507" i="2"/>
  <c r="O507" i="2"/>
  <c r="P507" i="2"/>
  <c r="Q507" i="2"/>
  <c r="R507" i="2"/>
  <c r="S507" i="2"/>
  <c r="T507" i="2"/>
  <c r="U507" i="2"/>
  <c r="C507" i="2"/>
  <c r="D312" i="2"/>
  <c r="D311" i="2" s="1"/>
  <c r="E312" i="2"/>
  <c r="E311" i="2" s="1"/>
  <c r="F312" i="2"/>
  <c r="F311" i="2" s="1"/>
  <c r="G312" i="2"/>
  <c r="G311" i="2" s="1"/>
  <c r="H312" i="2"/>
  <c r="H311" i="2" s="1"/>
  <c r="I312" i="2"/>
  <c r="I311" i="2" s="1"/>
  <c r="J312" i="2"/>
  <c r="J311" i="2" s="1"/>
  <c r="K312" i="2"/>
  <c r="K311" i="2" s="1"/>
  <c r="L312" i="2"/>
  <c r="L311" i="2" s="1"/>
  <c r="M312" i="2"/>
  <c r="M311" i="2" s="1"/>
  <c r="N312" i="2"/>
  <c r="N311" i="2" s="1"/>
  <c r="O312" i="2"/>
  <c r="O311" i="2" s="1"/>
  <c r="P312" i="2"/>
  <c r="P311" i="2" s="1"/>
  <c r="Q312" i="2"/>
  <c r="Q311" i="2" s="1"/>
  <c r="R312" i="2"/>
  <c r="R311" i="2" s="1"/>
  <c r="S312" i="2"/>
  <c r="S311" i="2" s="1"/>
  <c r="T312" i="2"/>
  <c r="T311" i="2" s="1"/>
  <c r="U312" i="2"/>
  <c r="U311" i="2" s="1"/>
  <c r="C312" i="2"/>
  <c r="C311" i="2" s="1"/>
  <c r="D397" i="2"/>
  <c r="E397" i="2"/>
  <c r="F397" i="2"/>
  <c r="G397" i="2"/>
  <c r="H397" i="2"/>
  <c r="I397" i="2"/>
  <c r="J397" i="2"/>
  <c r="K397" i="2"/>
  <c r="L397" i="2"/>
  <c r="M397" i="2"/>
  <c r="N397" i="2"/>
  <c r="O397" i="2"/>
  <c r="P397" i="2"/>
  <c r="Q397" i="2"/>
  <c r="R397" i="2"/>
  <c r="S397" i="2"/>
  <c r="T397" i="2"/>
  <c r="U397" i="2"/>
  <c r="C397" i="2"/>
  <c r="D272" i="2"/>
  <c r="E272" i="2"/>
  <c r="F272" i="2"/>
  <c r="G272" i="2"/>
  <c r="H272" i="2"/>
  <c r="I272" i="2"/>
  <c r="J272" i="2"/>
  <c r="K272" i="2"/>
  <c r="L272" i="2"/>
  <c r="M272" i="2"/>
  <c r="N272" i="2"/>
  <c r="O272" i="2"/>
  <c r="P272" i="2"/>
  <c r="Q272" i="2"/>
  <c r="R272" i="2"/>
  <c r="S272" i="2"/>
  <c r="T272" i="2"/>
  <c r="U272" i="2"/>
  <c r="C272" i="2"/>
  <c r="D544" i="2"/>
  <c r="E544" i="2"/>
  <c r="F544" i="2"/>
  <c r="G544" i="2"/>
  <c r="H544" i="2"/>
  <c r="I544" i="2"/>
  <c r="J544" i="2"/>
  <c r="K544" i="2"/>
  <c r="L544" i="2"/>
  <c r="M544" i="2"/>
  <c r="N544" i="2"/>
  <c r="O544" i="2"/>
  <c r="P544" i="2"/>
  <c r="Q544" i="2"/>
  <c r="R544" i="2"/>
  <c r="S544" i="2"/>
  <c r="T544" i="2"/>
  <c r="U544" i="2"/>
  <c r="V544" i="2"/>
  <c r="C544" i="2"/>
  <c r="D295" i="2"/>
  <c r="E295" i="2"/>
  <c r="F295" i="2"/>
  <c r="G295" i="2"/>
  <c r="H295" i="2"/>
  <c r="I295" i="2"/>
  <c r="J295" i="2"/>
  <c r="K295" i="2"/>
  <c r="L295" i="2"/>
  <c r="M295" i="2"/>
  <c r="N295" i="2"/>
  <c r="O295" i="2"/>
  <c r="P295" i="2"/>
  <c r="Q295" i="2"/>
  <c r="R295" i="2"/>
  <c r="S295" i="2"/>
  <c r="T295" i="2"/>
  <c r="U295" i="2"/>
  <c r="V295" i="2"/>
  <c r="C295" i="2"/>
  <c r="C222" i="2"/>
  <c r="J796" i="1"/>
  <c r="K796" i="1"/>
  <c r="L796" i="1"/>
  <c r="M796" i="1"/>
  <c r="N796" i="1"/>
  <c r="P796" i="1"/>
  <c r="H796" i="1"/>
  <c r="I804" i="1"/>
  <c r="I231" i="1"/>
  <c r="J231" i="1"/>
  <c r="K231" i="1"/>
  <c r="L231" i="1"/>
  <c r="M231" i="1"/>
  <c r="N231" i="1"/>
  <c r="P231" i="1"/>
  <c r="H231" i="1"/>
  <c r="N172" i="3" l="1"/>
  <c r="N1402" i="2"/>
  <c r="M263" i="3"/>
  <c r="M170" i="3"/>
  <c r="O1053" i="2"/>
  <c r="I168" i="3"/>
  <c r="H228" i="3"/>
  <c r="I228" i="3" s="1"/>
  <c r="N113" i="3"/>
  <c r="N112" i="3" s="1"/>
  <c r="N206" i="3"/>
  <c r="N205" i="3" s="1"/>
  <c r="C109" i="3"/>
  <c r="I236" i="3"/>
  <c r="I261" i="3"/>
  <c r="N265" i="3"/>
  <c r="I291" i="3"/>
  <c r="M109" i="3"/>
  <c r="AA781" i="2"/>
  <c r="D109" i="3"/>
  <c r="M89" i="3"/>
  <c r="M88" i="3" s="1"/>
  <c r="M253" i="3"/>
  <c r="C172" i="3"/>
  <c r="D172" i="3"/>
  <c r="N195" i="3"/>
  <c r="D773" i="2"/>
  <c r="I116" i="3"/>
  <c r="I195" i="3"/>
  <c r="M241" i="3"/>
  <c r="N241" i="3" s="1"/>
  <c r="N844" i="2"/>
  <c r="I124" i="3"/>
  <c r="I123" i="3" s="1"/>
  <c r="H123" i="3"/>
  <c r="I217" i="3"/>
  <c r="I216" i="3" s="1"/>
  <c r="N217" i="3"/>
  <c r="I142" i="3"/>
  <c r="I144" i="3"/>
  <c r="I245" i="3"/>
  <c r="H263" i="3"/>
  <c r="I263" i="3" s="1"/>
  <c r="I231" i="3"/>
  <c r="I241" i="3"/>
  <c r="H151" i="3"/>
  <c r="I151" i="3" s="1"/>
  <c r="H170" i="3"/>
  <c r="I170" i="3" s="1"/>
  <c r="W544" i="2"/>
  <c r="H253" i="3"/>
  <c r="I253" i="3" s="1"/>
  <c r="H257" i="3"/>
  <c r="I257" i="3" s="1"/>
  <c r="M231" i="3"/>
  <c r="M137" i="3"/>
  <c r="L291" i="3"/>
  <c r="I796" i="1"/>
  <c r="N182" i="3"/>
  <c r="I84" i="3"/>
  <c r="I175" i="3"/>
  <c r="H118" i="3"/>
  <c r="I118" i="3" s="1"/>
  <c r="O561" i="2"/>
  <c r="K561" i="2"/>
  <c r="K1053" i="2"/>
  <c r="I214" i="3"/>
  <c r="H134" i="3"/>
  <c r="I134" i="3" s="1"/>
  <c r="C241" i="3"/>
  <c r="I137" i="3"/>
  <c r="I147" i="3"/>
  <c r="H164" i="3"/>
  <c r="I164" i="3" s="1"/>
  <c r="H211" i="3"/>
  <c r="I211" i="3" s="1"/>
  <c r="I238" i="3"/>
  <c r="I268" i="3"/>
  <c r="D241" i="3"/>
  <c r="H160" i="3"/>
  <c r="I160" i="3" s="1"/>
  <c r="M160" i="3"/>
  <c r="I209" i="3"/>
  <c r="I121" i="3"/>
  <c r="L195" i="3"/>
  <c r="D222" i="2"/>
  <c r="I1048" i="1"/>
  <c r="J1048" i="1"/>
  <c r="K1048" i="1"/>
  <c r="L1048" i="1"/>
  <c r="M1048" i="1"/>
  <c r="N1048" i="1"/>
  <c r="P1048" i="1"/>
  <c r="H1048" i="1"/>
  <c r="K503" i="1"/>
  <c r="L503" i="1"/>
  <c r="M503" i="1"/>
  <c r="N503" i="1"/>
  <c r="P503" i="1"/>
  <c r="I503" i="1"/>
  <c r="J503" i="1"/>
  <c r="H503" i="1"/>
  <c r="I1545" i="1"/>
  <c r="J1545" i="1"/>
  <c r="K1545" i="1"/>
  <c r="L1545" i="1"/>
  <c r="M1545" i="1"/>
  <c r="N1545" i="1"/>
  <c r="P1545" i="1"/>
  <c r="H1545" i="1"/>
  <c r="N89" i="3" l="1"/>
  <c r="N88" i="3" s="1"/>
  <c r="O1546" i="1"/>
  <c r="Q1546" i="1"/>
  <c r="O1547" i="1"/>
  <c r="Q1547" i="1"/>
  <c r="O1548" i="1"/>
  <c r="Q1548" i="1"/>
  <c r="O1549" i="1"/>
  <c r="Q1549" i="1"/>
  <c r="O1550" i="1"/>
  <c r="Q1550" i="1"/>
  <c r="O1551" i="1"/>
  <c r="Q1551" i="1"/>
  <c r="O1552" i="1"/>
  <c r="Q1552" i="1"/>
  <c r="O1545" i="1" l="1"/>
  <c r="I1541" i="1"/>
  <c r="I1538" i="1" s="1"/>
  <c r="J1541" i="1"/>
  <c r="J1538" i="1" s="1"/>
  <c r="K1541" i="1"/>
  <c r="K1538" i="1" s="1"/>
  <c r="L1541" i="1"/>
  <c r="L1538" i="1" s="1"/>
  <c r="M1541" i="1"/>
  <c r="M1538" i="1" s="1"/>
  <c r="N1541" i="1"/>
  <c r="N1538" i="1" s="1"/>
  <c r="O1541" i="1"/>
  <c r="O1538" i="1" s="1"/>
  <c r="P1541" i="1"/>
  <c r="P1538" i="1" s="1"/>
  <c r="H1541" i="1"/>
  <c r="H1538" i="1" s="1"/>
  <c r="I1044" i="1"/>
  <c r="I1043" i="1" s="1"/>
  <c r="J1044" i="1"/>
  <c r="J1043" i="1" s="1"/>
  <c r="K1044" i="1"/>
  <c r="K1043" i="1" s="1"/>
  <c r="L1044" i="1"/>
  <c r="L1043" i="1" s="1"/>
  <c r="M1044" i="1"/>
  <c r="M1043" i="1" s="1"/>
  <c r="N1044" i="1"/>
  <c r="N1043" i="1" s="1"/>
  <c r="O1044" i="1"/>
  <c r="P1044" i="1"/>
  <c r="P1043" i="1" s="1"/>
  <c r="H1044" i="1"/>
  <c r="H1043" i="1" s="1"/>
  <c r="I470" i="1"/>
  <c r="J470" i="1"/>
  <c r="K470" i="1"/>
  <c r="D149" i="3" s="1"/>
  <c r="L470" i="1"/>
  <c r="M470" i="1"/>
  <c r="N470" i="1"/>
  <c r="O470" i="1"/>
  <c r="H470" i="1"/>
  <c r="C149" i="3" s="1"/>
  <c r="Q471" i="1"/>
  <c r="I1017" i="1"/>
  <c r="J1017" i="1"/>
  <c r="J1016" i="1" s="1"/>
  <c r="K1017" i="1"/>
  <c r="K1016" i="1" s="1"/>
  <c r="L1017" i="1"/>
  <c r="L1016" i="1" s="1"/>
  <c r="M1017" i="1"/>
  <c r="M1016" i="1" s="1"/>
  <c r="N1017" i="1"/>
  <c r="N1016" i="1" s="1"/>
  <c r="O1017" i="1"/>
  <c r="O1016" i="1" s="1"/>
  <c r="P1017" i="1"/>
  <c r="P1016" i="1" s="1"/>
  <c r="H1017" i="1"/>
  <c r="H1016" i="1" s="1"/>
  <c r="Q1018" i="1"/>
  <c r="Q1019" i="1"/>
  <c r="I1511" i="1"/>
  <c r="I1510" i="1" s="1"/>
  <c r="J1511" i="1"/>
  <c r="J1510" i="1" s="1"/>
  <c r="K1511" i="1"/>
  <c r="K1510" i="1" s="1"/>
  <c r="L1511" i="1"/>
  <c r="L1510" i="1" s="1"/>
  <c r="M1511" i="1"/>
  <c r="M1510" i="1" s="1"/>
  <c r="N1511" i="1"/>
  <c r="N1510" i="1" s="1"/>
  <c r="O1511" i="1"/>
  <c r="O1510" i="1" s="1"/>
  <c r="H1511" i="1"/>
  <c r="H1510" i="1" s="1"/>
  <c r="Q1512" i="1"/>
  <c r="Q1513" i="1"/>
  <c r="Q1514" i="1"/>
  <c r="P1514" i="1"/>
  <c r="O1578" i="1"/>
  <c r="M1578" i="1"/>
  <c r="K1578" i="1"/>
  <c r="I1578" i="1"/>
  <c r="R1578" i="1"/>
  <c r="Q1578" i="1"/>
  <c r="P1578" i="1"/>
  <c r="Q1577" i="1"/>
  <c r="O1577" i="1"/>
  <c r="J1577" i="1"/>
  <c r="J1576" i="1" s="1"/>
  <c r="J1575" i="1" s="1"/>
  <c r="N1576" i="1"/>
  <c r="N1575" i="1" s="1"/>
  <c r="M1576" i="1"/>
  <c r="M1575" i="1" s="1"/>
  <c r="L1576" i="1"/>
  <c r="O1576" i="1" s="1"/>
  <c r="O1575" i="1" s="1"/>
  <c r="K1576" i="1"/>
  <c r="K1575" i="1" s="1"/>
  <c r="I1576" i="1"/>
  <c r="I1575" i="1" s="1"/>
  <c r="H1576" i="1"/>
  <c r="H1575" i="1" s="1"/>
  <c r="R1575" i="1"/>
  <c r="Q1575" i="1"/>
  <c r="P1575" i="1"/>
  <c r="Q1572" i="1"/>
  <c r="O1572" i="1"/>
  <c r="Q1571" i="1"/>
  <c r="O1571" i="1"/>
  <c r="H1571" i="1"/>
  <c r="Q1570" i="1"/>
  <c r="O1570" i="1"/>
  <c r="Q1569" i="1"/>
  <c r="O1569" i="1"/>
  <c r="H1569" i="1"/>
  <c r="Q1568" i="1"/>
  <c r="O1568" i="1"/>
  <c r="H1568" i="1"/>
  <c r="P1567" i="1"/>
  <c r="P1566" i="1" s="1"/>
  <c r="P1565" i="1" s="1"/>
  <c r="N1567" i="1"/>
  <c r="N1566" i="1" s="1"/>
  <c r="N1565" i="1" s="1"/>
  <c r="M1567" i="1"/>
  <c r="M1566" i="1" s="1"/>
  <c r="M1565" i="1" s="1"/>
  <c r="L1567" i="1"/>
  <c r="L1566" i="1" s="1"/>
  <c r="L1565" i="1" s="1"/>
  <c r="K1567" i="1"/>
  <c r="K1566" i="1" s="1"/>
  <c r="K1565" i="1" s="1"/>
  <c r="J1567" i="1"/>
  <c r="J1566" i="1" s="1"/>
  <c r="J1565" i="1" s="1"/>
  <c r="I1567" i="1"/>
  <c r="I1566" i="1" s="1"/>
  <c r="I1565" i="1" s="1"/>
  <c r="Q1561" i="1"/>
  <c r="O1561" i="1"/>
  <c r="O1560" i="1" s="1"/>
  <c r="P1560" i="1"/>
  <c r="N1560" i="1"/>
  <c r="M1560" i="1"/>
  <c r="L1560" i="1"/>
  <c r="K1560" i="1"/>
  <c r="J1560" i="1"/>
  <c r="I1560" i="1"/>
  <c r="H1560" i="1"/>
  <c r="Q1559" i="1"/>
  <c r="P1558" i="1"/>
  <c r="O1558" i="1"/>
  <c r="N1558" i="1"/>
  <c r="M1558" i="1"/>
  <c r="L1558" i="1"/>
  <c r="K1558" i="1"/>
  <c r="J1558" i="1"/>
  <c r="I1558" i="1"/>
  <c r="H1558" i="1"/>
  <c r="Q1543" i="1"/>
  <c r="Q1542" i="1"/>
  <c r="Q1537" i="1"/>
  <c r="P1536" i="1"/>
  <c r="O1536" i="1"/>
  <c r="N1536" i="1"/>
  <c r="M1536" i="1"/>
  <c r="L1536" i="1"/>
  <c r="K1536" i="1"/>
  <c r="J1536" i="1"/>
  <c r="I1536" i="1"/>
  <c r="H1536" i="1"/>
  <c r="Q1535" i="1"/>
  <c r="P1534" i="1"/>
  <c r="O1534" i="1"/>
  <c r="N1534" i="1"/>
  <c r="M1534" i="1"/>
  <c r="L1534" i="1"/>
  <c r="K1534" i="1"/>
  <c r="J1534" i="1"/>
  <c r="I1534" i="1"/>
  <c r="H1534" i="1"/>
  <c r="Q1530" i="1"/>
  <c r="O1530" i="1"/>
  <c r="Q1529" i="1"/>
  <c r="O1529" i="1"/>
  <c r="P1527" i="1"/>
  <c r="M1527" i="1"/>
  <c r="L1527" i="1"/>
  <c r="K1527" i="1"/>
  <c r="I1527" i="1"/>
  <c r="H1527" i="1"/>
  <c r="N1527" i="1"/>
  <c r="J1527" i="1"/>
  <c r="O1522" i="1"/>
  <c r="N1522" i="1"/>
  <c r="M1522" i="1"/>
  <c r="K1522" i="1"/>
  <c r="J1522" i="1"/>
  <c r="I1522" i="1"/>
  <c r="H1522" i="1"/>
  <c r="P1522" i="1"/>
  <c r="Q1521" i="1"/>
  <c r="O1521" i="1"/>
  <c r="O1520" i="1" s="1"/>
  <c r="O1519" i="1" s="1"/>
  <c r="P1520" i="1"/>
  <c r="P1519" i="1" s="1"/>
  <c r="P1512" i="1" s="1"/>
  <c r="N1520" i="1"/>
  <c r="N1519" i="1" s="1"/>
  <c r="M1520" i="1"/>
  <c r="M1519" i="1" s="1"/>
  <c r="L1520" i="1"/>
  <c r="L1519" i="1" s="1"/>
  <c r="K1520" i="1"/>
  <c r="K1519" i="1" s="1"/>
  <c r="J1520" i="1"/>
  <c r="J1519" i="1" s="1"/>
  <c r="I1520" i="1"/>
  <c r="I1519" i="1" s="1"/>
  <c r="H1520" i="1"/>
  <c r="Q1515" i="1"/>
  <c r="Q1509" i="1"/>
  <c r="P1508" i="1"/>
  <c r="P1507" i="1" s="1"/>
  <c r="O1508" i="1"/>
  <c r="O1507" i="1" s="1"/>
  <c r="N1508" i="1"/>
  <c r="N1507" i="1" s="1"/>
  <c r="M1508" i="1"/>
  <c r="M1507" i="1" s="1"/>
  <c r="L1508" i="1"/>
  <c r="L1507" i="1" s="1"/>
  <c r="K1508" i="1"/>
  <c r="K1507" i="1" s="1"/>
  <c r="J1508" i="1"/>
  <c r="J1507" i="1" s="1"/>
  <c r="I1508" i="1"/>
  <c r="I1507" i="1" s="1"/>
  <c r="H1508" i="1"/>
  <c r="H1507" i="1" s="1"/>
  <c r="Q1506" i="1"/>
  <c r="O1506" i="1"/>
  <c r="Q1505" i="1"/>
  <c r="O1505" i="1"/>
  <c r="Q1504" i="1"/>
  <c r="O1504" i="1"/>
  <c r="Q1503" i="1"/>
  <c r="O1503" i="1"/>
  <c r="P1502" i="1"/>
  <c r="P1501" i="1" s="1"/>
  <c r="N1502" i="1"/>
  <c r="N1501" i="1" s="1"/>
  <c r="M1502" i="1"/>
  <c r="M1501" i="1" s="1"/>
  <c r="L1502" i="1"/>
  <c r="L1501" i="1" s="1"/>
  <c r="K1502" i="1"/>
  <c r="K1501" i="1" s="1"/>
  <c r="J1502" i="1"/>
  <c r="J1501" i="1" s="1"/>
  <c r="I1502" i="1"/>
  <c r="I1501" i="1" s="1"/>
  <c r="H1502" i="1"/>
  <c r="H1501" i="1" s="1"/>
  <c r="L1500" i="1"/>
  <c r="Q1500" i="1" s="1"/>
  <c r="L1499" i="1"/>
  <c r="Q1499" i="1" s="1"/>
  <c r="J1499" i="1"/>
  <c r="L1498" i="1"/>
  <c r="Q1498" i="1" s="1"/>
  <c r="L1497" i="1"/>
  <c r="Q1497" i="1" s="1"/>
  <c r="J1497" i="1"/>
  <c r="L1496" i="1"/>
  <c r="Q1496" i="1" s="1"/>
  <c r="L1495" i="1"/>
  <c r="Q1495" i="1" s="1"/>
  <c r="L1494" i="1"/>
  <c r="Q1494" i="1" s="1"/>
  <c r="J1494" i="1"/>
  <c r="L1493" i="1"/>
  <c r="Q1493" i="1" s="1"/>
  <c r="L1492" i="1"/>
  <c r="O1491" i="1"/>
  <c r="O1490" i="1" s="1"/>
  <c r="N1491" i="1"/>
  <c r="N1490" i="1" s="1"/>
  <c r="M1491" i="1"/>
  <c r="M1490" i="1" s="1"/>
  <c r="K1491" i="1"/>
  <c r="K1490" i="1" s="1"/>
  <c r="I1491" i="1"/>
  <c r="I1490" i="1" s="1"/>
  <c r="H1491" i="1"/>
  <c r="H1490" i="1" s="1"/>
  <c r="P1490" i="1"/>
  <c r="Q1489" i="1"/>
  <c r="O1489" i="1"/>
  <c r="O1488" i="1" s="1"/>
  <c r="O1487" i="1" s="1"/>
  <c r="P1487" i="1"/>
  <c r="N1487" i="1"/>
  <c r="M1487" i="1"/>
  <c r="L1487" i="1"/>
  <c r="K1487" i="1"/>
  <c r="J1487" i="1"/>
  <c r="I1487" i="1"/>
  <c r="H1487" i="1"/>
  <c r="O1486" i="1"/>
  <c r="O1485" i="1" s="1"/>
  <c r="Q1486" i="1"/>
  <c r="P1485" i="1"/>
  <c r="N1485" i="1"/>
  <c r="M1485" i="1"/>
  <c r="L1485" i="1"/>
  <c r="K1485" i="1"/>
  <c r="D260" i="3" s="1"/>
  <c r="J1485" i="1"/>
  <c r="H1485" i="1"/>
  <c r="C260" i="3" s="1"/>
  <c r="Q1484" i="1"/>
  <c r="O1484" i="1"/>
  <c r="O1483" i="1" s="1"/>
  <c r="P1483" i="1"/>
  <c r="N1483" i="1"/>
  <c r="M1483" i="1"/>
  <c r="L1483" i="1"/>
  <c r="K1483" i="1"/>
  <c r="J1483" i="1"/>
  <c r="I1483" i="1"/>
  <c r="H1483" i="1"/>
  <c r="R1476" i="1"/>
  <c r="Q1476" i="1"/>
  <c r="O1471" i="1"/>
  <c r="Q1473" i="1"/>
  <c r="P1471" i="1"/>
  <c r="N1471" i="1"/>
  <c r="L1471" i="1"/>
  <c r="K1471" i="1"/>
  <c r="J1471" i="1"/>
  <c r="I1471" i="1"/>
  <c r="H1471" i="1"/>
  <c r="R1471" i="1"/>
  <c r="Q1471" i="1"/>
  <c r="M1471" i="1"/>
  <c r="Q1470" i="1"/>
  <c r="O1470" i="1"/>
  <c r="Q1469" i="1"/>
  <c r="O1469" i="1"/>
  <c r="Q1468" i="1"/>
  <c r="O1468" i="1"/>
  <c r="P1467" i="1"/>
  <c r="P1466" i="1" s="1"/>
  <c r="N1467" i="1"/>
  <c r="N1466" i="1" s="1"/>
  <c r="M1467" i="1"/>
  <c r="M1466" i="1" s="1"/>
  <c r="L1467" i="1"/>
  <c r="L1466" i="1" s="1"/>
  <c r="K1467" i="1"/>
  <c r="K1466" i="1" s="1"/>
  <c r="J1467" i="1"/>
  <c r="J1466" i="1" s="1"/>
  <c r="I1467" i="1"/>
  <c r="I1466" i="1" s="1"/>
  <c r="H1467" i="1"/>
  <c r="H1466" i="1" s="1"/>
  <c r="Q1462" i="1"/>
  <c r="P1459" i="1"/>
  <c r="O1459" i="1"/>
  <c r="N1459" i="1"/>
  <c r="M1459" i="1"/>
  <c r="L1459" i="1"/>
  <c r="Q1460" i="1" s="1"/>
  <c r="K1459" i="1"/>
  <c r="J1459" i="1"/>
  <c r="I1459" i="1"/>
  <c r="H1459" i="1"/>
  <c r="A1460" i="1"/>
  <c r="A1462" i="1" s="1"/>
  <c r="A1468" i="1" s="1"/>
  <c r="A1469" i="1" s="1"/>
  <c r="A1470" i="1" s="1"/>
  <c r="A1478" i="1" s="1"/>
  <c r="A1479" i="1" s="1"/>
  <c r="A1480" i="1" s="1"/>
  <c r="A1481" i="1" s="1"/>
  <c r="A1482" i="1" s="1"/>
  <c r="A1484" i="1" s="1"/>
  <c r="A1486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3" i="1" s="1"/>
  <c r="A1504" i="1" s="1"/>
  <c r="A1505" i="1" s="1"/>
  <c r="A1506" i="1" s="1"/>
  <c r="A1509" i="1" s="1"/>
  <c r="A1515" i="1" s="1"/>
  <c r="A1521" i="1" s="1"/>
  <c r="A1529" i="1" s="1"/>
  <c r="A1530" i="1" s="1"/>
  <c r="A1535" i="1" s="1"/>
  <c r="A1537" i="1" s="1"/>
  <c r="A1542" i="1" s="1"/>
  <c r="A1543" i="1" s="1"/>
  <c r="A1546" i="1" s="1"/>
  <c r="A1547" i="1" s="1"/>
  <c r="A1548" i="1" s="1"/>
  <c r="A1549" i="1" s="1"/>
  <c r="A1550" i="1" s="1"/>
  <c r="A1551" i="1" s="1"/>
  <c r="A1552" i="1" s="1"/>
  <c r="A1559" i="1" s="1"/>
  <c r="A1561" i="1" s="1"/>
  <c r="A1568" i="1" s="1"/>
  <c r="A1569" i="1" s="1"/>
  <c r="A1570" i="1" s="1"/>
  <c r="A1571" i="1" s="1"/>
  <c r="A1572" i="1" s="1"/>
  <c r="A1577" i="1" s="1"/>
  <c r="Q1450" i="1"/>
  <c r="O1449" i="1"/>
  <c r="N1449" i="1"/>
  <c r="M1449" i="1"/>
  <c r="L1449" i="1"/>
  <c r="K1449" i="1"/>
  <c r="J1449" i="1"/>
  <c r="I1449" i="1"/>
  <c r="H1449" i="1"/>
  <c r="Q1448" i="1"/>
  <c r="O1448" i="1"/>
  <c r="O1447" i="1" s="1"/>
  <c r="P1447" i="1"/>
  <c r="N1447" i="1"/>
  <c r="M1447" i="1"/>
  <c r="L1447" i="1"/>
  <c r="K1447" i="1"/>
  <c r="J1447" i="1"/>
  <c r="I1447" i="1"/>
  <c r="H1447" i="1"/>
  <c r="Q1444" i="1"/>
  <c r="O1444" i="1"/>
  <c r="Q1443" i="1"/>
  <c r="O1443" i="1"/>
  <c r="Q1442" i="1"/>
  <c r="O1442" i="1"/>
  <c r="Q1441" i="1"/>
  <c r="O1441" i="1"/>
  <c r="Q1440" i="1"/>
  <c r="O1440" i="1"/>
  <c r="Q1439" i="1"/>
  <c r="O1439" i="1"/>
  <c r="Q1438" i="1"/>
  <c r="O1438" i="1"/>
  <c r="Q1437" i="1"/>
  <c r="O1437" i="1"/>
  <c r="Q1436" i="1"/>
  <c r="O1436" i="1"/>
  <c r="M246" i="3"/>
  <c r="N246" i="3" s="1"/>
  <c r="D246" i="3"/>
  <c r="C246" i="3"/>
  <c r="Q1433" i="1"/>
  <c r="O1433" i="1"/>
  <c r="O1432" i="1" s="1"/>
  <c r="P1432" i="1"/>
  <c r="N1432" i="1"/>
  <c r="M1432" i="1"/>
  <c r="L1432" i="1"/>
  <c r="K1432" i="1"/>
  <c r="J1432" i="1"/>
  <c r="I1432" i="1"/>
  <c r="H1432" i="1"/>
  <c r="Q1431" i="1"/>
  <c r="P1430" i="1"/>
  <c r="O1430" i="1"/>
  <c r="N1430" i="1"/>
  <c r="M1430" i="1"/>
  <c r="K1430" i="1"/>
  <c r="J1430" i="1"/>
  <c r="I1430" i="1"/>
  <c r="H1430" i="1"/>
  <c r="Q1428" i="1"/>
  <c r="O1428" i="1"/>
  <c r="Q1422" i="1"/>
  <c r="Q1421" i="1"/>
  <c r="Q1420" i="1"/>
  <c r="Q1419" i="1"/>
  <c r="Q1418" i="1"/>
  <c r="Q1417" i="1"/>
  <c r="Q1416" i="1"/>
  <c r="P1415" i="1"/>
  <c r="P1414" i="1" s="1"/>
  <c r="P1413" i="1" s="1"/>
  <c r="P1412" i="1" s="1"/>
  <c r="P1410" i="1" s="1"/>
  <c r="N1415" i="1"/>
  <c r="N1414" i="1" s="1"/>
  <c r="N1413" i="1" s="1"/>
  <c r="N1412" i="1" s="1"/>
  <c r="N1410" i="1" s="1"/>
  <c r="M1415" i="1"/>
  <c r="M1414" i="1" s="1"/>
  <c r="M1413" i="1" s="1"/>
  <c r="M1412" i="1" s="1"/>
  <c r="L1415" i="1"/>
  <c r="K1415" i="1"/>
  <c r="J1415" i="1"/>
  <c r="J1414" i="1" s="1"/>
  <c r="I1415" i="1"/>
  <c r="I1414" i="1" s="1"/>
  <c r="H1415" i="1"/>
  <c r="Q1413" i="1"/>
  <c r="O1413" i="1"/>
  <c r="Q1412" i="1"/>
  <c r="O1412" i="1"/>
  <c r="Q1411" i="1"/>
  <c r="O1411" i="1"/>
  <c r="Q1410" i="1"/>
  <c r="O1410" i="1"/>
  <c r="Q1409" i="1"/>
  <c r="O1409" i="1"/>
  <c r="Q1408" i="1"/>
  <c r="O1408" i="1"/>
  <c r="Q1407" i="1"/>
  <c r="O1407" i="1"/>
  <c r="Q1406" i="1"/>
  <c r="O1406" i="1"/>
  <c r="Q1405" i="1"/>
  <c r="O1405" i="1"/>
  <c r="L1404" i="1"/>
  <c r="K1404" i="1"/>
  <c r="J1404" i="1"/>
  <c r="J1403" i="1" s="1"/>
  <c r="I1404" i="1"/>
  <c r="I1403" i="1" s="1"/>
  <c r="H1404" i="1"/>
  <c r="Q1401" i="1"/>
  <c r="Q1399" i="1"/>
  <c r="O1399" i="1"/>
  <c r="O1398" i="1" s="1"/>
  <c r="P1398" i="1"/>
  <c r="N1398" i="1"/>
  <c r="M1398" i="1"/>
  <c r="L1398" i="1"/>
  <c r="K1398" i="1"/>
  <c r="J1398" i="1"/>
  <c r="I1398" i="1"/>
  <c r="H1398" i="1"/>
  <c r="Q1397" i="1"/>
  <c r="Q1396" i="1"/>
  <c r="P1395" i="1"/>
  <c r="O1395" i="1"/>
  <c r="N1395" i="1"/>
  <c r="M1395" i="1"/>
  <c r="L1395" i="1"/>
  <c r="K1395" i="1"/>
  <c r="J1395" i="1"/>
  <c r="I1395" i="1"/>
  <c r="H1395" i="1"/>
  <c r="Q1393" i="1"/>
  <c r="O1393" i="1"/>
  <c r="O1392" i="1" s="1"/>
  <c r="P1392" i="1"/>
  <c r="N1392" i="1"/>
  <c r="M1392" i="1"/>
  <c r="L1392" i="1"/>
  <c r="K1392" i="1"/>
  <c r="J1392" i="1"/>
  <c r="I1392" i="1"/>
  <c r="H1392" i="1"/>
  <c r="L1390" i="1"/>
  <c r="Q1390" i="1" s="1"/>
  <c r="P1389" i="1"/>
  <c r="P1386" i="1" s="1"/>
  <c r="O1389" i="1"/>
  <c r="N1389" i="1"/>
  <c r="N1386" i="1" s="1"/>
  <c r="M1389" i="1"/>
  <c r="K1389" i="1"/>
  <c r="J1389" i="1"/>
  <c r="I1389" i="1"/>
  <c r="H1389" i="1"/>
  <c r="Q1388" i="1"/>
  <c r="O1388" i="1"/>
  <c r="O1387" i="1" s="1"/>
  <c r="Q1385" i="1"/>
  <c r="O1383" i="1"/>
  <c r="N1383" i="1"/>
  <c r="M1383" i="1"/>
  <c r="L1383" i="1"/>
  <c r="K1383" i="1"/>
  <c r="J1383" i="1"/>
  <c r="I1383" i="1"/>
  <c r="H1383" i="1"/>
  <c r="O1380" i="1"/>
  <c r="O1379" i="1" s="1"/>
  <c r="Q1381" i="1"/>
  <c r="P1380" i="1"/>
  <c r="P1379" i="1" s="1"/>
  <c r="N1380" i="1"/>
  <c r="N1379" i="1" s="1"/>
  <c r="M1380" i="1"/>
  <c r="M1379" i="1" s="1"/>
  <c r="L1380" i="1"/>
  <c r="L1379" i="1" s="1"/>
  <c r="K1380" i="1"/>
  <c r="K1379" i="1" s="1"/>
  <c r="J1380" i="1"/>
  <c r="J1379" i="1" s="1"/>
  <c r="I1380" i="1"/>
  <c r="I1379" i="1" s="1"/>
  <c r="H1380" i="1"/>
  <c r="H1379" i="1" s="1"/>
  <c r="Q1376" i="1"/>
  <c r="N1375" i="1"/>
  <c r="P1375" i="1"/>
  <c r="O1375" i="1"/>
  <c r="M1375" i="1"/>
  <c r="L1375" i="1"/>
  <c r="M222" i="3" s="1"/>
  <c r="N222" i="3" s="1"/>
  <c r="K1375" i="1"/>
  <c r="D222" i="3" s="1"/>
  <c r="J1375" i="1"/>
  <c r="I1375" i="1"/>
  <c r="H1375" i="1"/>
  <c r="C222" i="3" s="1"/>
  <c r="Q1374" i="1"/>
  <c r="O1374" i="1"/>
  <c r="O1373" i="1" s="1"/>
  <c r="P1366" i="1"/>
  <c r="P1365" i="1" s="1"/>
  <c r="Q1371" i="1"/>
  <c r="O1371" i="1"/>
  <c r="Q1370" i="1"/>
  <c r="O1370" i="1"/>
  <c r="P1369" i="1"/>
  <c r="N1369" i="1"/>
  <c r="M1369" i="1"/>
  <c r="L1369" i="1"/>
  <c r="K1369" i="1"/>
  <c r="J1369" i="1"/>
  <c r="I1369" i="1"/>
  <c r="H1369" i="1"/>
  <c r="Q1366" i="1"/>
  <c r="P1360" i="1"/>
  <c r="O1360" i="1"/>
  <c r="N1360" i="1"/>
  <c r="M1360" i="1"/>
  <c r="K1360" i="1"/>
  <c r="J1360" i="1"/>
  <c r="I1360" i="1"/>
  <c r="H1360" i="1"/>
  <c r="L1359" i="1"/>
  <c r="Q1359" i="1" s="1"/>
  <c r="L1358" i="1"/>
  <c r="Q1358" i="1" s="1"/>
  <c r="P1357" i="1"/>
  <c r="P1342" i="1" s="1"/>
  <c r="P1341" i="1" s="1"/>
  <c r="O1357" i="1"/>
  <c r="N1357" i="1"/>
  <c r="M1357" i="1"/>
  <c r="K1357" i="1"/>
  <c r="J1357" i="1"/>
  <c r="I1357" i="1"/>
  <c r="H1357" i="1"/>
  <c r="Q1356" i="1"/>
  <c r="O1356" i="1"/>
  <c r="Q1355" i="1"/>
  <c r="O1355" i="1"/>
  <c r="Q1354" i="1"/>
  <c r="O1354" i="1"/>
  <c r="Q1353" i="1"/>
  <c r="O1353" i="1"/>
  <c r="J1353" i="1"/>
  <c r="J1342" i="1" s="1"/>
  <c r="Q1352" i="1"/>
  <c r="O1352" i="1"/>
  <c r="Q1351" i="1"/>
  <c r="O1351" i="1"/>
  <c r="Q1350" i="1"/>
  <c r="O1350" i="1"/>
  <c r="Q1349" i="1"/>
  <c r="O1349" i="1"/>
  <c r="Q1348" i="1"/>
  <c r="O1348" i="1"/>
  <c r="Q1347" i="1"/>
  <c r="O1347" i="1"/>
  <c r="Q1346" i="1"/>
  <c r="O1346" i="1"/>
  <c r="Q1345" i="1"/>
  <c r="O1345" i="1"/>
  <c r="Q1344" i="1"/>
  <c r="O1344" i="1"/>
  <c r="Q1343" i="1"/>
  <c r="O1343" i="1"/>
  <c r="N1342" i="1"/>
  <c r="M1342" i="1"/>
  <c r="L1342" i="1"/>
  <c r="K1342" i="1"/>
  <c r="I1342" i="1"/>
  <c r="H1342" i="1"/>
  <c r="P1339" i="1"/>
  <c r="P1338" i="1" s="1"/>
  <c r="O1339" i="1"/>
  <c r="O1338" i="1" s="1"/>
  <c r="N1339" i="1"/>
  <c r="N1338" i="1" s="1"/>
  <c r="M1339" i="1"/>
  <c r="M1338" i="1" s="1"/>
  <c r="L1339" i="1"/>
  <c r="L1338" i="1" s="1"/>
  <c r="K1339" i="1"/>
  <c r="K1338" i="1" s="1"/>
  <c r="J1339" i="1"/>
  <c r="J1338" i="1" s="1"/>
  <c r="I1339" i="1"/>
  <c r="I1338" i="1" s="1"/>
  <c r="H1339" i="1"/>
  <c r="H1338" i="1" s="1"/>
  <c r="Q1335" i="1"/>
  <c r="Q1334" i="1"/>
  <c r="Q1333" i="1"/>
  <c r="O1333" i="1"/>
  <c r="O1332" i="1" s="1"/>
  <c r="P1331" i="1"/>
  <c r="N1331" i="1"/>
  <c r="M1331" i="1"/>
  <c r="L1331" i="1"/>
  <c r="K1331" i="1"/>
  <c r="J1331" i="1"/>
  <c r="I1331" i="1"/>
  <c r="H1331" i="1"/>
  <c r="Q1327" i="1"/>
  <c r="Q1326" i="1"/>
  <c r="Q1325" i="1"/>
  <c r="Q1324" i="1"/>
  <c r="O1324" i="1"/>
  <c r="O1323" i="1" s="1"/>
  <c r="O1322" i="1" s="1"/>
  <c r="P1322" i="1"/>
  <c r="N1322" i="1"/>
  <c r="M1322" i="1"/>
  <c r="L1322" i="1"/>
  <c r="J1322" i="1"/>
  <c r="I1322" i="1"/>
  <c r="H1322" i="1"/>
  <c r="R1322" i="1"/>
  <c r="Q1322" i="1"/>
  <c r="K1322" i="1"/>
  <c r="Q1311" i="1"/>
  <c r="O1311" i="1"/>
  <c r="Q1310" i="1"/>
  <c r="O1310" i="1"/>
  <c r="Q1309" i="1"/>
  <c r="O1309" i="1"/>
  <c r="O1273" i="1"/>
  <c r="O1272" i="1"/>
  <c r="O1271" i="1"/>
  <c r="Q1270" i="1"/>
  <c r="O1270" i="1"/>
  <c r="Q1257" i="1"/>
  <c r="Q1256" i="1"/>
  <c r="P1255" i="1"/>
  <c r="O1255" i="1"/>
  <c r="N1255" i="1"/>
  <c r="M1255" i="1"/>
  <c r="L1255" i="1"/>
  <c r="M199" i="3" s="1"/>
  <c r="N199" i="3" s="1"/>
  <c r="K1255" i="1"/>
  <c r="D199" i="3" s="1"/>
  <c r="J1255" i="1"/>
  <c r="I1255" i="1"/>
  <c r="Q1254" i="1"/>
  <c r="O1254" i="1"/>
  <c r="Q1253" i="1"/>
  <c r="O1253" i="1"/>
  <c r="Q1252" i="1"/>
  <c r="O1252" i="1"/>
  <c r="Q1251" i="1"/>
  <c r="O1251" i="1"/>
  <c r="Q1250" i="1"/>
  <c r="O1250" i="1"/>
  <c r="Q1249" i="1"/>
  <c r="O1249" i="1"/>
  <c r="Q1248" i="1"/>
  <c r="O1248" i="1"/>
  <c r="Q1247" i="1"/>
  <c r="O1247" i="1"/>
  <c r="Q1246" i="1"/>
  <c r="O1246" i="1"/>
  <c r="Q1245" i="1"/>
  <c r="O1245" i="1"/>
  <c r="Q1244" i="1"/>
  <c r="O1244" i="1"/>
  <c r="Q1243" i="1"/>
  <c r="O1243" i="1"/>
  <c r="Q1242" i="1"/>
  <c r="O1242" i="1"/>
  <c r="Q1241" i="1"/>
  <c r="O1241" i="1"/>
  <c r="Q1240" i="1"/>
  <c r="O1240" i="1"/>
  <c r="Q1239" i="1"/>
  <c r="O1239" i="1"/>
  <c r="Q1238" i="1"/>
  <c r="O1238" i="1"/>
  <c r="Q1237" i="1"/>
  <c r="O1237" i="1"/>
  <c r="Q1236" i="1"/>
  <c r="O1236" i="1"/>
  <c r="Q1235" i="1"/>
  <c r="O1235" i="1"/>
  <c r="Q1234" i="1"/>
  <c r="O1234" i="1"/>
  <c r="Q1233" i="1"/>
  <c r="O1233" i="1"/>
  <c r="Q1232" i="1"/>
  <c r="O1232" i="1"/>
  <c r="Q1231" i="1"/>
  <c r="O1231" i="1"/>
  <c r="Q1230" i="1"/>
  <c r="O1230" i="1"/>
  <c r="Q1229" i="1"/>
  <c r="O1229" i="1"/>
  <c r="Q1228" i="1"/>
  <c r="O1228" i="1"/>
  <c r="Q1227" i="1"/>
  <c r="O1227" i="1"/>
  <c r="Q1226" i="1"/>
  <c r="O1226" i="1"/>
  <c r="Q1225" i="1"/>
  <c r="O1225" i="1"/>
  <c r="Q1224" i="1"/>
  <c r="O1224" i="1"/>
  <c r="Q1223" i="1"/>
  <c r="O1223" i="1"/>
  <c r="Q1222" i="1"/>
  <c r="O1222" i="1"/>
  <c r="Q1221" i="1"/>
  <c r="O1221" i="1"/>
  <c r="Q1220" i="1"/>
  <c r="O1220" i="1"/>
  <c r="Q1219" i="1"/>
  <c r="O1219" i="1"/>
  <c r="Q1218" i="1"/>
  <c r="O1218" i="1"/>
  <c r="Q1217" i="1"/>
  <c r="O1217" i="1"/>
  <c r="Q1216" i="1"/>
  <c r="O1216" i="1"/>
  <c r="Q1215" i="1"/>
  <c r="O1215" i="1"/>
  <c r="Q1214" i="1"/>
  <c r="O1214" i="1"/>
  <c r="Q1213" i="1"/>
  <c r="O1213" i="1"/>
  <c r="Q1212" i="1"/>
  <c r="O1212" i="1"/>
  <c r="Q1211" i="1"/>
  <c r="O1211" i="1"/>
  <c r="Q1210" i="1"/>
  <c r="O1210" i="1"/>
  <c r="Q1209" i="1"/>
  <c r="O1209" i="1"/>
  <c r="Q1208" i="1"/>
  <c r="O1208" i="1"/>
  <c r="Q1207" i="1"/>
  <c r="O1207" i="1"/>
  <c r="Q1206" i="1"/>
  <c r="O1206" i="1"/>
  <c r="Q1205" i="1"/>
  <c r="O1205" i="1"/>
  <c r="Q1204" i="1"/>
  <c r="O1204" i="1"/>
  <c r="Q1203" i="1"/>
  <c r="O1203" i="1"/>
  <c r="Q1202" i="1"/>
  <c r="O1202" i="1"/>
  <c r="Q1201" i="1"/>
  <c r="O1201" i="1"/>
  <c r="Q1200" i="1"/>
  <c r="O1200" i="1"/>
  <c r="Q1199" i="1"/>
  <c r="O1199" i="1"/>
  <c r="Q1198" i="1"/>
  <c r="O1198" i="1"/>
  <c r="Q1197" i="1"/>
  <c r="O1197" i="1"/>
  <c r="Q1196" i="1"/>
  <c r="O1196" i="1"/>
  <c r="Q1195" i="1"/>
  <c r="O1195" i="1"/>
  <c r="Q1194" i="1"/>
  <c r="O1194" i="1"/>
  <c r="Q1193" i="1"/>
  <c r="O1193" i="1"/>
  <c r="Q1192" i="1"/>
  <c r="O1192" i="1"/>
  <c r="Q1191" i="1"/>
  <c r="O1191" i="1"/>
  <c r="Q1190" i="1"/>
  <c r="O1190" i="1"/>
  <c r="Q1189" i="1"/>
  <c r="O1189" i="1"/>
  <c r="Q1188" i="1"/>
  <c r="O1188" i="1"/>
  <c r="Q1187" i="1"/>
  <c r="O1187" i="1"/>
  <c r="Q1186" i="1"/>
  <c r="O1186" i="1"/>
  <c r="Q1185" i="1"/>
  <c r="O1185" i="1"/>
  <c r="Q1184" i="1"/>
  <c r="O1184" i="1"/>
  <c r="Q1183" i="1"/>
  <c r="O1183" i="1"/>
  <c r="Q1182" i="1"/>
  <c r="O1182" i="1"/>
  <c r="Q1181" i="1"/>
  <c r="O1181" i="1"/>
  <c r="Q1180" i="1"/>
  <c r="O1180" i="1"/>
  <c r="Q1179" i="1"/>
  <c r="O1179" i="1"/>
  <c r="Q1178" i="1"/>
  <c r="O1178" i="1"/>
  <c r="Q1177" i="1"/>
  <c r="O1177" i="1"/>
  <c r="Q1176" i="1"/>
  <c r="O1176" i="1"/>
  <c r="Q1175" i="1"/>
  <c r="O1175" i="1"/>
  <c r="Q1174" i="1"/>
  <c r="O1174" i="1"/>
  <c r="Q1173" i="1"/>
  <c r="O1173" i="1"/>
  <c r="Q1172" i="1"/>
  <c r="O1172" i="1"/>
  <c r="Q1171" i="1"/>
  <c r="O1171" i="1"/>
  <c r="Q1170" i="1"/>
  <c r="O1170" i="1"/>
  <c r="Q1169" i="1"/>
  <c r="O1169" i="1"/>
  <c r="Q1168" i="1"/>
  <c r="O1168" i="1"/>
  <c r="Q1167" i="1"/>
  <c r="O1167" i="1"/>
  <c r="Q1166" i="1"/>
  <c r="O1166" i="1"/>
  <c r="Q1165" i="1"/>
  <c r="O1165" i="1"/>
  <c r="Q1164" i="1"/>
  <c r="O1164" i="1"/>
  <c r="Q1163" i="1"/>
  <c r="O1163" i="1"/>
  <c r="Q1162" i="1"/>
  <c r="O1162" i="1"/>
  <c r="Q1161" i="1"/>
  <c r="O1161" i="1"/>
  <c r="Q1160" i="1"/>
  <c r="O1160" i="1"/>
  <c r="Q1159" i="1"/>
  <c r="O1159" i="1"/>
  <c r="Q1158" i="1"/>
  <c r="O1158" i="1"/>
  <c r="Q1157" i="1"/>
  <c r="O1157" i="1"/>
  <c r="Q1156" i="1"/>
  <c r="O1156" i="1"/>
  <c r="Q1155" i="1"/>
  <c r="O1155" i="1"/>
  <c r="Q1154" i="1"/>
  <c r="O1154" i="1"/>
  <c r="Q1153" i="1"/>
  <c r="O1153" i="1"/>
  <c r="Q1152" i="1"/>
  <c r="O1152" i="1"/>
  <c r="Q1151" i="1"/>
  <c r="O1151" i="1"/>
  <c r="Q1150" i="1"/>
  <c r="O1150" i="1"/>
  <c r="Q1149" i="1"/>
  <c r="O1149" i="1"/>
  <c r="Q1148" i="1"/>
  <c r="O1148" i="1"/>
  <c r="Q1147" i="1"/>
  <c r="O1147" i="1"/>
  <c r="Q1146" i="1"/>
  <c r="O1146" i="1"/>
  <c r="Q1145" i="1"/>
  <c r="O1145" i="1"/>
  <c r="Q1144" i="1"/>
  <c r="O1144" i="1"/>
  <c r="Q1143" i="1"/>
  <c r="O1143" i="1"/>
  <c r="Q1142" i="1"/>
  <c r="O1142" i="1"/>
  <c r="Q1141" i="1"/>
  <c r="O1141" i="1"/>
  <c r="Q1140" i="1"/>
  <c r="O1140" i="1"/>
  <c r="Q1139" i="1"/>
  <c r="O1139" i="1"/>
  <c r="Q1138" i="1"/>
  <c r="O1138" i="1"/>
  <c r="Q1137" i="1"/>
  <c r="O1137" i="1"/>
  <c r="Q1136" i="1"/>
  <c r="O1136" i="1"/>
  <c r="Q1135" i="1"/>
  <c r="O1135" i="1"/>
  <c r="Q1134" i="1"/>
  <c r="O1134" i="1"/>
  <c r="Q1133" i="1"/>
  <c r="O1133" i="1"/>
  <c r="Q1132" i="1"/>
  <c r="O1132" i="1"/>
  <c r="Q1131" i="1"/>
  <c r="O1131" i="1"/>
  <c r="Q1130" i="1"/>
  <c r="O1130" i="1"/>
  <c r="Q1129" i="1"/>
  <c r="O1129" i="1"/>
  <c r="Q1128" i="1"/>
  <c r="O1128" i="1"/>
  <c r="Q1127" i="1"/>
  <c r="O1127" i="1"/>
  <c r="Q1126" i="1"/>
  <c r="O1126" i="1"/>
  <c r="Q1125" i="1"/>
  <c r="O1125" i="1"/>
  <c r="Q1124" i="1"/>
  <c r="O1124" i="1"/>
  <c r="Q1123" i="1"/>
  <c r="O1123" i="1"/>
  <c r="Q1122" i="1"/>
  <c r="O1122" i="1"/>
  <c r="Q1121" i="1"/>
  <c r="O1121" i="1"/>
  <c r="Q1120" i="1"/>
  <c r="O1120" i="1"/>
  <c r="Q1119" i="1"/>
  <c r="O1119" i="1"/>
  <c r="Q1118" i="1"/>
  <c r="O1118" i="1"/>
  <c r="Q1117" i="1"/>
  <c r="O1117" i="1"/>
  <c r="Q1116" i="1"/>
  <c r="O1116" i="1"/>
  <c r="Q1115" i="1"/>
  <c r="O1115" i="1"/>
  <c r="Q1114" i="1"/>
  <c r="O1114" i="1"/>
  <c r="Q1113" i="1"/>
  <c r="O1113" i="1"/>
  <c r="Q1112" i="1"/>
  <c r="O1112" i="1"/>
  <c r="Q1111" i="1"/>
  <c r="O1111" i="1"/>
  <c r="Q1110" i="1"/>
  <c r="O1110" i="1"/>
  <c r="Q1109" i="1"/>
  <c r="O1109" i="1"/>
  <c r="Q1108" i="1"/>
  <c r="O1108" i="1"/>
  <c r="Q1107" i="1"/>
  <c r="O1107" i="1"/>
  <c r="Q1106" i="1"/>
  <c r="O1106" i="1"/>
  <c r="Q1105" i="1"/>
  <c r="O1105" i="1"/>
  <c r="Q1104" i="1"/>
  <c r="O1104" i="1"/>
  <c r="Q1103" i="1"/>
  <c r="O1103" i="1"/>
  <c r="Q1102" i="1"/>
  <c r="O1102" i="1"/>
  <c r="Q1101" i="1"/>
  <c r="O1101" i="1"/>
  <c r="Q1100" i="1"/>
  <c r="O1100" i="1"/>
  <c r="Q1099" i="1"/>
  <c r="O1099" i="1"/>
  <c r="Q1098" i="1"/>
  <c r="O1098" i="1"/>
  <c r="Q1097" i="1"/>
  <c r="O1097" i="1"/>
  <c r="Q1096" i="1"/>
  <c r="O1096" i="1"/>
  <c r="Q1095" i="1"/>
  <c r="O1095" i="1"/>
  <c r="Q1094" i="1"/>
  <c r="O1094" i="1"/>
  <c r="Q1093" i="1"/>
  <c r="O1093" i="1"/>
  <c r="Q1092" i="1"/>
  <c r="O1092" i="1"/>
  <c r="Q1091" i="1"/>
  <c r="O1091" i="1"/>
  <c r="Q1090" i="1"/>
  <c r="O1090" i="1"/>
  <c r="Q1089" i="1"/>
  <c r="O1089" i="1"/>
  <c r="Q1088" i="1"/>
  <c r="O1088" i="1"/>
  <c r="A1088" i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70" i="1" s="1"/>
  <c r="A1271" i="1" s="1"/>
  <c r="A1272" i="1" s="1"/>
  <c r="A1273" i="1" s="1"/>
  <c r="A1309" i="1" s="1"/>
  <c r="A1310" i="1" s="1"/>
  <c r="A1324" i="1" s="1"/>
  <c r="A1325" i="1" s="1"/>
  <c r="A1326" i="1" s="1"/>
  <c r="A1327" i="1" s="1"/>
  <c r="A1333" i="1" s="1"/>
  <c r="A1334" i="1" s="1"/>
  <c r="A1335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8" i="1" s="1"/>
  <c r="A1359" i="1" s="1"/>
  <c r="A1366" i="1" s="1"/>
  <c r="A1370" i="1" s="1"/>
  <c r="A1371" i="1" s="1"/>
  <c r="A1374" i="1" s="1"/>
  <c r="A1376" i="1" s="1"/>
  <c r="A1381" i="1" s="1"/>
  <c r="A1385" i="1" s="1"/>
  <c r="A1388" i="1" s="1"/>
  <c r="A1390" i="1" s="1"/>
  <c r="A1393" i="1" s="1"/>
  <c r="A1396" i="1" s="1"/>
  <c r="A1397" i="1" s="1"/>
  <c r="A1399" i="1" s="1"/>
  <c r="A1401" i="1" s="1"/>
  <c r="A1405" i="1" s="1"/>
  <c r="A1406" i="1" s="1"/>
  <c r="A1407" i="1" s="1"/>
  <c r="A1408" i="1" s="1"/>
  <c r="A1409" i="1" s="1"/>
  <c r="A1410" i="1" s="1"/>
  <c r="A1411" i="1" s="1"/>
  <c r="A1412" i="1" s="1"/>
  <c r="A1416" i="1" s="1"/>
  <c r="A1417" i="1" s="1"/>
  <c r="A1418" i="1" s="1"/>
  <c r="A1419" i="1" s="1"/>
  <c r="A1420" i="1" s="1"/>
  <c r="A1421" i="1" s="1"/>
  <c r="A1422" i="1" s="1"/>
  <c r="A1428" i="1" s="1"/>
  <c r="A1431" i="1" s="1"/>
  <c r="A1433" i="1" s="1"/>
  <c r="A1437" i="1" s="1"/>
  <c r="A1438" i="1" s="1"/>
  <c r="A1439" i="1" s="1"/>
  <c r="A1440" i="1" s="1"/>
  <c r="A1441" i="1" s="1"/>
  <c r="A1442" i="1" s="1"/>
  <c r="A1443" i="1" s="1"/>
  <c r="A1444" i="1" s="1"/>
  <c r="A1448" i="1" s="1"/>
  <c r="A1450" i="1" s="1"/>
  <c r="Q1087" i="1"/>
  <c r="O1087" i="1"/>
  <c r="P1086" i="1"/>
  <c r="N1086" i="1"/>
  <c r="M1086" i="1"/>
  <c r="K1086" i="1"/>
  <c r="J1086" i="1"/>
  <c r="I1086" i="1"/>
  <c r="H1086" i="1"/>
  <c r="P1080" i="1"/>
  <c r="V1069" i="2"/>
  <c r="R1080" i="1"/>
  <c r="Q1080" i="1"/>
  <c r="Q1079" i="1"/>
  <c r="O1079" i="1"/>
  <c r="J1079" i="1"/>
  <c r="J1078" i="1" s="1"/>
  <c r="J1077" i="1" s="1"/>
  <c r="N1078" i="1"/>
  <c r="N1077" i="1" s="1"/>
  <c r="M1078" i="1"/>
  <c r="M1077" i="1" s="1"/>
  <c r="L1078" i="1"/>
  <c r="O1078" i="1" s="1"/>
  <c r="O1077" i="1" s="1"/>
  <c r="K1078" i="1"/>
  <c r="K1077" i="1" s="1"/>
  <c r="I1078" i="1"/>
  <c r="I1077" i="1" s="1"/>
  <c r="H1078" i="1"/>
  <c r="H1077" i="1" s="1"/>
  <c r="R1077" i="1"/>
  <c r="Q1077" i="1"/>
  <c r="P1077" i="1"/>
  <c r="Q1074" i="1"/>
  <c r="O1074" i="1"/>
  <c r="Q1073" i="1"/>
  <c r="O1073" i="1"/>
  <c r="H1073" i="1"/>
  <c r="Q1072" i="1"/>
  <c r="O1072" i="1"/>
  <c r="Q1071" i="1"/>
  <c r="O1071" i="1"/>
  <c r="H1071" i="1"/>
  <c r="Q1070" i="1"/>
  <c r="O1070" i="1"/>
  <c r="H1070" i="1"/>
  <c r="P1069" i="1"/>
  <c r="P1068" i="1" s="1"/>
  <c r="P1067" i="1" s="1"/>
  <c r="N1069" i="1"/>
  <c r="N1068" i="1" s="1"/>
  <c r="N1067" i="1" s="1"/>
  <c r="M1069" i="1"/>
  <c r="M1068" i="1" s="1"/>
  <c r="M1067" i="1" s="1"/>
  <c r="L1069" i="1"/>
  <c r="L1068" i="1" s="1"/>
  <c r="L1067" i="1" s="1"/>
  <c r="K1069" i="1"/>
  <c r="K1068" i="1" s="1"/>
  <c r="K1067" i="1" s="1"/>
  <c r="J1069" i="1"/>
  <c r="J1068" i="1" s="1"/>
  <c r="J1067" i="1" s="1"/>
  <c r="I1069" i="1"/>
  <c r="I1068" i="1" s="1"/>
  <c r="I1067" i="1" s="1"/>
  <c r="Q1062" i="1"/>
  <c r="P1061" i="1"/>
  <c r="P1060" i="1" s="1"/>
  <c r="O1061" i="1"/>
  <c r="O1060" i="1" s="1"/>
  <c r="N1061" i="1"/>
  <c r="N1060" i="1" s="1"/>
  <c r="M1061" i="1"/>
  <c r="M1060" i="1" s="1"/>
  <c r="L1061" i="1"/>
  <c r="L1060" i="1" s="1"/>
  <c r="K1061" i="1"/>
  <c r="K1060" i="1" s="1"/>
  <c r="J1061" i="1"/>
  <c r="I1061" i="1"/>
  <c r="I1060" i="1" s="1"/>
  <c r="H1061" i="1"/>
  <c r="H1060" i="1" s="1"/>
  <c r="Q1058" i="1"/>
  <c r="O1058" i="1"/>
  <c r="Q1057" i="1"/>
  <c r="O1057" i="1"/>
  <c r="Q1056" i="1"/>
  <c r="O1056" i="1"/>
  <c r="Q1055" i="1"/>
  <c r="O1055" i="1"/>
  <c r="Q1054" i="1"/>
  <c r="O1054" i="1"/>
  <c r="Q1053" i="1"/>
  <c r="O1053" i="1"/>
  <c r="Q1052" i="1"/>
  <c r="O1052" i="1"/>
  <c r="Q1051" i="1"/>
  <c r="O1051" i="1"/>
  <c r="Q1050" i="1"/>
  <c r="O1050" i="1"/>
  <c r="Q1049" i="1"/>
  <c r="O1049" i="1"/>
  <c r="Q1045" i="1"/>
  <c r="O1043" i="1"/>
  <c r="Q1042" i="1"/>
  <c r="P1041" i="1"/>
  <c r="O1041" i="1"/>
  <c r="N1041" i="1"/>
  <c r="M1041" i="1"/>
  <c r="L1041" i="1"/>
  <c r="K1041" i="1"/>
  <c r="J1041" i="1"/>
  <c r="I1041" i="1"/>
  <c r="H1041" i="1"/>
  <c r="Q1040" i="1"/>
  <c r="P1039" i="1"/>
  <c r="O1039" i="1"/>
  <c r="N1039" i="1"/>
  <c r="M1039" i="1"/>
  <c r="L1039" i="1"/>
  <c r="K1039" i="1"/>
  <c r="J1039" i="1"/>
  <c r="I1039" i="1"/>
  <c r="H1039" i="1"/>
  <c r="Q1037" i="1"/>
  <c r="O1037" i="1"/>
  <c r="Q1036" i="1"/>
  <c r="O1036" i="1"/>
  <c r="Q1035" i="1"/>
  <c r="O1035" i="1"/>
  <c r="Q1034" i="1"/>
  <c r="O1034" i="1"/>
  <c r="P1033" i="1"/>
  <c r="P1032" i="1" s="1"/>
  <c r="N1033" i="1"/>
  <c r="N1032" i="1" s="1"/>
  <c r="M1033" i="1"/>
  <c r="M1032" i="1" s="1"/>
  <c r="L1033" i="1"/>
  <c r="L1032" i="1" s="1"/>
  <c r="K1033" i="1"/>
  <c r="K1032" i="1" s="1"/>
  <c r="J1033" i="1"/>
  <c r="J1032" i="1" s="1"/>
  <c r="I1033" i="1"/>
  <c r="I1032" i="1" s="1"/>
  <c r="H1033" i="1"/>
  <c r="H1032" i="1" s="1"/>
  <c r="Q1031" i="1"/>
  <c r="Q1030" i="1"/>
  <c r="P1029" i="1"/>
  <c r="P1028" i="1" s="1"/>
  <c r="O1029" i="1"/>
  <c r="O1028" i="1" s="1"/>
  <c r="N1029" i="1"/>
  <c r="N1028" i="1" s="1"/>
  <c r="M1029" i="1"/>
  <c r="M1028" i="1" s="1"/>
  <c r="K1029" i="1"/>
  <c r="K1028" i="1" s="1"/>
  <c r="J1029" i="1"/>
  <c r="J1028" i="1" s="1"/>
  <c r="I1029" i="1"/>
  <c r="I1028" i="1" s="1"/>
  <c r="H1029" i="1"/>
  <c r="H1028" i="1" s="1"/>
  <c r="Q1027" i="1"/>
  <c r="O1027" i="1"/>
  <c r="O1026" i="1" s="1"/>
  <c r="O1025" i="1" s="1"/>
  <c r="P1026" i="1"/>
  <c r="P1025" i="1" s="1"/>
  <c r="N1026" i="1"/>
  <c r="N1025" i="1" s="1"/>
  <c r="M1026" i="1"/>
  <c r="M1025" i="1" s="1"/>
  <c r="L1026" i="1"/>
  <c r="L1025" i="1" s="1"/>
  <c r="K1026" i="1"/>
  <c r="K1025" i="1" s="1"/>
  <c r="J1026" i="1"/>
  <c r="J1025" i="1" s="1"/>
  <c r="I1026" i="1"/>
  <c r="I1025" i="1" s="1"/>
  <c r="H1026" i="1"/>
  <c r="Q1020" i="1"/>
  <c r="I1016" i="1"/>
  <c r="Q1015" i="1"/>
  <c r="P1014" i="1"/>
  <c r="P1013" i="1" s="1"/>
  <c r="O1014" i="1"/>
  <c r="O1013" i="1" s="1"/>
  <c r="N1014" i="1"/>
  <c r="N1013" i="1" s="1"/>
  <c r="M1014" i="1"/>
  <c r="M1013" i="1" s="1"/>
  <c r="L1014" i="1"/>
  <c r="L1013" i="1" s="1"/>
  <c r="K1014" i="1"/>
  <c r="K1013" i="1" s="1"/>
  <c r="J1014" i="1"/>
  <c r="J1013" i="1" s="1"/>
  <c r="I1014" i="1"/>
  <c r="I1013" i="1" s="1"/>
  <c r="H1014" i="1"/>
  <c r="H1013" i="1" s="1"/>
  <c r="Q1012" i="1"/>
  <c r="O1012" i="1"/>
  <c r="Q1011" i="1"/>
  <c r="O1011" i="1"/>
  <c r="Q1010" i="1"/>
  <c r="O1010" i="1"/>
  <c r="Q1009" i="1"/>
  <c r="O1009" i="1"/>
  <c r="P1008" i="1"/>
  <c r="P1007" i="1" s="1"/>
  <c r="N1008" i="1"/>
  <c r="N1007" i="1" s="1"/>
  <c r="M1008" i="1"/>
  <c r="M1007" i="1" s="1"/>
  <c r="L1008" i="1"/>
  <c r="L1007" i="1" s="1"/>
  <c r="K1008" i="1"/>
  <c r="K1007" i="1" s="1"/>
  <c r="J1008" i="1"/>
  <c r="J1007" i="1" s="1"/>
  <c r="I1008" i="1"/>
  <c r="I1007" i="1" s="1"/>
  <c r="H1008" i="1"/>
  <c r="H1007" i="1" s="1"/>
  <c r="L1006" i="1"/>
  <c r="Q1006" i="1" s="1"/>
  <c r="L1005" i="1"/>
  <c r="Q1005" i="1" s="1"/>
  <c r="J1005" i="1"/>
  <c r="L1004" i="1"/>
  <c r="Q1004" i="1" s="1"/>
  <c r="L1003" i="1"/>
  <c r="Q1003" i="1" s="1"/>
  <c r="J1003" i="1"/>
  <c r="L1002" i="1"/>
  <c r="Q1002" i="1" s="1"/>
  <c r="L1001" i="1"/>
  <c r="Q1001" i="1" s="1"/>
  <c r="L1000" i="1"/>
  <c r="Q1000" i="1" s="1"/>
  <c r="J1000" i="1"/>
  <c r="L999" i="1"/>
  <c r="Q999" i="1" s="1"/>
  <c r="L998" i="1"/>
  <c r="Q998" i="1" s="1"/>
  <c r="O997" i="1"/>
  <c r="O996" i="1" s="1"/>
  <c r="N997" i="1"/>
  <c r="N996" i="1" s="1"/>
  <c r="M997" i="1"/>
  <c r="M996" i="1" s="1"/>
  <c r="K997" i="1"/>
  <c r="K996" i="1" s="1"/>
  <c r="I997" i="1"/>
  <c r="I996" i="1" s="1"/>
  <c r="H997" i="1"/>
  <c r="H996" i="1" s="1"/>
  <c r="P996" i="1"/>
  <c r="Q995" i="1"/>
  <c r="O995" i="1"/>
  <c r="Q994" i="1"/>
  <c r="O994" i="1"/>
  <c r="P993" i="1"/>
  <c r="P992" i="1" s="1"/>
  <c r="N993" i="1"/>
  <c r="N992" i="1" s="1"/>
  <c r="M993" i="1"/>
  <c r="M992" i="1" s="1"/>
  <c r="L993" i="1"/>
  <c r="K993" i="1"/>
  <c r="J993" i="1"/>
  <c r="J992" i="1" s="1"/>
  <c r="I993" i="1"/>
  <c r="I992" i="1" s="1"/>
  <c r="H993" i="1"/>
  <c r="O991" i="1"/>
  <c r="O990" i="1" s="1"/>
  <c r="I991" i="1"/>
  <c r="Q991" i="1" s="1"/>
  <c r="P990" i="1"/>
  <c r="N990" i="1"/>
  <c r="M990" i="1"/>
  <c r="L990" i="1"/>
  <c r="K990" i="1"/>
  <c r="J990" i="1"/>
  <c r="H990" i="1"/>
  <c r="Q989" i="1"/>
  <c r="O989" i="1"/>
  <c r="O986" i="1" s="1"/>
  <c r="R978" i="1"/>
  <c r="Q978" i="1"/>
  <c r="O973" i="1"/>
  <c r="Q975" i="1"/>
  <c r="R973" i="1"/>
  <c r="Q973" i="1"/>
  <c r="P973" i="1"/>
  <c r="N973" i="1"/>
  <c r="M973" i="1"/>
  <c r="L973" i="1"/>
  <c r="K973" i="1"/>
  <c r="J973" i="1"/>
  <c r="I973" i="1"/>
  <c r="H973" i="1"/>
  <c r="Q972" i="1"/>
  <c r="O972" i="1"/>
  <c r="Q971" i="1"/>
  <c r="O971" i="1"/>
  <c r="Q970" i="1"/>
  <c r="O970" i="1"/>
  <c r="P969" i="1"/>
  <c r="P968" i="1" s="1"/>
  <c r="N969" i="1"/>
  <c r="N968" i="1" s="1"/>
  <c r="M969" i="1"/>
  <c r="M968" i="1" s="1"/>
  <c r="L969" i="1"/>
  <c r="L968" i="1" s="1"/>
  <c r="K969" i="1"/>
  <c r="K968" i="1" s="1"/>
  <c r="J969" i="1"/>
  <c r="J968" i="1" s="1"/>
  <c r="I969" i="1"/>
  <c r="I968" i="1" s="1"/>
  <c r="H969" i="1"/>
  <c r="H968" i="1" s="1"/>
  <c r="Q964" i="1"/>
  <c r="P961" i="1"/>
  <c r="O961" i="1"/>
  <c r="N961" i="1"/>
  <c r="M961" i="1"/>
  <c r="L961" i="1"/>
  <c r="Q962" i="1" s="1"/>
  <c r="K961" i="1"/>
  <c r="J961" i="1"/>
  <c r="I961" i="1"/>
  <c r="H961" i="1"/>
  <c r="A1049" i="1"/>
  <c r="A1050" i="1" s="1"/>
  <c r="A1051" i="1" s="1"/>
  <c r="A1052" i="1" s="1"/>
  <c r="A1053" i="1" s="1"/>
  <c r="A1054" i="1" s="1"/>
  <c r="A1055" i="1" s="1"/>
  <c r="A1056" i="1" s="1"/>
  <c r="A1057" i="1" s="1"/>
  <c r="A1058" i="1" s="1"/>
  <c r="A1062" i="1" s="1"/>
  <c r="A1070" i="1" s="1"/>
  <c r="A1071" i="1" s="1"/>
  <c r="A1072" i="1" s="1"/>
  <c r="A1073" i="1" s="1"/>
  <c r="A1074" i="1" s="1"/>
  <c r="A1079" i="1" s="1"/>
  <c r="Q948" i="1"/>
  <c r="O947" i="1"/>
  <c r="N947" i="1"/>
  <c r="M947" i="1"/>
  <c r="L947" i="1"/>
  <c r="K947" i="1"/>
  <c r="J947" i="1"/>
  <c r="I947" i="1"/>
  <c r="H947" i="1"/>
  <c r="Q946" i="1"/>
  <c r="O946" i="1"/>
  <c r="O945" i="1" s="1"/>
  <c r="P945" i="1"/>
  <c r="N945" i="1"/>
  <c r="M945" i="1"/>
  <c r="L945" i="1"/>
  <c r="K945" i="1"/>
  <c r="J945" i="1"/>
  <c r="I945" i="1"/>
  <c r="H945" i="1"/>
  <c r="Q944" i="1"/>
  <c r="O944" i="1"/>
  <c r="Q943" i="1"/>
  <c r="O943" i="1"/>
  <c r="Q942" i="1"/>
  <c r="O942" i="1"/>
  <c r="Q941" i="1"/>
  <c r="O941" i="1"/>
  <c r="Q940" i="1"/>
  <c r="O940" i="1"/>
  <c r="Q939" i="1"/>
  <c r="C152" i="3"/>
  <c r="Q936" i="1"/>
  <c r="O936" i="1"/>
  <c r="O935" i="1" s="1"/>
  <c r="P935" i="1"/>
  <c r="N935" i="1"/>
  <c r="M935" i="1"/>
  <c r="L935" i="1"/>
  <c r="L929" i="1" s="1"/>
  <c r="K935" i="1"/>
  <c r="J935" i="1"/>
  <c r="I935" i="1"/>
  <c r="H935" i="1"/>
  <c r="Q934" i="1"/>
  <c r="P933" i="1"/>
  <c r="O933" i="1"/>
  <c r="N933" i="1"/>
  <c r="M933" i="1"/>
  <c r="K933" i="1"/>
  <c r="J933" i="1"/>
  <c r="I933" i="1"/>
  <c r="H933" i="1"/>
  <c r="Q931" i="1"/>
  <c r="O931" i="1"/>
  <c r="O930" i="1" s="1"/>
  <c r="Q925" i="1"/>
  <c r="Q924" i="1"/>
  <c r="Q923" i="1"/>
  <c r="Q922" i="1"/>
  <c r="Q921" i="1"/>
  <c r="Q920" i="1"/>
  <c r="Q919" i="1"/>
  <c r="Q918" i="1"/>
  <c r="P917" i="1"/>
  <c r="P916" i="1" s="1"/>
  <c r="P915" i="1" s="1"/>
  <c r="N917" i="1"/>
  <c r="N916" i="1" s="1"/>
  <c r="N915" i="1" s="1"/>
  <c r="M917" i="1"/>
  <c r="M916" i="1" s="1"/>
  <c r="M915" i="1" s="1"/>
  <c r="L917" i="1"/>
  <c r="K917" i="1"/>
  <c r="J917" i="1"/>
  <c r="J916" i="1" s="1"/>
  <c r="I917" i="1"/>
  <c r="I916" i="1" s="1"/>
  <c r="H917" i="1"/>
  <c r="Q915" i="1"/>
  <c r="O915" i="1"/>
  <c r="Q914" i="1"/>
  <c r="O914" i="1"/>
  <c r="Q913" i="1"/>
  <c r="O913" i="1"/>
  <c r="Q912" i="1"/>
  <c r="O912" i="1"/>
  <c r="Q911" i="1"/>
  <c r="O911" i="1"/>
  <c r="Q910" i="1"/>
  <c r="O910" i="1"/>
  <c r="L909" i="1"/>
  <c r="K909" i="1"/>
  <c r="J909" i="1"/>
  <c r="J908" i="1" s="1"/>
  <c r="I909" i="1"/>
  <c r="I908" i="1" s="1"/>
  <c r="H908" i="1"/>
  <c r="Q906" i="1"/>
  <c r="Q904" i="1"/>
  <c r="O904" i="1"/>
  <c r="O903" i="1" s="1"/>
  <c r="P903" i="1"/>
  <c r="N903" i="1"/>
  <c r="M903" i="1"/>
  <c r="L903" i="1"/>
  <c r="K903" i="1"/>
  <c r="J903" i="1"/>
  <c r="I903" i="1"/>
  <c r="H903" i="1"/>
  <c r="Q902" i="1"/>
  <c r="Q901" i="1"/>
  <c r="P900" i="1"/>
  <c r="O900" i="1"/>
  <c r="N900" i="1"/>
  <c r="M900" i="1"/>
  <c r="L900" i="1"/>
  <c r="K900" i="1"/>
  <c r="J900" i="1"/>
  <c r="I900" i="1"/>
  <c r="H900" i="1"/>
  <c r="Q898" i="1"/>
  <c r="O898" i="1"/>
  <c r="O897" i="1" s="1"/>
  <c r="P897" i="1"/>
  <c r="N897" i="1"/>
  <c r="M897" i="1"/>
  <c r="L897" i="1"/>
  <c r="K897" i="1"/>
  <c r="J897" i="1"/>
  <c r="I897" i="1"/>
  <c r="H897" i="1"/>
  <c r="L895" i="1"/>
  <c r="Q895" i="1" s="1"/>
  <c r="P894" i="1"/>
  <c r="P889" i="1" s="1"/>
  <c r="O894" i="1"/>
  <c r="N894" i="1"/>
  <c r="N889" i="1" s="1"/>
  <c r="M894" i="1"/>
  <c r="K894" i="1"/>
  <c r="J894" i="1"/>
  <c r="I894" i="1"/>
  <c r="H894" i="1"/>
  <c r="Q892" i="1"/>
  <c r="O892" i="1"/>
  <c r="Q891" i="1"/>
  <c r="O891" i="1"/>
  <c r="Q888" i="1"/>
  <c r="O886" i="1"/>
  <c r="N886" i="1"/>
  <c r="M886" i="1"/>
  <c r="L886" i="1"/>
  <c r="K886" i="1"/>
  <c r="J886" i="1"/>
  <c r="I886" i="1"/>
  <c r="H886" i="1"/>
  <c r="O883" i="1"/>
  <c r="O882" i="1" s="1"/>
  <c r="Q884" i="1"/>
  <c r="P883" i="1"/>
  <c r="P882" i="1" s="1"/>
  <c r="N883" i="1"/>
  <c r="N882" i="1" s="1"/>
  <c r="M883" i="1"/>
  <c r="M882" i="1" s="1"/>
  <c r="L883" i="1"/>
  <c r="L882" i="1" s="1"/>
  <c r="K883" i="1"/>
  <c r="K882" i="1" s="1"/>
  <c r="J883" i="1"/>
  <c r="J882" i="1" s="1"/>
  <c r="I883" i="1"/>
  <c r="I882" i="1" s="1"/>
  <c r="H883" i="1"/>
  <c r="H882" i="1" s="1"/>
  <c r="N880" i="1"/>
  <c r="P880" i="1"/>
  <c r="O880" i="1"/>
  <c r="M880" i="1"/>
  <c r="L880" i="1"/>
  <c r="K880" i="1"/>
  <c r="J880" i="1"/>
  <c r="I880" i="1"/>
  <c r="H880" i="1"/>
  <c r="Q879" i="1"/>
  <c r="O879" i="1"/>
  <c r="O878" i="1" s="1"/>
  <c r="L128" i="3"/>
  <c r="D128" i="3"/>
  <c r="C128" i="3"/>
  <c r="Q877" i="1"/>
  <c r="N876" i="1"/>
  <c r="P876" i="1"/>
  <c r="P869" i="1" s="1"/>
  <c r="O876" i="1"/>
  <c r="M876" i="1"/>
  <c r="L876" i="1"/>
  <c r="K876" i="1"/>
  <c r="J876" i="1"/>
  <c r="I876" i="1"/>
  <c r="H876" i="1"/>
  <c r="Q875" i="1"/>
  <c r="O875" i="1"/>
  <c r="O874" i="1" s="1"/>
  <c r="Q871" i="1"/>
  <c r="O871" i="1"/>
  <c r="Q870" i="1"/>
  <c r="O870" i="1"/>
  <c r="Q869" i="1"/>
  <c r="N868" i="1"/>
  <c r="M868" i="1"/>
  <c r="L868" i="1"/>
  <c r="K868" i="1"/>
  <c r="J868" i="1"/>
  <c r="I868" i="1"/>
  <c r="H868" i="1"/>
  <c r="O863" i="1"/>
  <c r="N863" i="1"/>
  <c r="K863" i="1"/>
  <c r="J863" i="1"/>
  <c r="H863" i="1"/>
  <c r="P863" i="1"/>
  <c r="M863" i="1"/>
  <c r="I863" i="1"/>
  <c r="L862" i="1"/>
  <c r="Q862" i="1" s="1"/>
  <c r="L861" i="1"/>
  <c r="Q861" i="1" s="1"/>
  <c r="P860" i="1"/>
  <c r="P845" i="1" s="1"/>
  <c r="P844" i="1" s="1"/>
  <c r="O860" i="1"/>
  <c r="N860" i="1"/>
  <c r="M860" i="1"/>
  <c r="K860" i="1"/>
  <c r="J860" i="1"/>
  <c r="I860" i="1"/>
  <c r="H860" i="1"/>
  <c r="Q859" i="1"/>
  <c r="O859" i="1"/>
  <c r="Q858" i="1"/>
  <c r="O858" i="1"/>
  <c r="Q857" i="1"/>
  <c r="O857" i="1"/>
  <c r="Q856" i="1"/>
  <c r="O856" i="1"/>
  <c r="J856" i="1"/>
  <c r="J845" i="1" s="1"/>
  <c r="Q855" i="1"/>
  <c r="O855" i="1"/>
  <c r="Q854" i="1"/>
  <c r="O854" i="1"/>
  <c r="Q853" i="1"/>
  <c r="O853" i="1"/>
  <c r="Q852" i="1"/>
  <c r="O852" i="1"/>
  <c r="Q851" i="1"/>
  <c r="O851" i="1"/>
  <c r="Q850" i="1"/>
  <c r="O850" i="1"/>
  <c r="Q849" i="1"/>
  <c r="O849" i="1"/>
  <c r="Q848" i="1"/>
  <c r="O848" i="1"/>
  <c r="Q847" i="1"/>
  <c r="O847" i="1"/>
  <c r="Q846" i="1"/>
  <c r="O846" i="1"/>
  <c r="N845" i="1"/>
  <c r="M845" i="1"/>
  <c r="L845" i="1"/>
  <c r="K845" i="1"/>
  <c r="I845" i="1"/>
  <c r="H845" i="1"/>
  <c r="P842" i="1"/>
  <c r="P841" i="1" s="1"/>
  <c r="O842" i="1"/>
  <c r="O841" i="1" s="1"/>
  <c r="N842" i="1"/>
  <c r="N841" i="1" s="1"/>
  <c r="M842" i="1"/>
  <c r="M841" i="1" s="1"/>
  <c r="L842" i="1"/>
  <c r="K842" i="1"/>
  <c r="K841" i="1" s="1"/>
  <c r="J842" i="1"/>
  <c r="J841" i="1" s="1"/>
  <c r="I842" i="1"/>
  <c r="I841" i="1" s="1"/>
  <c r="H842" i="1"/>
  <c r="H841" i="1" s="1"/>
  <c r="Q840" i="1"/>
  <c r="Q839" i="1"/>
  <c r="Q838" i="1"/>
  <c r="Q837" i="1"/>
  <c r="Q836" i="1"/>
  <c r="O836" i="1"/>
  <c r="P835" i="1"/>
  <c r="P834" i="1" s="1"/>
  <c r="N835" i="1"/>
  <c r="N834" i="1" s="1"/>
  <c r="M835" i="1"/>
  <c r="M834" i="1" s="1"/>
  <c r="L835" i="1"/>
  <c r="L834" i="1" s="1"/>
  <c r="K835" i="1"/>
  <c r="K834" i="1" s="1"/>
  <c r="J835" i="1"/>
  <c r="J834" i="1" s="1"/>
  <c r="I835" i="1"/>
  <c r="I834" i="1" s="1"/>
  <c r="H835" i="1"/>
  <c r="Q828" i="1"/>
  <c r="O828" i="1"/>
  <c r="O826" i="1" s="1"/>
  <c r="O825" i="1" s="1"/>
  <c r="Q827" i="1"/>
  <c r="M825" i="1"/>
  <c r="K825" i="1"/>
  <c r="I825" i="1"/>
  <c r="H825" i="1"/>
  <c r="R825" i="1"/>
  <c r="Q825" i="1"/>
  <c r="P825" i="1"/>
  <c r="N825" i="1"/>
  <c r="L825" i="1"/>
  <c r="J825" i="1"/>
  <c r="Q814" i="1"/>
  <c r="O814" i="1"/>
  <c r="Q813" i="1"/>
  <c r="O813" i="1"/>
  <c r="Q812" i="1"/>
  <c r="O812" i="1"/>
  <c r="Q811" i="1"/>
  <c r="O811" i="1"/>
  <c r="Q810" i="1"/>
  <c r="O810" i="1"/>
  <c r="Q805" i="1"/>
  <c r="O805" i="1"/>
  <c r="Q804" i="1"/>
  <c r="O804" i="1"/>
  <c r="Q803" i="1"/>
  <c r="O803" i="1"/>
  <c r="Q802" i="1"/>
  <c r="O802" i="1"/>
  <c r="Q801" i="1"/>
  <c r="O801" i="1"/>
  <c r="Q800" i="1"/>
  <c r="O800" i="1"/>
  <c r="Q799" i="1"/>
  <c r="O799" i="1"/>
  <c r="Q798" i="1"/>
  <c r="O798" i="1"/>
  <c r="Q797" i="1"/>
  <c r="O797" i="1"/>
  <c r="Q772" i="1"/>
  <c r="O772" i="1"/>
  <c r="Q771" i="1"/>
  <c r="O771" i="1"/>
  <c r="Q769" i="1"/>
  <c r="Q766" i="1"/>
  <c r="Q759" i="1"/>
  <c r="Q758" i="1"/>
  <c r="Q757" i="1"/>
  <c r="Q756" i="1"/>
  <c r="Q755" i="1"/>
  <c r="Q754" i="1"/>
  <c r="P753" i="1"/>
  <c r="O753" i="1"/>
  <c r="N753" i="1"/>
  <c r="M753" i="1"/>
  <c r="L753" i="1"/>
  <c r="M106" i="3" s="1"/>
  <c r="K753" i="1"/>
  <c r="D106" i="3" s="1"/>
  <c r="J753" i="1"/>
  <c r="I753" i="1"/>
  <c r="H753" i="1"/>
  <c r="C106" i="3" s="1"/>
  <c r="Q752" i="1"/>
  <c r="O752" i="1"/>
  <c r="Q751" i="1"/>
  <c r="O751" i="1"/>
  <c r="Q750" i="1"/>
  <c r="O750" i="1"/>
  <c r="Q749" i="1"/>
  <c r="O749" i="1"/>
  <c r="Q748" i="1"/>
  <c r="O748" i="1"/>
  <c r="Q747" i="1"/>
  <c r="O747" i="1"/>
  <c r="Q746" i="1"/>
  <c r="O746" i="1"/>
  <c r="Q745" i="1"/>
  <c r="O745" i="1"/>
  <c r="Q744" i="1"/>
  <c r="O744" i="1"/>
  <c r="Q743" i="1"/>
  <c r="O743" i="1"/>
  <c r="Q742" i="1"/>
  <c r="O742" i="1"/>
  <c r="Q741" i="1"/>
  <c r="O741" i="1"/>
  <c r="Q740" i="1"/>
  <c r="O740" i="1"/>
  <c r="Q739" i="1"/>
  <c r="O739" i="1"/>
  <c r="Q738" i="1"/>
  <c r="O738" i="1"/>
  <c r="Q737" i="1"/>
  <c r="O737" i="1"/>
  <c r="Q736" i="1"/>
  <c r="O736" i="1"/>
  <c r="Q735" i="1"/>
  <c r="O735" i="1"/>
  <c r="Q734" i="1"/>
  <c r="O734" i="1"/>
  <c r="Q733" i="1"/>
  <c r="O733" i="1"/>
  <c r="Q732" i="1"/>
  <c r="O732" i="1"/>
  <c r="Q731" i="1"/>
  <c r="O731" i="1"/>
  <c r="Q730" i="1"/>
  <c r="O730" i="1"/>
  <c r="Q729" i="1"/>
  <c r="O729" i="1"/>
  <c r="Q728" i="1"/>
  <c r="O728" i="1"/>
  <c r="Q727" i="1"/>
  <c r="O727" i="1"/>
  <c r="Q726" i="1"/>
  <c r="O726" i="1"/>
  <c r="Q725" i="1"/>
  <c r="O725" i="1"/>
  <c r="Q724" i="1"/>
  <c r="O724" i="1"/>
  <c r="Q723" i="1"/>
  <c r="O723" i="1"/>
  <c r="Q722" i="1"/>
  <c r="O722" i="1"/>
  <c r="Q721" i="1"/>
  <c r="O721" i="1"/>
  <c r="Q720" i="1"/>
  <c r="O720" i="1"/>
  <c r="Q719" i="1"/>
  <c r="O719" i="1"/>
  <c r="Q718" i="1"/>
  <c r="O718" i="1"/>
  <c r="Q717" i="1"/>
  <c r="O717" i="1"/>
  <c r="Q716" i="1"/>
  <c r="O716" i="1"/>
  <c r="Q715" i="1"/>
  <c r="O715" i="1"/>
  <c r="Q714" i="1"/>
  <c r="O714" i="1"/>
  <c r="Q713" i="1"/>
  <c r="O713" i="1"/>
  <c r="Q712" i="1"/>
  <c r="O712" i="1"/>
  <c r="Q711" i="1"/>
  <c r="O711" i="1"/>
  <c r="Q710" i="1"/>
  <c r="O710" i="1"/>
  <c r="Q709" i="1"/>
  <c r="O709" i="1"/>
  <c r="Q708" i="1"/>
  <c r="O708" i="1"/>
  <c r="Q707" i="1"/>
  <c r="O707" i="1"/>
  <c r="Q706" i="1"/>
  <c r="O706" i="1"/>
  <c r="Q705" i="1"/>
  <c r="O705" i="1"/>
  <c r="Q704" i="1"/>
  <c r="O704" i="1"/>
  <c r="Q703" i="1"/>
  <c r="O703" i="1"/>
  <c r="Q702" i="1"/>
  <c r="O702" i="1"/>
  <c r="Q701" i="1"/>
  <c r="O701" i="1"/>
  <c r="Q700" i="1"/>
  <c r="O700" i="1"/>
  <c r="Q699" i="1"/>
  <c r="O699" i="1"/>
  <c r="Q698" i="1"/>
  <c r="O698" i="1"/>
  <c r="Q697" i="1"/>
  <c r="O697" i="1"/>
  <c r="Q696" i="1"/>
  <c r="O696" i="1"/>
  <c r="Q695" i="1"/>
  <c r="O695" i="1"/>
  <c r="Q694" i="1"/>
  <c r="O694" i="1"/>
  <c r="Q693" i="1"/>
  <c r="O693" i="1"/>
  <c r="Q692" i="1"/>
  <c r="O692" i="1"/>
  <c r="Q691" i="1"/>
  <c r="O691" i="1"/>
  <c r="Q690" i="1"/>
  <c r="O690" i="1"/>
  <c r="Q689" i="1"/>
  <c r="O689" i="1"/>
  <c r="Q688" i="1"/>
  <c r="O688" i="1"/>
  <c r="Q687" i="1"/>
  <c r="O687" i="1"/>
  <c r="Q686" i="1"/>
  <c r="O686" i="1"/>
  <c r="Q685" i="1"/>
  <c r="O685" i="1"/>
  <c r="Q684" i="1"/>
  <c r="O684" i="1"/>
  <c r="Q683" i="1"/>
  <c r="O683" i="1"/>
  <c r="Q682" i="1"/>
  <c r="O682" i="1"/>
  <c r="Q681" i="1"/>
  <c r="O681" i="1"/>
  <c r="Q680" i="1"/>
  <c r="O680" i="1"/>
  <c r="Q679" i="1"/>
  <c r="O679" i="1"/>
  <c r="Q678" i="1"/>
  <c r="O678" i="1"/>
  <c r="Q677" i="1"/>
  <c r="O677" i="1"/>
  <c r="Q676" i="1"/>
  <c r="O676" i="1"/>
  <c r="Q675" i="1"/>
  <c r="O675" i="1"/>
  <c r="Q674" i="1"/>
  <c r="O674" i="1"/>
  <c r="Q673" i="1"/>
  <c r="O673" i="1"/>
  <c r="Q672" i="1"/>
  <c r="O672" i="1"/>
  <c r="Q671" i="1"/>
  <c r="O671" i="1"/>
  <c r="Q670" i="1"/>
  <c r="O670" i="1"/>
  <c r="Q669" i="1"/>
  <c r="O669" i="1"/>
  <c r="Q668" i="1"/>
  <c r="O668" i="1"/>
  <c r="Q667" i="1"/>
  <c r="O667" i="1"/>
  <c r="Q666" i="1"/>
  <c r="O666" i="1"/>
  <c r="Q665" i="1"/>
  <c r="O665" i="1"/>
  <c r="Q664" i="1"/>
  <c r="O664" i="1"/>
  <c r="Q663" i="1"/>
  <c r="O663" i="1"/>
  <c r="Q662" i="1"/>
  <c r="O662" i="1"/>
  <c r="Q661" i="1"/>
  <c r="O661" i="1"/>
  <c r="Q660" i="1"/>
  <c r="O660" i="1"/>
  <c r="Q659" i="1"/>
  <c r="O659" i="1"/>
  <c r="Q658" i="1"/>
  <c r="O658" i="1"/>
  <c r="Q657" i="1"/>
  <c r="O657" i="1"/>
  <c r="Q656" i="1"/>
  <c r="O656" i="1"/>
  <c r="Q655" i="1"/>
  <c r="O655" i="1"/>
  <c r="Q654" i="1"/>
  <c r="O654" i="1"/>
  <c r="Q653" i="1"/>
  <c r="O653" i="1"/>
  <c r="Q652" i="1"/>
  <c r="O652" i="1"/>
  <c r="Q651" i="1"/>
  <c r="O651" i="1"/>
  <c r="Q650" i="1"/>
  <c r="O650" i="1"/>
  <c r="Q649" i="1"/>
  <c r="O649" i="1"/>
  <c r="Q648" i="1"/>
  <c r="O648" i="1"/>
  <c r="Q647" i="1"/>
  <c r="O647" i="1"/>
  <c r="Q646" i="1"/>
  <c r="O646" i="1"/>
  <c r="Q645" i="1"/>
  <c r="O645" i="1"/>
  <c r="Q644" i="1"/>
  <c r="O644" i="1"/>
  <c r="Q643" i="1"/>
  <c r="O643" i="1"/>
  <c r="Q642" i="1"/>
  <c r="O642" i="1"/>
  <c r="Q641" i="1"/>
  <c r="O641" i="1"/>
  <c r="Q640" i="1"/>
  <c r="O640" i="1"/>
  <c r="Q639" i="1"/>
  <c r="O639" i="1"/>
  <c r="Q638" i="1"/>
  <c r="O638" i="1"/>
  <c r="Q637" i="1"/>
  <c r="O637" i="1"/>
  <c r="Q636" i="1"/>
  <c r="O636" i="1"/>
  <c r="Q635" i="1"/>
  <c r="O635" i="1"/>
  <c r="Q634" i="1"/>
  <c r="O634" i="1"/>
  <c r="Q633" i="1"/>
  <c r="O633" i="1"/>
  <c r="Q632" i="1"/>
  <c r="O632" i="1"/>
  <c r="Q631" i="1"/>
  <c r="O631" i="1"/>
  <c r="Q630" i="1"/>
  <c r="O630" i="1"/>
  <c r="Q629" i="1"/>
  <c r="O629" i="1"/>
  <c r="Q628" i="1"/>
  <c r="O628" i="1"/>
  <c r="Q627" i="1"/>
  <c r="O627" i="1"/>
  <c r="Q626" i="1"/>
  <c r="O626" i="1"/>
  <c r="Q625" i="1"/>
  <c r="O625" i="1"/>
  <c r="Q624" i="1"/>
  <c r="O624" i="1"/>
  <c r="Q623" i="1"/>
  <c r="O623" i="1"/>
  <c r="Q622" i="1"/>
  <c r="O622" i="1"/>
  <c r="Q621" i="1"/>
  <c r="O621" i="1"/>
  <c r="Q620" i="1"/>
  <c r="O620" i="1"/>
  <c r="Q619" i="1"/>
  <c r="O619" i="1"/>
  <c r="Q618" i="1"/>
  <c r="O618" i="1"/>
  <c r="Q617" i="1"/>
  <c r="O617" i="1"/>
  <c r="Q616" i="1"/>
  <c r="O616" i="1"/>
  <c r="Q615" i="1"/>
  <c r="O615" i="1"/>
  <c r="Q614" i="1"/>
  <c r="O614" i="1"/>
  <c r="Q613" i="1"/>
  <c r="O613" i="1"/>
  <c r="Q612" i="1"/>
  <c r="O612" i="1"/>
  <c r="Q611" i="1"/>
  <c r="O611" i="1"/>
  <c r="Q610" i="1"/>
  <c r="O610" i="1"/>
  <c r="Q609" i="1"/>
  <c r="O609" i="1"/>
  <c r="Q608" i="1"/>
  <c r="O608" i="1"/>
  <c r="Q607" i="1"/>
  <c r="O607" i="1"/>
  <c r="Q606" i="1"/>
  <c r="O606" i="1"/>
  <c r="Q605" i="1"/>
  <c r="O605" i="1"/>
  <c r="Q604" i="1"/>
  <c r="O604" i="1"/>
  <c r="Q603" i="1"/>
  <c r="O603" i="1"/>
  <c r="Q602" i="1"/>
  <c r="O602" i="1"/>
  <c r="Q601" i="1"/>
  <c r="O601" i="1"/>
  <c r="Q600" i="1"/>
  <c r="O600" i="1"/>
  <c r="Q599" i="1"/>
  <c r="O599" i="1"/>
  <c r="Q598" i="1"/>
  <c r="O598" i="1"/>
  <c r="Q597" i="1"/>
  <c r="O597" i="1"/>
  <c r="Q596" i="1"/>
  <c r="O596" i="1"/>
  <c r="Q595" i="1"/>
  <c r="O595" i="1"/>
  <c r="Q594" i="1"/>
  <c r="O594" i="1"/>
  <c r="Q593" i="1"/>
  <c r="O593" i="1"/>
  <c r="Q592" i="1"/>
  <c r="O592" i="1"/>
  <c r="Q591" i="1"/>
  <c r="O591" i="1"/>
  <c r="Q590" i="1"/>
  <c r="O590" i="1"/>
  <c r="Q589" i="1"/>
  <c r="O589" i="1"/>
  <c r="Q588" i="1"/>
  <c r="O588" i="1"/>
  <c r="Q587" i="1"/>
  <c r="O587" i="1"/>
  <c r="Q586" i="1"/>
  <c r="O586" i="1"/>
  <c r="A586" i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5" i="1" s="1"/>
  <c r="A756" i="1" s="1"/>
  <c r="A758" i="1" s="1"/>
  <c r="A759" i="1" s="1"/>
  <c r="A769" i="1" s="1"/>
  <c r="A771" i="1" s="1"/>
  <c r="A772" i="1" s="1"/>
  <c r="A797" i="1" s="1"/>
  <c r="A798" i="1" s="1"/>
  <c r="A799" i="1" s="1"/>
  <c r="A800" i="1" s="1"/>
  <c r="A801" i="1" s="1"/>
  <c r="A802" i="1" s="1"/>
  <c r="A803" i="1" s="1"/>
  <c r="A804" i="1" s="1"/>
  <c r="A805" i="1" s="1"/>
  <c r="A810" i="1" s="1"/>
  <c r="A811" i="1" s="1"/>
  <c r="A812" i="1" s="1"/>
  <c r="A813" i="1" s="1"/>
  <c r="A814" i="1" s="1"/>
  <c r="A827" i="1" s="1"/>
  <c r="A828" i="1" s="1"/>
  <c r="A836" i="1" s="1"/>
  <c r="A837" i="1" s="1"/>
  <c r="A838" i="1" s="1"/>
  <c r="A839" i="1" s="1"/>
  <c r="A840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1" i="1" s="1"/>
  <c r="A862" i="1" s="1"/>
  <c r="A869" i="1" s="1"/>
  <c r="A870" i="1" s="1"/>
  <c r="A871" i="1" s="1"/>
  <c r="A875" i="1" s="1"/>
  <c r="A877" i="1" s="1"/>
  <c r="A879" i="1" s="1"/>
  <c r="A884" i="1" s="1"/>
  <c r="A888" i="1" s="1"/>
  <c r="A891" i="1" s="1"/>
  <c r="A892" i="1" s="1"/>
  <c r="A895" i="1" s="1"/>
  <c r="A898" i="1" s="1"/>
  <c r="A901" i="1" s="1"/>
  <c r="A902" i="1" s="1"/>
  <c r="A904" i="1" s="1"/>
  <c r="A906" i="1" s="1"/>
  <c r="A910" i="1" s="1"/>
  <c r="A911" i="1" s="1"/>
  <c r="A912" i="1" s="1"/>
  <c r="A913" i="1" s="1"/>
  <c r="A919" i="1" s="1"/>
  <c r="A920" i="1" s="1"/>
  <c r="A921" i="1" s="1"/>
  <c r="A922" i="1" s="1"/>
  <c r="A923" i="1" s="1"/>
  <c r="A924" i="1" s="1"/>
  <c r="A925" i="1" s="1"/>
  <c r="A931" i="1" s="1"/>
  <c r="A934" i="1" s="1"/>
  <c r="A936" i="1" s="1"/>
  <c r="A940" i="1" s="1"/>
  <c r="A941" i="1" s="1"/>
  <c r="A942" i="1" s="1"/>
  <c r="A943" i="1" s="1"/>
  <c r="A944" i="1" s="1"/>
  <c r="A946" i="1" s="1"/>
  <c r="A948" i="1" s="1"/>
  <c r="Q585" i="1"/>
  <c r="O585" i="1"/>
  <c r="P584" i="1"/>
  <c r="N584" i="1"/>
  <c r="M584" i="1"/>
  <c r="K584" i="1"/>
  <c r="D254" i="3" s="1"/>
  <c r="D253" i="3" s="1"/>
  <c r="J584" i="1"/>
  <c r="I584" i="1"/>
  <c r="H584" i="1"/>
  <c r="C254" i="3" s="1"/>
  <c r="C253" i="3" s="1"/>
  <c r="I1038" i="1" l="1"/>
  <c r="M1038" i="1"/>
  <c r="O1048" i="1"/>
  <c r="P1557" i="1"/>
  <c r="O1528" i="1"/>
  <c r="O1527" i="1" s="1"/>
  <c r="H1533" i="1"/>
  <c r="O993" i="1"/>
  <c r="O992" i="1" s="1"/>
  <c r="O938" i="1"/>
  <c r="O937" i="1" s="1"/>
  <c r="O969" i="1"/>
  <c r="O968" i="1" s="1"/>
  <c r="O1033" i="1"/>
  <c r="O1032" i="1" s="1"/>
  <c r="K1533" i="1"/>
  <c r="D273" i="3" s="1"/>
  <c r="O1533" i="1"/>
  <c r="L1533" i="1"/>
  <c r="M273" i="3" s="1"/>
  <c r="N273" i="3" s="1"/>
  <c r="J1364" i="1"/>
  <c r="H1557" i="1"/>
  <c r="L1557" i="1"/>
  <c r="O1369" i="1"/>
  <c r="O1364" i="1" s="1"/>
  <c r="P1533" i="1"/>
  <c r="O1038" i="1"/>
  <c r="O809" i="1"/>
  <c r="O929" i="1"/>
  <c r="O1008" i="1"/>
  <c r="O1007" i="1" s="1"/>
  <c r="J1038" i="1"/>
  <c r="N1038" i="1"/>
  <c r="O1557" i="1"/>
  <c r="I1364" i="1"/>
  <c r="M1364" i="1"/>
  <c r="O890" i="1"/>
  <c r="O889" i="1" s="1"/>
  <c r="O1308" i="1"/>
  <c r="O770" i="1"/>
  <c r="O796" i="1"/>
  <c r="I867" i="1"/>
  <c r="M867" i="1"/>
  <c r="O909" i="1"/>
  <c r="O908" i="1" s="1"/>
  <c r="K1038" i="1"/>
  <c r="D180" i="3" s="1"/>
  <c r="K1557" i="1"/>
  <c r="I1533" i="1"/>
  <c r="M1533" i="1"/>
  <c r="J1557" i="1"/>
  <c r="N1557" i="1"/>
  <c r="N1364" i="1"/>
  <c r="O1435" i="1"/>
  <c r="O1434" i="1" s="1"/>
  <c r="L1575" i="1"/>
  <c r="H1038" i="1"/>
  <c r="C180" i="3" s="1"/>
  <c r="L1038" i="1"/>
  <c r="M180" i="3" s="1"/>
  <c r="N180" i="3" s="1"/>
  <c r="P1038" i="1"/>
  <c r="O868" i="1"/>
  <c r="O867" i="1" s="1"/>
  <c r="D115" i="3"/>
  <c r="D114" i="3" s="1"/>
  <c r="D153" i="3"/>
  <c r="C176" i="3"/>
  <c r="C181" i="3"/>
  <c r="H1364" i="1"/>
  <c r="L1364" i="1"/>
  <c r="C247" i="3"/>
  <c r="M247" i="3"/>
  <c r="N247" i="3" s="1"/>
  <c r="C259" i="3"/>
  <c r="M259" i="3"/>
  <c r="M257" i="3" s="1"/>
  <c r="D269" i="3"/>
  <c r="C274" i="3"/>
  <c r="D293" i="3"/>
  <c r="M115" i="3"/>
  <c r="N115" i="3" s="1"/>
  <c r="N114" i="3" s="1"/>
  <c r="C153" i="3"/>
  <c r="M153" i="3"/>
  <c r="D181" i="3"/>
  <c r="K1364" i="1"/>
  <c r="D247" i="3"/>
  <c r="D259" i="3"/>
  <c r="C269" i="3"/>
  <c r="D274" i="3"/>
  <c r="C293" i="3"/>
  <c r="M293" i="3"/>
  <c r="M291" i="3" s="1"/>
  <c r="H916" i="1"/>
  <c r="C145" i="3"/>
  <c r="L916" i="1"/>
  <c r="C891" i="2" s="1"/>
  <c r="M145" i="3"/>
  <c r="H1414" i="1"/>
  <c r="C239" i="3"/>
  <c r="C238" i="3" s="1"/>
  <c r="L1414" i="1"/>
  <c r="M239" i="3"/>
  <c r="K916" i="1"/>
  <c r="D145" i="3"/>
  <c r="K1414" i="1"/>
  <c r="D239" i="3"/>
  <c r="D238" i="3" s="1"/>
  <c r="P1364" i="1"/>
  <c r="D124" i="3"/>
  <c r="K867" i="1"/>
  <c r="C124" i="3"/>
  <c r="H867" i="1"/>
  <c r="M124" i="3"/>
  <c r="N124" i="3" s="1"/>
  <c r="L867" i="1"/>
  <c r="J867" i="1"/>
  <c r="N867" i="1"/>
  <c r="O917" i="1"/>
  <c r="O916" i="1" s="1"/>
  <c r="D219" i="3"/>
  <c r="D216" i="3" s="1"/>
  <c r="C219" i="3"/>
  <c r="C216" i="3" s="1"/>
  <c r="M219" i="3"/>
  <c r="M216" i="3" s="1"/>
  <c r="K992" i="1"/>
  <c r="D169" i="3"/>
  <c r="D168" i="3" s="1"/>
  <c r="H992" i="1"/>
  <c r="C169" i="3"/>
  <c r="C168" i="3" s="1"/>
  <c r="L992" i="1"/>
  <c r="M169" i="3"/>
  <c r="L908" i="1"/>
  <c r="M143" i="3"/>
  <c r="H1403" i="1"/>
  <c r="C237" i="3"/>
  <c r="L1403" i="1"/>
  <c r="M237" i="3"/>
  <c r="K908" i="1"/>
  <c r="D143" i="3"/>
  <c r="D142" i="3" s="1"/>
  <c r="K1403" i="1"/>
  <c r="D237" i="3"/>
  <c r="I937" i="1"/>
  <c r="P887" i="1"/>
  <c r="P886" i="1" s="1"/>
  <c r="P1384" i="1"/>
  <c r="P1383" i="1" s="1"/>
  <c r="N128" i="3"/>
  <c r="L123" i="3"/>
  <c r="H834" i="1"/>
  <c r="C115" i="3"/>
  <c r="C114" i="3" s="1"/>
  <c r="O1269" i="1"/>
  <c r="H1578" i="1"/>
  <c r="H1574" i="1" s="1"/>
  <c r="L841" i="1"/>
  <c r="M117" i="3"/>
  <c r="N117" i="3" s="1"/>
  <c r="N116" i="3" s="1"/>
  <c r="H937" i="1"/>
  <c r="K937" i="1"/>
  <c r="M937" i="1"/>
  <c r="P937" i="1"/>
  <c r="L937" i="1"/>
  <c r="N937" i="1"/>
  <c r="O584" i="1"/>
  <c r="L1578" i="1"/>
  <c r="O1427" i="1"/>
  <c r="O1426" i="1" s="1"/>
  <c r="J1060" i="1"/>
  <c r="J1434" i="1"/>
  <c r="H1476" i="1"/>
  <c r="J1476" i="1"/>
  <c r="L1476" i="1"/>
  <c r="N1476" i="1"/>
  <c r="I1485" i="1"/>
  <c r="I1476" i="1" s="1"/>
  <c r="J1491" i="1"/>
  <c r="J1490" i="1" s="1"/>
  <c r="J937" i="1"/>
  <c r="I990" i="1"/>
  <c r="I978" i="1" s="1"/>
  <c r="H1567" i="1"/>
  <c r="H1566" i="1" s="1"/>
  <c r="H1565" i="1" s="1"/>
  <c r="O1086" i="1"/>
  <c r="J1578" i="1"/>
  <c r="J1574" i="1" s="1"/>
  <c r="J1563" i="1" s="1"/>
  <c r="N1578" i="1"/>
  <c r="N1574" i="1" s="1"/>
  <c r="N1563" i="1" s="1"/>
  <c r="O978" i="1"/>
  <c r="H844" i="1"/>
  <c r="M844" i="1"/>
  <c r="O845" i="1"/>
  <c r="O844" i="1" s="1"/>
  <c r="I844" i="1"/>
  <c r="N844" i="1"/>
  <c r="I929" i="1"/>
  <c r="K978" i="1"/>
  <c r="M978" i="1"/>
  <c r="H978" i="1"/>
  <c r="J978" i="1"/>
  <c r="L978" i="1"/>
  <c r="N978" i="1"/>
  <c r="P978" i="1"/>
  <c r="J997" i="1"/>
  <c r="J996" i="1" s="1"/>
  <c r="I1080" i="1"/>
  <c r="I1076" i="1" s="1"/>
  <c r="I1065" i="1" s="1"/>
  <c r="K1080" i="1"/>
  <c r="K1076" i="1" s="1"/>
  <c r="K1065" i="1" s="1"/>
  <c r="M1080" i="1"/>
  <c r="M1076" i="1" s="1"/>
  <c r="M1065" i="1" s="1"/>
  <c r="O1080" i="1"/>
  <c r="O1076" i="1" s="1"/>
  <c r="K844" i="1"/>
  <c r="M929" i="1"/>
  <c r="O1331" i="1"/>
  <c r="H1341" i="1"/>
  <c r="J1341" i="1"/>
  <c r="N1409" i="1"/>
  <c r="N1408" i="1" s="1"/>
  <c r="N1407" i="1" s="1"/>
  <c r="N1406" i="1" s="1"/>
  <c r="N1405" i="1" s="1"/>
  <c r="N1404" i="1" s="1"/>
  <c r="N1403" i="1" s="1"/>
  <c r="N896" i="1"/>
  <c r="H1025" i="1"/>
  <c r="C179" i="3"/>
  <c r="H1519" i="1"/>
  <c r="C272" i="3"/>
  <c r="P1476" i="1"/>
  <c r="J844" i="1"/>
  <c r="P871" i="1"/>
  <c r="P870" i="1" s="1"/>
  <c r="P868" i="1" s="1"/>
  <c r="P867" i="1" s="1"/>
  <c r="J889" i="1"/>
  <c r="H929" i="1"/>
  <c r="J929" i="1"/>
  <c r="K929" i="1"/>
  <c r="H1069" i="1"/>
  <c r="H1068" i="1" s="1"/>
  <c r="H1067" i="1" s="1"/>
  <c r="N1341" i="1"/>
  <c r="P1574" i="1"/>
  <c r="P1563" i="1" s="1"/>
  <c r="I1574" i="1"/>
  <c r="I1563" i="1" s="1"/>
  <c r="K1574" i="1"/>
  <c r="K1563" i="1" s="1"/>
  <c r="J896" i="1"/>
  <c r="I1341" i="1"/>
  <c r="K1341" i="1"/>
  <c r="I1391" i="1"/>
  <c r="I1426" i="1"/>
  <c r="M1574" i="1"/>
  <c r="M1563" i="1" s="1"/>
  <c r="O1574" i="1"/>
  <c r="L860" i="1"/>
  <c r="L844" i="1" s="1"/>
  <c r="L863" i="1"/>
  <c r="H889" i="1"/>
  <c r="H896" i="1"/>
  <c r="P896" i="1"/>
  <c r="M1341" i="1"/>
  <c r="L1360" i="1"/>
  <c r="H1386" i="1"/>
  <c r="J1386" i="1"/>
  <c r="O1404" i="1"/>
  <c r="O1403" i="1" s="1"/>
  <c r="P1409" i="1"/>
  <c r="P1408" i="1" s="1"/>
  <c r="P1407" i="1" s="1"/>
  <c r="P1406" i="1" s="1"/>
  <c r="P1405" i="1" s="1"/>
  <c r="P1404" i="1" s="1"/>
  <c r="P1403" i="1" s="1"/>
  <c r="O835" i="1"/>
  <c r="O834" i="1" s="1"/>
  <c r="M1434" i="1"/>
  <c r="P1513" i="1"/>
  <c r="P1511" i="1" s="1"/>
  <c r="P1510" i="1" s="1"/>
  <c r="L1357" i="1"/>
  <c r="L1341" i="1" s="1"/>
  <c r="I1434" i="1"/>
  <c r="M814" i="1"/>
  <c r="M813" i="1" s="1"/>
  <c r="M812" i="1" s="1"/>
  <c r="M811" i="1" s="1"/>
  <c r="M810" i="1" s="1"/>
  <c r="M809" i="1" s="1"/>
  <c r="I889" i="1"/>
  <c r="K889" i="1"/>
  <c r="M889" i="1"/>
  <c r="L894" i="1"/>
  <c r="L889" i="1" s="1"/>
  <c r="I896" i="1"/>
  <c r="K896" i="1"/>
  <c r="M896" i="1"/>
  <c r="O896" i="1"/>
  <c r="L896" i="1"/>
  <c r="N929" i="1"/>
  <c r="P929" i="1"/>
  <c r="L1077" i="1"/>
  <c r="L1029" i="1"/>
  <c r="L1028" i="1" s="1"/>
  <c r="N181" i="3" s="1"/>
  <c r="O1069" i="1"/>
  <c r="O1068" i="1" s="1"/>
  <c r="O1067" i="1" s="1"/>
  <c r="H1076" i="1"/>
  <c r="J1080" i="1"/>
  <c r="J1076" i="1" s="1"/>
  <c r="J1065" i="1" s="1"/>
  <c r="L1080" i="1"/>
  <c r="N1080" i="1"/>
  <c r="N1076" i="1" s="1"/>
  <c r="N1065" i="1" s="1"/>
  <c r="P1076" i="1"/>
  <c r="P1065" i="1" s="1"/>
  <c r="M1311" i="1"/>
  <c r="M1310" i="1" s="1"/>
  <c r="M1309" i="1" s="1"/>
  <c r="M1308" i="1" s="1"/>
  <c r="K1434" i="1"/>
  <c r="O1342" i="1"/>
  <c r="O1341" i="1" s="1"/>
  <c r="H1391" i="1"/>
  <c r="J1391" i="1"/>
  <c r="N1391" i="1"/>
  <c r="O1391" i="1"/>
  <c r="M1391" i="1"/>
  <c r="H1426" i="1"/>
  <c r="J1426" i="1"/>
  <c r="L1426" i="1"/>
  <c r="M1426" i="1"/>
  <c r="H1434" i="1"/>
  <c r="N914" i="1"/>
  <c r="P914" i="1"/>
  <c r="M914" i="1"/>
  <c r="L997" i="1"/>
  <c r="L996" i="1" s="1"/>
  <c r="J1533" i="1"/>
  <c r="N1533" i="1"/>
  <c r="O1567" i="1"/>
  <c r="O1566" i="1" s="1"/>
  <c r="O1565" i="1" s="1"/>
  <c r="I1386" i="1"/>
  <c r="K1386" i="1"/>
  <c r="M1386" i="1"/>
  <c r="O1386" i="1"/>
  <c r="L1389" i="1"/>
  <c r="L1386" i="1" s="1"/>
  <c r="P1391" i="1"/>
  <c r="K1391" i="1"/>
  <c r="K1426" i="1"/>
  <c r="P1426" i="1"/>
  <c r="K1476" i="1"/>
  <c r="M1476" i="1"/>
  <c r="I1557" i="1"/>
  <c r="M1557" i="1"/>
  <c r="M1410" i="1"/>
  <c r="M1409" i="1"/>
  <c r="Q1492" i="1"/>
  <c r="L1491" i="1"/>
  <c r="L1490" i="1" s="1"/>
  <c r="N1426" i="1"/>
  <c r="P1434" i="1"/>
  <c r="Q1524" i="1"/>
  <c r="L1522" i="1"/>
  <c r="N274" i="3" s="1"/>
  <c r="L1391" i="1"/>
  <c r="O1415" i="1"/>
  <c r="O1414" i="1" s="1"/>
  <c r="L1434" i="1"/>
  <c r="N1434" i="1"/>
  <c r="O1467" i="1"/>
  <c r="O1466" i="1" s="1"/>
  <c r="O1476" i="1"/>
  <c r="O1502" i="1"/>
  <c r="O1501" i="1" s="1"/>
  <c r="G40" i="3"/>
  <c r="I8" i="3"/>
  <c r="I10" i="3"/>
  <c r="I11" i="3"/>
  <c r="I17" i="3"/>
  <c r="I22" i="3"/>
  <c r="I30" i="3"/>
  <c r="I41" i="3"/>
  <c r="I43" i="3"/>
  <c r="I44" i="3"/>
  <c r="I45" i="3"/>
  <c r="I49" i="3"/>
  <c r="I52" i="3"/>
  <c r="I53" i="3"/>
  <c r="I54" i="3"/>
  <c r="I57" i="3"/>
  <c r="I59" i="3"/>
  <c r="I62" i="3"/>
  <c r="I63" i="3"/>
  <c r="I73" i="3"/>
  <c r="I97" i="3"/>
  <c r="I98" i="3"/>
  <c r="I101" i="3"/>
  <c r="I103" i="3"/>
  <c r="I104" i="3"/>
  <c r="I7" i="3"/>
  <c r="M374" i="2"/>
  <c r="O374" i="2"/>
  <c r="N412" i="2"/>
  <c r="N374" i="2" s="1"/>
  <c r="N260" i="2"/>
  <c r="C273" i="3" l="1"/>
  <c r="L1574" i="1"/>
  <c r="L1563" i="1" s="1"/>
  <c r="O1065" i="1"/>
  <c r="N293" i="3"/>
  <c r="N291" i="3" s="1"/>
  <c r="M245" i="3"/>
  <c r="N245" i="3" s="1"/>
  <c r="N259" i="3"/>
  <c r="N257" i="3" s="1"/>
  <c r="M114" i="3"/>
  <c r="N239" i="3"/>
  <c r="N238" i="3" s="1"/>
  <c r="M238" i="3"/>
  <c r="O1563" i="1"/>
  <c r="N169" i="3"/>
  <c r="N168" i="3" s="1"/>
  <c r="M168" i="3"/>
  <c r="N143" i="3"/>
  <c r="N142" i="3" s="1"/>
  <c r="M142" i="3"/>
  <c r="H1065" i="1"/>
  <c r="J583" i="1"/>
  <c r="H583" i="1"/>
  <c r="H1563" i="1"/>
  <c r="I583" i="1"/>
  <c r="K583" i="1"/>
  <c r="J1085" i="1"/>
  <c r="O583" i="1"/>
  <c r="H1085" i="1"/>
  <c r="L583" i="1"/>
  <c r="V572" i="2" s="1"/>
  <c r="L1076" i="1"/>
  <c r="L1065" i="1" s="1"/>
  <c r="N1085" i="1"/>
  <c r="P913" i="1"/>
  <c r="P912" i="1" s="1"/>
  <c r="P911" i="1" s="1"/>
  <c r="P910" i="1" s="1"/>
  <c r="P909" i="1" s="1"/>
  <c r="P908" i="1" s="1"/>
  <c r="P583" i="1" s="1"/>
  <c r="N913" i="1"/>
  <c r="N912" i="1" s="1"/>
  <c r="N911" i="1" s="1"/>
  <c r="N910" i="1" s="1"/>
  <c r="N909" i="1" s="1"/>
  <c r="N908" i="1" s="1"/>
  <c r="N583" i="1" s="1"/>
  <c r="I1085" i="1"/>
  <c r="K1085" i="1"/>
  <c r="O1085" i="1"/>
  <c r="P1085" i="1"/>
  <c r="M913" i="1"/>
  <c r="M912" i="1" s="1"/>
  <c r="M911" i="1" s="1"/>
  <c r="M910" i="1" s="1"/>
  <c r="M909" i="1" s="1"/>
  <c r="M908" i="1" s="1"/>
  <c r="M583" i="1" s="1"/>
  <c r="L1085" i="1"/>
  <c r="V1077" i="2" s="1"/>
  <c r="M1408" i="1"/>
  <c r="M1407" i="1" s="1"/>
  <c r="M1406" i="1" s="1"/>
  <c r="M1405" i="1" s="1"/>
  <c r="M1404" i="1" s="1"/>
  <c r="M1403" i="1" s="1"/>
  <c r="M1085" i="1" s="1"/>
  <c r="S8" i="2"/>
  <c r="K143" i="2" l="1"/>
  <c r="V10" i="2" l="1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4" i="2"/>
  <c r="V145" i="2"/>
  <c r="V146" i="2"/>
  <c r="V147" i="2"/>
  <c r="V148" i="2"/>
  <c r="V149" i="2"/>
  <c r="V150" i="2"/>
  <c r="V151" i="2"/>
  <c r="V152" i="2"/>
  <c r="V153" i="2"/>
  <c r="V154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9" i="2"/>
  <c r="K57" i="2"/>
  <c r="K159" i="2" l="1"/>
  <c r="K114" i="2"/>
  <c r="K33" i="2"/>
  <c r="K171" i="2"/>
  <c r="K81" i="2"/>
  <c r="K108" i="2"/>
  <c r="K120" i="2"/>
  <c r="V120" i="2" s="1"/>
  <c r="V143" i="2"/>
  <c r="K17" i="2"/>
  <c r="U7" i="2" l="1"/>
  <c r="N8" i="2"/>
  <c r="N7" i="2" s="1"/>
  <c r="P8" i="2"/>
  <c r="R8" i="2"/>
  <c r="S7" i="2"/>
  <c r="M15" i="2"/>
  <c r="Q24" i="2"/>
  <c r="K155" i="2"/>
  <c r="K8" i="2" s="1"/>
  <c r="O55" i="2"/>
  <c r="O54" i="2"/>
  <c r="O16" i="2"/>
  <c r="O8" i="2" l="1"/>
  <c r="O7" i="2" s="1"/>
  <c r="M8" i="2"/>
  <c r="M7" i="2" s="1"/>
  <c r="Q8" i="2"/>
  <c r="Q7" i="2" s="1"/>
  <c r="K7" i="2"/>
  <c r="C8" i="2"/>
  <c r="C7" i="2" s="1"/>
  <c r="V155" i="2"/>
  <c r="C139" i="3" l="1"/>
  <c r="H16" i="3" l="1"/>
  <c r="H270" i="1"/>
  <c r="I270" i="1"/>
  <c r="J270" i="1"/>
  <c r="K270" i="1"/>
  <c r="M270" i="1"/>
  <c r="N270" i="1"/>
  <c r="P270" i="1"/>
  <c r="L270" i="1"/>
  <c r="Q272" i="1"/>
  <c r="Q280" i="1"/>
  <c r="I494" i="1"/>
  <c r="J494" i="1"/>
  <c r="K494" i="1"/>
  <c r="L494" i="1"/>
  <c r="M494" i="1"/>
  <c r="N494" i="1"/>
  <c r="O494" i="1"/>
  <c r="P494" i="1"/>
  <c r="H494" i="1"/>
  <c r="I492" i="1"/>
  <c r="J492" i="1"/>
  <c r="K492" i="1"/>
  <c r="D97" i="3" s="1"/>
  <c r="L492" i="1"/>
  <c r="M97" i="3" s="1"/>
  <c r="M492" i="1"/>
  <c r="N492" i="1"/>
  <c r="O492" i="1"/>
  <c r="P492" i="1"/>
  <c r="H492" i="1"/>
  <c r="C97" i="3" s="1"/>
  <c r="Q495" i="1"/>
  <c r="Q493" i="1"/>
  <c r="A24" i="3"/>
  <c r="A26" i="3" s="1"/>
  <c r="A28" i="3" s="1"/>
  <c r="A29" i="3" s="1"/>
  <c r="A30" i="3" s="1"/>
  <c r="A31" i="3" s="1"/>
  <c r="A34" i="3" s="1"/>
  <c r="A36" i="3" s="1"/>
  <c r="A38" i="3" s="1"/>
  <c r="A39" i="3" s="1"/>
  <c r="A41" i="3" s="1"/>
  <c r="A43" i="3" s="1"/>
  <c r="A44" i="3" s="1"/>
  <c r="A45" i="3" s="1"/>
  <c r="A47" i="3" s="1"/>
  <c r="A49" i="3" s="1"/>
  <c r="A52" i="3" s="1"/>
  <c r="A53" i="3" s="1"/>
  <c r="A54" i="3" s="1"/>
  <c r="A56" i="3" s="1"/>
  <c r="A57" i="3" s="1"/>
  <c r="A58" i="3" s="1"/>
  <c r="A59" i="3" s="1"/>
  <c r="A61" i="3" s="1"/>
  <c r="A62" i="3" s="1"/>
  <c r="A63" i="3" s="1"/>
  <c r="A65" i="3" s="1"/>
  <c r="K20" i="3"/>
  <c r="L20" i="3"/>
  <c r="J20" i="3"/>
  <c r="F20" i="3"/>
  <c r="G20" i="3"/>
  <c r="E20" i="3"/>
  <c r="N285" i="1"/>
  <c r="M285" i="1"/>
  <c r="L285" i="1"/>
  <c r="N106" i="3" s="1"/>
  <c r="K285" i="1"/>
  <c r="I285" i="1"/>
  <c r="L302" i="1"/>
  <c r="L301" i="1"/>
  <c r="M300" i="1"/>
  <c r="N300" i="1"/>
  <c r="O300" i="1"/>
  <c r="P300" i="1"/>
  <c r="P285" i="1" s="1"/>
  <c r="P284" i="1" s="1"/>
  <c r="I300" i="1"/>
  <c r="J300" i="1"/>
  <c r="K300" i="1"/>
  <c r="D22" i="3" s="1"/>
  <c r="H300" i="1"/>
  <c r="C22" i="3" s="1"/>
  <c r="H285" i="1"/>
  <c r="A97" i="3"/>
  <c r="H467" i="1"/>
  <c r="I467" i="1"/>
  <c r="I466" i="1" s="1"/>
  <c r="J467" i="1"/>
  <c r="J466" i="1" s="1"/>
  <c r="K467" i="1"/>
  <c r="L467" i="1"/>
  <c r="M467" i="1"/>
  <c r="M466" i="1" s="1"/>
  <c r="N467" i="1"/>
  <c r="N466" i="1" s="1"/>
  <c r="O467" i="1"/>
  <c r="O466" i="1" s="1"/>
  <c r="P467" i="1"/>
  <c r="P466" i="1" s="1"/>
  <c r="Q468" i="1"/>
  <c r="H188" i="1"/>
  <c r="I188" i="1"/>
  <c r="J188" i="1"/>
  <c r="K188" i="1"/>
  <c r="L188" i="1"/>
  <c r="M188" i="1"/>
  <c r="N188" i="1"/>
  <c r="Q192" i="1"/>
  <c r="M101" i="3"/>
  <c r="N101" i="3" s="1"/>
  <c r="P449" i="1"/>
  <c r="K19" i="1"/>
  <c r="M19" i="1"/>
  <c r="N19" i="1"/>
  <c r="P19" i="1"/>
  <c r="H401" i="1"/>
  <c r="C123" i="3" s="1"/>
  <c r="I401" i="1"/>
  <c r="J401" i="1"/>
  <c r="K401" i="1"/>
  <c r="D123" i="3" s="1"/>
  <c r="L401" i="1"/>
  <c r="M123" i="3" s="1"/>
  <c r="M401" i="1"/>
  <c r="N401" i="1"/>
  <c r="P401" i="1"/>
  <c r="O417" i="1"/>
  <c r="P417" i="1"/>
  <c r="M417" i="1"/>
  <c r="N417" i="1"/>
  <c r="L417" i="1"/>
  <c r="Q418" i="1" s="1"/>
  <c r="K417" i="1"/>
  <c r="I417" i="1"/>
  <c r="J417" i="1"/>
  <c r="H417" i="1"/>
  <c r="A21" i="1"/>
  <c r="O297" i="1"/>
  <c r="O298" i="1"/>
  <c r="O299" i="1"/>
  <c r="O290" i="1"/>
  <c r="O291" i="1"/>
  <c r="O292" i="1"/>
  <c r="O295" i="1"/>
  <c r="O296" i="1"/>
  <c r="O289" i="1"/>
  <c r="O293" i="1"/>
  <c r="O294" i="1"/>
  <c r="O286" i="1"/>
  <c r="O288" i="1"/>
  <c r="O287" i="1"/>
  <c r="O360" i="1"/>
  <c r="Q360" i="1"/>
  <c r="H364" i="1"/>
  <c r="L466" i="1" l="1"/>
  <c r="H466" i="1"/>
  <c r="C80" i="3" s="1"/>
  <c r="C147" i="3"/>
  <c r="C98" i="3"/>
  <c r="D98" i="3"/>
  <c r="K466" i="1"/>
  <c r="D80" i="3" s="1"/>
  <c r="D147" i="3"/>
  <c r="M98" i="3"/>
  <c r="N98" i="3" s="1"/>
  <c r="N220" i="3"/>
  <c r="N126" i="3"/>
  <c r="N123" i="3" s="1"/>
  <c r="P491" i="1"/>
  <c r="L491" i="1"/>
  <c r="M7" i="3"/>
  <c r="N97" i="3"/>
  <c r="M491" i="1"/>
  <c r="I491" i="1"/>
  <c r="N491" i="1"/>
  <c r="J491" i="1"/>
  <c r="O491" i="1"/>
  <c r="K491" i="1"/>
  <c r="H491" i="1"/>
  <c r="Q302" i="1"/>
  <c r="O285" i="1"/>
  <c r="O284" i="1" s="1"/>
  <c r="M284" i="1"/>
  <c r="N284" i="1"/>
  <c r="Q301" i="1"/>
  <c r="I284" i="1"/>
  <c r="K284" i="1"/>
  <c r="L300" i="1"/>
  <c r="H284" i="1"/>
  <c r="Q442" i="1"/>
  <c r="O442" i="1"/>
  <c r="C84" i="3" l="1"/>
  <c r="D84" i="3"/>
  <c r="M84" i="3"/>
  <c r="N84" i="3" s="1"/>
  <c r="M147" i="3"/>
  <c r="N147" i="3" s="1"/>
  <c r="M22" i="3"/>
  <c r="N22" i="3" s="1"/>
  <c r="L284" i="1"/>
  <c r="H51" i="3"/>
  <c r="I382" i="1"/>
  <c r="J382" i="1"/>
  <c r="K382" i="1"/>
  <c r="D54" i="3" s="1"/>
  <c r="L382" i="1"/>
  <c r="M382" i="1"/>
  <c r="N382" i="1"/>
  <c r="P382" i="1"/>
  <c r="H382" i="1"/>
  <c r="C54" i="3" s="1"/>
  <c r="Q383" i="1"/>
  <c r="O383" i="1"/>
  <c r="O382" i="1" s="1"/>
  <c r="A22" i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H446" i="1"/>
  <c r="Q186" i="1"/>
  <c r="Q28" i="1"/>
  <c r="Q69" i="1"/>
  <c r="Q43" i="1"/>
  <c r="Q89" i="1"/>
  <c r="Q83" i="1"/>
  <c r="Q154" i="1"/>
  <c r="Q166" i="1"/>
  <c r="Q123" i="1"/>
  <c r="Q160" i="1"/>
  <c r="Q156" i="1"/>
  <c r="Q168" i="1"/>
  <c r="Q109" i="1"/>
  <c r="Q94" i="1"/>
  <c r="Q35" i="1"/>
  <c r="Q56" i="1"/>
  <c r="Q38" i="1"/>
  <c r="Q153" i="1"/>
  <c r="Q131" i="1"/>
  <c r="Q133" i="1"/>
  <c r="Q149" i="1"/>
  <c r="Q91" i="1"/>
  <c r="Q42" i="1"/>
  <c r="Q70" i="1"/>
  <c r="Q184" i="1"/>
  <c r="Q127" i="1"/>
  <c r="Q108" i="1"/>
  <c r="Q47" i="1"/>
  <c r="Q178" i="1"/>
  <c r="Q128" i="1"/>
  <c r="Q117" i="1"/>
  <c r="Q143" i="1"/>
  <c r="Q79" i="1"/>
  <c r="Q71" i="1"/>
  <c r="Q115" i="1"/>
  <c r="Q187" i="1"/>
  <c r="Q48" i="1"/>
  <c r="Q34" i="1"/>
  <c r="Q119" i="1"/>
  <c r="Q136" i="1"/>
  <c r="Q82" i="1"/>
  <c r="Q141" i="1"/>
  <c r="Q37" i="1"/>
  <c r="Q164" i="1"/>
  <c r="Q173" i="1"/>
  <c r="Q100" i="1"/>
  <c r="Q142" i="1"/>
  <c r="Q52" i="1"/>
  <c r="Q140" i="1"/>
  <c r="Q76" i="1"/>
  <c r="Q146" i="1"/>
  <c r="Q92" i="1"/>
  <c r="Q135" i="1"/>
  <c r="Q87" i="1"/>
  <c r="Q39" i="1"/>
  <c r="Q174" i="1"/>
  <c r="Q90" i="1"/>
  <c r="Q148" i="1"/>
  <c r="Q75" i="1"/>
  <c r="Q180" i="1"/>
  <c r="Q152" i="1"/>
  <c r="Q134" i="1"/>
  <c r="Q65" i="1"/>
  <c r="Q120" i="1"/>
  <c r="Q112" i="1"/>
  <c r="Q138" i="1"/>
  <c r="Q78" i="1"/>
  <c r="Q73" i="1"/>
  <c r="Q32" i="1"/>
  <c r="Q129" i="1"/>
  <c r="Q62" i="1"/>
  <c r="Q147" i="1"/>
  <c r="Q163" i="1"/>
  <c r="Q84" i="1"/>
  <c r="Q155" i="1"/>
  <c r="Q74" i="1"/>
  <c r="Q49" i="1"/>
  <c r="Q99" i="1"/>
  <c r="Q150" i="1"/>
  <c r="Q72" i="1"/>
  <c r="Q169" i="1"/>
  <c r="Q122" i="1"/>
  <c r="Q95" i="1"/>
  <c r="Q183" i="1"/>
  <c r="Q177" i="1"/>
  <c r="Q171" i="1"/>
  <c r="Q159" i="1"/>
  <c r="Q110" i="1"/>
  <c r="Q101" i="1"/>
  <c r="Q179" i="1"/>
  <c r="Q145" i="1"/>
  <c r="Q137" i="1"/>
  <c r="Q98" i="1"/>
  <c r="Q158" i="1"/>
  <c r="Q63" i="1"/>
  <c r="Q25" i="1"/>
  <c r="Q185" i="1"/>
  <c r="Q59" i="1"/>
  <c r="Q67" i="1"/>
  <c r="Q139" i="1"/>
  <c r="Q41" i="1"/>
  <c r="Q170" i="1"/>
  <c r="Q103" i="1"/>
  <c r="Q57" i="1"/>
  <c r="Q85" i="1"/>
  <c r="Q60" i="1"/>
  <c r="Q80" i="1"/>
  <c r="Q118" i="1"/>
  <c r="Q53" i="1"/>
  <c r="Q86" i="1"/>
  <c r="Q181" i="1"/>
  <c r="Q33" i="1"/>
  <c r="Q104" i="1"/>
  <c r="Q23" i="1"/>
  <c r="Q88" i="1"/>
  <c r="Q121" i="1"/>
  <c r="Q66" i="1"/>
  <c r="Q46" i="1"/>
  <c r="Q24" i="1"/>
  <c r="Q97" i="1"/>
  <c r="Q27" i="1"/>
  <c r="Q182" i="1"/>
  <c r="Q162" i="1"/>
  <c r="Q54" i="1"/>
  <c r="Q61" i="1"/>
  <c r="Q58" i="1"/>
  <c r="Q161" i="1"/>
  <c r="Q20" i="1"/>
  <c r="Q111" i="1"/>
  <c r="Q126" i="1"/>
  <c r="Q106" i="1"/>
  <c r="Q151" i="1"/>
  <c r="Q172" i="1"/>
  <c r="Q130" i="1"/>
  <c r="Q157" i="1"/>
  <c r="Q116" i="1"/>
  <c r="Q50" i="1"/>
  <c r="Q176" i="1"/>
  <c r="Q30" i="1"/>
  <c r="Q165" i="1"/>
  <c r="Q64" i="1"/>
  <c r="Q21" i="1"/>
  <c r="Q44" i="1"/>
  <c r="Q175" i="1"/>
  <c r="Q68" i="1"/>
  <c r="Q51" i="1"/>
  <c r="Q29" i="1"/>
  <c r="Q102" i="1"/>
  <c r="Q40" i="1"/>
  <c r="Q45" i="1"/>
  <c r="Q77" i="1"/>
  <c r="Q125" i="1"/>
  <c r="Q124" i="1"/>
  <c r="Q26" i="1"/>
  <c r="Q36" i="1"/>
  <c r="Q107" i="1"/>
  <c r="Q81" i="1"/>
  <c r="Q144" i="1"/>
  <c r="Q55" i="1"/>
  <c r="Q113" i="1"/>
  <c r="Q105" i="1"/>
  <c r="O186" i="1"/>
  <c r="O28" i="1"/>
  <c r="O69" i="1"/>
  <c r="O43" i="1"/>
  <c r="O89" i="1"/>
  <c r="O167" i="1"/>
  <c r="O83" i="1"/>
  <c r="O154" i="1"/>
  <c r="O166" i="1"/>
  <c r="O123" i="1"/>
  <c r="O160" i="1"/>
  <c r="O156" i="1"/>
  <c r="O168" i="1"/>
  <c r="O109" i="1"/>
  <c r="O94" i="1"/>
  <c r="O35" i="1"/>
  <c r="O56" i="1"/>
  <c r="O38" i="1"/>
  <c r="O153" i="1"/>
  <c r="O131" i="1"/>
  <c r="O133" i="1"/>
  <c r="O149" i="1"/>
  <c r="O91" i="1"/>
  <c r="O42" i="1"/>
  <c r="O70" i="1"/>
  <c r="O184" i="1"/>
  <c r="O127" i="1"/>
  <c r="O108" i="1"/>
  <c r="O47" i="1"/>
  <c r="O178" i="1"/>
  <c r="O128" i="1"/>
  <c r="O117" i="1"/>
  <c r="O143" i="1"/>
  <c r="O79" i="1"/>
  <c r="O71" i="1"/>
  <c r="O115" i="1"/>
  <c r="O187" i="1"/>
  <c r="O48" i="1"/>
  <c r="O34" i="1"/>
  <c r="O119" i="1"/>
  <c r="O136" i="1"/>
  <c r="O82" i="1"/>
  <c r="O141" i="1"/>
  <c r="O37" i="1"/>
  <c r="O164" i="1"/>
  <c r="O173" i="1"/>
  <c r="O100" i="1"/>
  <c r="O142" i="1"/>
  <c r="O52" i="1"/>
  <c r="O140" i="1"/>
  <c r="O76" i="1"/>
  <c r="O146" i="1"/>
  <c r="O92" i="1"/>
  <c r="O135" i="1"/>
  <c r="O87" i="1"/>
  <c r="O39" i="1"/>
  <c r="O174" i="1"/>
  <c r="O90" i="1"/>
  <c r="O148" i="1"/>
  <c r="O75" i="1"/>
  <c r="O180" i="1"/>
  <c r="O152" i="1"/>
  <c r="O134" i="1"/>
  <c r="O65" i="1"/>
  <c r="O120" i="1"/>
  <c r="O112" i="1"/>
  <c r="O138" i="1"/>
  <c r="O78" i="1"/>
  <c r="O73" i="1"/>
  <c r="O32" i="1"/>
  <c r="O129" i="1"/>
  <c r="O62" i="1"/>
  <c r="O147" i="1"/>
  <c r="O163" i="1"/>
  <c r="O84" i="1"/>
  <c r="O155" i="1"/>
  <c r="O74" i="1"/>
  <c r="O49" i="1"/>
  <c r="O99" i="1"/>
  <c r="O150" i="1"/>
  <c r="O72" i="1"/>
  <c r="O169" i="1"/>
  <c r="O122" i="1"/>
  <c r="O95" i="1"/>
  <c r="O183" i="1"/>
  <c r="O177" i="1"/>
  <c r="O171" i="1"/>
  <c r="O159" i="1"/>
  <c r="O110" i="1"/>
  <c r="O101" i="1"/>
  <c r="O179" i="1"/>
  <c r="O145" i="1"/>
  <c r="O114" i="1"/>
  <c r="O137" i="1"/>
  <c r="O98" i="1"/>
  <c r="O158" i="1"/>
  <c r="O63" i="1"/>
  <c r="O25" i="1"/>
  <c r="O185" i="1"/>
  <c r="O59" i="1"/>
  <c r="O67" i="1"/>
  <c r="O31" i="1"/>
  <c r="O139" i="1"/>
  <c r="O41" i="1"/>
  <c r="O132" i="1"/>
  <c r="O170" i="1"/>
  <c r="O103" i="1"/>
  <c r="O57" i="1"/>
  <c r="O85" i="1"/>
  <c r="O60" i="1"/>
  <c r="O80" i="1"/>
  <c r="O118" i="1"/>
  <c r="O53" i="1"/>
  <c r="O86" i="1"/>
  <c r="O181" i="1"/>
  <c r="O33" i="1"/>
  <c r="O104" i="1"/>
  <c r="O23" i="1"/>
  <c r="O88" i="1"/>
  <c r="O22" i="1"/>
  <c r="O121" i="1"/>
  <c r="O66" i="1"/>
  <c r="O46" i="1"/>
  <c r="O24" i="1"/>
  <c r="O97" i="1"/>
  <c r="O27" i="1"/>
  <c r="O182" i="1"/>
  <c r="O162" i="1"/>
  <c r="O54" i="1"/>
  <c r="O61" i="1"/>
  <c r="O58" i="1"/>
  <c r="O161" i="1"/>
  <c r="O20" i="1"/>
  <c r="O111" i="1"/>
  <c r="O126" i="1"/>
  <c r="O106" i="1"/>
  <c r="O151" i="1"/>
  <c r="O172" i="1"/>
  <c r="O130" i="1"/>
  <c r="O157" i="1"/>
  <c r="O116" i="1"/>
  <c r="O50" i="1"/>
  <c r="O176" i="1"/>
  <c r="O96" i="1"/>
  <c r="O30" i="1"/>
  <c r="O165" i="1"/>
  <c r="O64" i="1"/>
  <c r="O21" i="1"/>
  <c r="O44" i="1"/>
  <c r="O175" i="1"/>
  <c r="O68" i="1"/>
  <c r="O51" i="1"/>
  <c r="O29" i="1"/>
  <c r="O102" i="1"/>
  <c r="O40" i="1"/>
  <c r="O93" i="1"/>
  <c r="O45" i="1"/>
  <c r="O77" i="1"/>
  <c r="O125" i="1"/>
  <c r="O124" i="1"/>
  <c r="O26" i="1"/>
  <c r="O36" i="1"/>
  <c r="O107" i="1"/>
  <c r="O81" i="1"/>
  <c r="O144" i="1"/>
  <c r="O55" i="1"/>
  <c r="O113" i="1"/>
  <c r="O105" i="1"/>
  <c r="D52" i="3"/>
  <c r="Q93" i="1"/>
  <c r="Q96" i="1"/>
  <c r="Q22" i="1"/>
  <c r="Q132" i="1"/>
  <c r="Q31" i="1"/>
  <c r="Q114" i="1"/>
  <c r="N219" i="3" l="1"/>
  <c r="N216" i="3" s="1"/>
  <c r="N153" i="3"/>
  <c r="M151" i="3"/>
  <c r="N151" i="3" s="1"/>
  <c r="M54" i="3"/>
  <c r="N54" i="3" s="1"/>
  <c r="H19" i="1"/>
  <c r="O19" i="1"/>
  <c r="J19" i="1"/>
  <c r="I19" i="1"/>
  <c r="Q167" i="1"/>
  <c r="A190" i="1" l="1"/>
  <c r="A191" i="1" s="1"/>
  <c r="A192" i="1" s="1"/>
  <c r="A193" i="1" s="1"/>
  <c r="A203" i="1" s="1"/>
  <c r="A204" i="1" s="1"/>
  <c r="H40" i="3"/>
  <c r="I40" i="3" s="1"/>
  <c r="I347" i="1"/>
  <c r="J347" i="1"/>
  <c r="K347" i="1"/>
  <c r="D44" i="3" s="1"/>
  <c r="L347" i="1"/>
  <c r="M347" i="1"/>
  <c r="N347" i="1"/>
  <c r="P347" i="1"/>
  <c r="H347" i="1"/>
  <c r="C44" i="3" s="1"/>
  <c r="Q348" i="1"/>
  <c r="O348" i="1"/>
  <c r="O347" i="1" s="1"/>
  <c r="K344" i="1"/>
  <c r="D43" i="3" s="1"/>
  <c r="I344" i="1"/>
  <c r="J344" i="1"/>
  <c r="L344" i="1"/>
  <c r="M344" i="1"/>
  <c r="N344" i="1"/>
  <c r="O344" i="1"/>
  <c r="P344" i="1"/>
  <c r="H344" i="1"/>
  <c r="C43" i="3" s="1"/>
  <c r="Q346" i="1"/>
  <c r="Q345" i="1"/>
  <c r="L43" i="3" l="1"/>
  <c r="M44" i="3"/>
  <c r="N44" i="3" s="1"/>
  <c r="A210" i="1"/>
  <c r="A211" i="1" s="1"/>
  <c r="A212" i="1" s="1"/>
  <c r="A214" i="1" s="1"/>
  <c r="A215" i="1" s="1"/>
  <c r="A216" i="1" s="1"/>
  <c r="A217" i="1" s="1"/>
  <c r="A218" i="1" s="1"/>
  <c r="A219" i="1" s="1"/>
  <c r="N43" i="3" l="1"/>
  <c r="L40" i="3"/>
  <c r="A233" i="1"/>
  <c r="A234" i="1" s="1"/>
  <c r="A235" i="1" s="1"/>
  <c r="A236" i="1" s="1"/>
  <c r="A237" i="1" s="1"/>
  <c r="A238" i="1" s="1"/>
  <c r="A239" i="1" s="1"/>
  <c r="A240" i="1" s="1"/>
  <c r="N57" i="3"/>
  <c r="Q402" i="1"/>
  <c r="O402" i="1"/>
  <c r="O401" i="1" s="1"/>
  <c r="A246" i="1" l="1"/>
  <c r="A247" i="1" s="1"/>
  <c r="D139" i="3"/>
  <c r="L139" i="3"/>
  <c r="N139" i="3" l="1"/>
  <c r="N137" i="3" s="1"/>
  <c r="L137" i="3"/>
  <c r="A263" i="1"/>
  <c r="A264" i="1" s="1"/>
  <c r="A265" i="1" s="1"/>
  <c r="A266" i="1" s="1"/>
  <c r="A267" i="1" s="1"/>
  <c r="D45" i="3"/>
  <c r="C45" i="3"/>
  <c r="F51" i="3"/>
  <c r="G51" i="3"/>
  <c r="I51" i="3" s="1"/>
  <c r="E51" i="3"/>
  <c r="C52" i="3"/>
  <c r="Q378" i="1"/>
  <c r="O378" i="1"/>
  <c r="O377" i="1" s="1"/>
  <c r="L376" i="1" l="1"/>
  <c r="A272" i="1"/>
  <c r="A273" i="1" s="1"/>
  <c r="A283" i="1" s="1"/>
  <c r="M51" i="3"/>
  <c r="N51" i="3" s="1"/>
  <c r="Q421" i="1"/>
  <c r="Q420" i="1"/>
  <c r="D59" i="3"/>
  <c r="C59" i="3"/>
  <c r="M446" i="1"/>
  <c r="N446" i="1"/>
  <c r="P446" i="1"/>
  <c r="L446" i="1"/>
  <c r="K446" i="1"/>
  <c r="J446" i="1"/>
  <c r="I446" i="1"/>
  <c r="Q448" i="1"/>
  <c r="O448" i="1"/>
  <c r="K339" i="1"/>
  <c r="K338" i="1" s="1"/>
  <c r="I339" i="1"/>
  <c r="I338" i="1" s="1"/>
  <c r="J339" i="1"/>
  <c r="J338" i="1" s="1"/>
  <c r="L339" i="1"/>
  <c r="M339" i="1"/>
  <c r="M338" i="1" s="1"/>
  <c r="N339" i="1"/>
  <c r="N338" i="1" s="1"/>
  <c r="P339" i="1"/>
  <c r="P338" i="1" s="1"/>
  <c r="H339" i="1"/>
  <c r="H338" i="1" s="1"/>
  <c r="N63" i="3" l="1"/>
  <c r="L338" i="1"/>
  <c r="D41" i="3"/>
  <c r="D40" i="3"/>
  <c r="C41" i="3"/>
  <c r="M41" i="3"/>
  <c r="M59" i="3"/>
  <c r="N59" i="3" s="1"/>
  <c r="L516" i="1"/>
  <c r="L103" i="3" s="1"/>
  <c r="N518" i="1"/>
  <c r="P518" i="1"/>
  <c r="M518" i="1"/>
  <c r="L518" i="1"/>
  <c r="K518" i="1"/>
  <c r="J518" i="1"/>
  <c r="I518" i="1"/>
  <c r="H518" i="1"/>
  <c r="Q519" i="1"/>
  <c r="O519" i="1"/>
  <c r="O518" i="1" s="1"/>
  <c r="M230" i="3" l="1"/>
  <c r="M228" i="3" s="1"/>
  <c r="D104" i="3"/>
  <c r="D230" i="3"/>
  <c r="C104" i="3"/>
  <c r="C230" i="3"/>
  <c r="N133" i="3"/>
  <c r="N132" i="3" s="1"/>
  <c r="M40" i="3"/>
  <c r="N103" i="3"/>
  <c r="L102" i="3"/>
  <c r="L515" i="1"/>
  <c r="M104" i="3"/>
  <c r="H102" i="3"/>
  <c r="H75" i="3"/>
  <c r="I75" i="3" s="1"/>
  <c r="I71" i="3"/>
  <c r="I61" i="3"/>
  <c r="I58" i="3"/>
  <c r="I56" i="3"/>
  <c r="I38" i="3"/>
  <c r="I24" i="3"/>
  <c r="H21" i="3"/>
  <c r="I12" i="3"/>
  <c r="I9" i="3"/>
  <c r="N230" i="3" l="1"/>
  <c r="N228" i="3" s="1"/>
  <c r="H20" i="3"/>
  <c r="I20" i="3" s="1"/>
  <c r="I21" i="3"/>
  <c r="N104" i="3"/>
  <c r="N102" i="3" s="1"/>
  <c r="M102" i="3"/>
  <c r="A306" i="1"/>
  <c r="A309" i="1" s="1"/>
  <c r="H55" i="3"/>
  <c r="J296" i="1"/>
  <c r="J285" i="1" s="1"/>
  <c r="J284" i="1" s="1"/>
  <c r="A327" i="1" l="1"/>
  <c r="I364" i="1"/>
  <c r="J364" i="1"/>
  <c r="K364" i="1"/>
  <c r="L364" i="1"/>
  <c r="M364" i="1"/>
  <c r="N364" i="1"/>
  <c r="P364" i="1"/>
  <c r="H363" i="1"/>
  <c r="Q366" i="1"/>
  <c r="Q367" i="1"/>
  <c r="Q370" i="1"/>
  <c r="Q371" i="1"/>
  <c r="Q372" i="1"/>
  <c r="Q365" i="1"/>
  <c r="Q369" i="1"/>
  <c r="A328" i="1" l="1"/>
  <c r="A330" i="1" s="1"/>
  <c r="A333" i="1" s="1"/>
  <c r="A334" i="1" s="1"/>
  <c r="A329" i="1"/>
  <c r="C49" i="3"/>
  <c r="Q193" i="1"/>
  <c r="Q204" i="1"/>
  <c r="Q189" i="1"/>
  <c r="Q202" i="1"/>
  <c r="Q191" i="1"/>
  <c r="Q190" i="1"/>
  <c r="Q203" i="1"/>
  <c r="Q237" i="1" l="1"/>
  <c r="Q234" i="1"/>
  <c r="Q235" i="1"/>
  <c r="Q232" i="1"/>
  <c r="Q238" i="1"/>
  <c r="Q239" i="1"/>
  <c r="Q236" i="1"/>
  <c r="Q233" i="1"/>
  <c r="Q240" i="1"/>
  <c r="O237" i="1"/>
  <c r="O234" i="1"/>
  <c r="O235" i="1"/>
  <c r="O232" i="1"/>
  <c r="O238" i="1"/>
  <c r="O239" i="1"/>
  <c r="O236" i="1"/>
  <c r="O233" i="1"/>
  <c r="O240" i="1"/>
  <c r="D11" i="3"/>
  <c r="O231" i="1" l="1"/>
  <c r="C11" i="3"/>
  <c r="O271" i="1"/>
  <c r="D17" i="3"/>
  <c r="Q273" i="1"/>
  <c r="Q271" i="1"/>
  <c r="Q279" i="1"/>
  <c r="M38" i="3" l="1"/>
  <c r="Q206" i="1"/>
  <c r="R434" i="1"/>
  <c r="Q434" i="1"/>
  <c r="Q472" i="1" l="1"/>
  <c r="G102" i="3" l="1"/>
  <c r="I102" i="3" s="1"/>
  <c r="I516" i="1"/>
  <c r="I515" i="1" s="1"/>
  <c r="J516" i="1"/>
  <c r="J515" i="1" s="1"/>
  <c r="K516" i="1"/>
  <c r="M516" i="1"/>
  <c r="M515" i="1" s="1"/>
  <c r="N516" i="1"/>
  <c r="N515" i="1" s="1"/>
  <c r="O516" i="1"/>
  <c r="O515" i="1" s="1"/>
  <c r="P516" i="1"/>
  <c r="P515" i="1" s="1"/>
  <c r="H516" i="1"/>
  <c r="Q517" i="1"/>
  <c r="M325" i="1"/>
  <c r="M324" i="1" s="1"/>
  <c r="R536" i="1"/>
  <c r="Q536" i="1"/>
  <c r="I78" i="3"/>
  <c r="I77" i="3"/>
  <c r="I70" i="3"/>
  <c r="I69" i="3"/>
  <c r="I67" i="3"/>
  <c r="I66" i="3" s="1"/>
  <c r="H65" i="3"/>
  <c r="I65" i="3" s="1"/>
  <c r="I47" i="3"/>
  <c r="H39" i="3"/>
  <c r="I34" i="3"/>
  <c r="I31" i="3"/>
  <c r="I29" i="3"/>
  <c r="I28" i="3"/>
  <c r="I19" i="3"/>
  <c r="I18" i="3" s="1"/>
  <c r="I15" i="3"/>
  <c r="I14" i="3" s="1"/>
  <c r="Q262" i="1"/>
  <c r="O263" i="1"/>
  <c r="Q263" i="1"/>
  <c r="O262" i="1"/>
  <c r="O261" i="1" l="1"/>
  <c r="I76" i="3"/>
  <c r="I26" i="3"/>
  <c r="I25" i="3" s="1"/>
  <c r="H37" i="3"/>
  <c r="I39" i="3"/>
  <c r="H35" i="3"/>
  <c r="I36" i="3"/>
  <c r="H260" i="1"/>
  <c r="C103" i="3"/>
  <c r="H515" i="1"/>
  <c r="K515" i="1"/>
  <c r="D102" i="3" s="1"/>
  <c r="D103" i="3"/>
  <c r="C102" i="3" l="1"/>
  <c r="A404" i="1"/>
  <c r="D7" i="3"/>
  <c r="Q264" i="1" l="1"/>
  <c r="E64" i="3"/>
  <c r="F64" i="3"/>
  <c r="G64" i="3"/>
  <c r="H64" i="3"/>
  <c r="J64" i="3"/>
  <c r="K64" i="3"/>
  <c r="L64" i="3"/>
  <c r="I425" i="1"/>
  <c r="I424" i="1" s="1"/>
  <c r="J425" i="1"/>
  <c r="J424" i="1" s="1"/>
  <c r="K425" i="1"/>
  <c r="L425" i="1"/>
  <c r="M425" i="1"/>
  <c r="M424" i="1" s="1"/>
  <c r="N425" i="1"/>
  <c r="N424" i="1" s="1"/>
  <c r="P425" i="1"/>
  <c r="P424" i="1" s="1"/>
  <c r="H425" i="1"/>
  <c r="Q426" i="1"/>
  <c r="Q428" i="1"/>
  <c r="Q427" i="1"/>
  <c r="O426" i="1"/>
  <c r="O428" i="1"/>
  <c r="O427" i="1"/>
  <c r="D65" i="3" l="1"/>
  <c r="D64" i="3" s="1"/>
  <c r="C65" i="3"/>
  <c r="C64" i="3" s="1"/>
  <c r="M65" i="3"/>
  <c r="M64" i="3" s="1"/>
  <c r="N135" i="3"/>
  <c r="I64" i="3"/>
  <c r="O425" i="1"/>
  <c r="O424" i="1" s="1"/>
  <c r="H424" i="1"/>
  <c r="C134" i="3" s="1"/>
  <c r="K424" i="1"/>
  <c r="D134" i="3" s="1"/>
  <c r="L424" i="1"/>
  <c r="E23" i="3" l="1"/>
  <c r="F23" i="3"/>
  <c r="G23" i="3"/>
  <c r="H23" i="3"/>
  <c r="J23" i="3"/>
  <c r="K23" i="3"/>
  <c r="L23" i="3"/>
  <c r="I304" i="1"/>
  <c r="I303" i="1" s="1"/>
  <c r="J304" i="1"/>
  <c r="J303" i="1" s="1"/>
  <c r="K304" i="1"/>
  <c r="M304" i="1"/>
  <c r="M303" i="1" s="1"/>
  <c r="N304" i="1"/>
  <c r="N303" i="1" s="1"/>
  <c r="P304" i="1"/>
  <c r="P303" i="1" s="1"/>
  <c r="H304" i="1"/>
  <c r="Q306" i="1"/>
  <c r="C24" i="3" l="1"/>
  <c r="C23" i="3" s="1"/>
  <c r="D24" i="3"/>
  <c r="D23" i="3" s="1"/>
  <c r="I23" i="3"/>
  <c r="H303" i="1"/>
  <c r="K303" i="1"/>
  <c r="H450" i="1"/>
  <c r="Q387" i="1"/>
  <c r="Q388" i="1"/>
  <c r="Q394" i="1"/>
  <c r="Q386" i="1"/>
  <c r="O387" i="1"/>
  <c r="O388" i="1"/>
  <c r="O386" i="1"/>
  <c r="H449" i="1" l="1"/>
  <c r="C144" i="3"/>
  <c r="I269" i="1"/>
  <c r="J269" i="1"/>
  <c r="K269" i="1"/>
  <c r="M269" i="1"/>
  <c r="N269" i="1"/>
  <c r="P269" i="1"/>
  <c r="O270" i="1"/>
  <c r="E79" i="3"/>
  <c r="F79" i="3"/>
  <c r="G79" i="3"/>
  <c r="H79" i="3"/>
  <c r="J79" i="3"/>
  <c r="K79" i="3"/>
  <c r="Q462" i="1"/>
  <c r="Q464" i="1"/>
  <c r="Q463" i="1"/>
  <c r="I461" i="1"/>
  <c r="I460" i="1" s="1"/>
  <c r="J461" i="1"/>
  <c r="J460" i="1" s="1"/>
  <c r="K461" i="1"/>
  <c r="L461" i="1"/>
  <c r="M461" i="1"/>
  <c r="M460" i="1" s="1"/>
  <c r="N461" i="1"/>
  <c r="N460" i="1" s="1"/>
  <c r="P461" i="1"/>
  <c r="P460" i="1" s="1"/>
  <c r="H461" i="1"/>
  <c r="H460" i="1" s="1"/>
  <c r="O462" i="1"/>
  <c r="O464" i="1"/>
  <c r="O463" i="1"/>
  <c r="I79" i="3" l="1"/>
  <c r="C79" i="3"/>
  <c r="L460" i="1"/>
  <c r="L79" i="3" s="1"/>
  <c r="O269" i="1"/>
  <c r="K460" i="1"/>
  <c r="D79" i="3" s="1"/>
  <c r="O461" i="1"/>
  <c r="O460" i="1" s="1"/>
  <c r="L269" i="1"/>
  <c r="H269" i="1"/>
  <c r="A517" i="1" l="1"/>
  <c r="A519" i="1" s="1"/>
  <c r="A526" i="1" s="1"/>
  <c r="A527" i="1" s="1"/>
  <c r="A528" i="1" s="1"/>
  <c r="A529" i="1" s="1"/>
  <c r="A530" i="1" s="1"/>
  <c r="A535" i="1" s="1"/>
  <c r="A539" i="1" s="1"/>
  <c r="A540" i="1" s="1"/>
  <c r="A541" i="1" s="1"/>
  <c r="A542" i="1" s="1"/>
  <c r="A543" i="1" s="1"/>
  <c r="A544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C17" i="3"/>
  <c r="M17" i="3"/>
  <c r="M16" i="3"/>
  <c r="M79" i="3"/>
  <c r="N79" i="3"/>
  <c r="E55" i="3"/>
  <c r="F55" i="3"/>
  <c r="G55" i="3"/>
  <c r="I55" i="3" s="1"/>
  <c r="J55" i="3"/>
  <c r="K55" i="3"/>
  <c r="L55" i="3"/>
  <c r="O450" i="1"/>
  <c r="O449" i="1" s="1"/>
  <c r="L452" i="1"/>
  <c r="L451" i="1"/>
  <c r="L454" i="1"/>
  <c r="L455" i="1"/>
  <c r="M209" i="3" s="1"/>
  <c r="L456" i="1"/>
  <c r="L457" i="1"/>
  <c r="L458" i="1"/>
  <c r="L459" i="1"/>
  <c r="M212" i="3" s="1"/>
  <c r="L453" i="1"/>
  <c r="Q535" i="1"/>
  <c r="O535" i="1"/>
  <c r="Q530" i="1"/>
  <c r="Q528" i="1"/>
  <c r="Q526" i="1"/>
  <c r="Q527" i="1"/>
  <c r="Q529" i="1"/>
  <c r="O530" i="1"/>
  <c r="O528" i="1"/>
  <c r="O526" i="1"/>
  <c r="O527" i="1"/>
  <c r="O529" i="1"/>
  <c r="N212" i="3" l="1"/>
  <c r="N145" i="3"/>
  <c r="N144" i="3" s="1"/>
  <c r="M144" i="3"/>
  <c r="I525" i="1"/>
  <c r="I524" i="1" s="1"/>
  <c r="I523" i="1" s="1"/>
  <c r="J525" i="1"/>
  <c r="J524" i="1" s="1"/>
  <c r="J523" i="1" s="1"/>
  <c r="K525" i="1"/>
  <c r="K524" i="1" s="1"/>
  <c r="L525" i="1"/>
  <c r="M525" i="1"/>
  <c r="M524" i="1" s="1"/>
  <c r="M523" i="1" s="1"/>
  <c r="N525" i="1"/>
  <c r="N524" i="1" s="1"/>
  <c r="N523" i="1" s="1"/>
  <c r="O525" i="1"/>
  <c r="O524" i="1" s="1"/>
  <c r="O523" i="1" s="1"/>
  <c r="P525" i="1"/>
  <c r="P524" i="1" s="1"/>
  <c r="P523" i="1" s="1"/>
  <c r="H527" i="1"/>
  <c r="C234" i="3" s="1"/>
  <c r="H526" i="1"/>
  <c r="H529" i="1"/>
  <c r="K523" i="1" l="1"/>
  <c r="D164" i="3" s="1"/>
  <c r="D233" i="3"/>
  <c r="L524" i="1"/>
  <c r="N65" i="3"/>
  <c r="N64" i="3" s="1"/>
  <c r="H525" i="1"/>
  <c r="H403" i="1"/>
  <c r="I403" i="1"/>
  <c r="J403" i="1"/>
  <c r="K403" i="1"/>
  <c r="L403" i="1"/>
  <c r="M403" i="1"/>
  <c r="N403" i="1"/>
  <c r="O403" i="1"/>
  <c r="Q404" i="1"/>
  <c r="H415" i="1"/>
  <c r="I415" i="1"/>
  <c r="J415" i="1"/>
  <c r="K415" i="1"/>
  <c r="L415" i="1"/>
  <c r="M415" i="1"/>
  <c r="N415" i="1"/>
  <c r="O415" i="1"/>
  <c r="M62" i="3"/>
  <c r="M61" i="3" l="1"/>
  <c r="L384" i="1"/>
  <c r="M120" i="3" s="1"/>
  <c r="H384" i="1"/>
  <c r="C120" i="3" s="1"/>
  <c r="C118" i="3" s="1"/>
  <c r="M384" i="1"/>
  <c r="I384" i="1"/>
  <c r="N384" i="1"/>
  <c r="K384" i="1"/>
  <c r="L523" i="1"/>
  <c r="L233" i="3"/>
  <c r="H524" i="1"/>
  <c r="M58" i="3"/>
  <c r="N62" i="3"/>
  <c r="J384" i="1"/>
  <c r="Q393" i="1"/>
  <c r="O393" i="1"/>
  <c r="Q390" i="1"/>
  <c r="O390" i="1"/>
  <c r="Q392" i="1"/>
  <c r="O392" i="1"/>
  <c r="Q389" i="1"/>
  <c r="O389" i="1"/>
  <c r="P384" i="1"/>
  <c r="O385" i="1" l="1"/>
  <c r="O384" i="1" s="1"/>
  <c r="N233" i="3"/>
  <c r="N231" i="3" s="1"/>
  <c r="L231" i="3"/>
  <c r="H523" i="1"/>
  <c r="C164" i="3" s="1"/>
  <c r="C233" i="3"/>
  <c r="N165" i="3"/>
  <c r="N120" i="3"/>
  <c r="N118" i="3" s="1"/>
  <c r="M118" i="3"/>
  <c r="D55" i="3"/>
  <c r="D120" i="3"/>
  <c r="D118" i="3" s="1"/>
  <c r="C55" i="3"/>
  <c r="M56" i="3"/>
  <c r="M55" i="3" s="1"/>
  <c r="N61" i="3"/>
  <c r="C67" i="3"/>
  <c r="C66" i="3" s="1"/>
  <c r="Q432" i="1"/>
  <c r="O432" i="1"/>
  <c r="O430" i="1" s="1"/>
  <c r="E74" i="3"/>
  <c r="F74" i="3"/>
  <c r="G74" i="3"/>
  <c r="H74" i="3"/>
  <c r="J74" i="3"/>
  <c r="K74" i="3"/>
  <c r="L74" i="3"/>
  <c r="Q533" i="1"/>
  <c r="R533" i="1"/>
  <c r="S533" i="1"/>
  <c r="I534" i="1"/>
  <c r="I533" i="1" s="1"/>
  <c r="K534" i="1"/>
  <c r="M534" i="1"/>
  <c r="M533" i="1" s="1"/>
  <c r="N534" i="1"/>
  <c r="N533" i="1" s="1"/>
  <c r="P533" i="1"/>
  <c r="H534" i="1"/>
  <c r="J535" i="1"/>
  <c r="J534" i="1" s="1"/>
  <c r="J533" i="1" s="1"/>
  <c r="I450" i="1"/>
  <c r="I449" i="1" s="1"/>
  <c r="K450" i="1"/>
  <c r="M450" i="1"/>
  <c r="M449" i="1" s="1"/>
  <c r="N450" i="1"/>
  <c r="N449" i="1" s="1"/>
  <c r="Q459" i="1"/>
  <c r="Q458" i="1"/>
  <c r="J458" i="1"/>
  <c r="Q457" i="1"/>
  <c r="Q456" i="1"/>
  <c r="J456" i="1"/>
  <c r="Q455" i="1"/>
  <c r="Q454" i="1"/>
  <c r="Q451" i="1"/>
  <c r="Q452" i="1"/>
  <c r="L450" i="1"/>
  <c r="L449" i="1" s="1"/>
  <c r="J453" i="1"/>
  <c r="K449" i="1" l="1"/>
  <c r="D144" i="3"/>
  <c r="I74" i="3"/>
  <c r="H533" i="1"/>
  <c r="C236" i="3" s="1"/>
  <c r="C75" i="3"/>
  <c r="N55" i="3"/>
  <c r="N58" i="3"/>
  <c r="D75" i="3"/>
  <c r="J450" i="1"/>
  <c r="J449" i="1" s="1"/>
  <c r="K533" i="1"/>
  <c r="Q453" i="1"/>
  <c r="D74" i="3" l="1"/>
  <c r="D236" i="3"/>
  <c r="C74" i="3"/>
  <c r="M75" i="3"/>
  <c r="N75" i="3" s="1"/>
  <c r="N74" i="3" s="1"/>
  <c r="N56" i="3"/>
  <c r="I205" i="1"/>
  <c r="J205" i="1"/>
  <c r="K205" i="1"/>
  <c r="L205" i="1"/>
  <c r="M205" i="1"/>
  <c r="N205" i="1"/>
  <c r="O205" i="1"/>
  <c r="P205" i="1"/>
  <c r="H205" i="1"/>
  <c r="Q488" i="1"/>
  <c r="O488" i="1"/>
  <c r="I486" i="1"/>
  <c r="I485" i="1" s="1"/>
  <c r="J486" i="1"/>
  <c r="J485" i="1" s="1"/>
  <c r="K486" i="1"/>
  <c r="L486" i="1"/>
  <c r="M486" i="1"/>
  <c r="M485" i="1" s="1"/>
  <c r="N486" i="1"/>
  <c r="N485" i="1" s="1"/>
  <c r="H486" i="1"/>
  <c r="P486" i="1"/>
  <c r="P485" i="1" s="1"/>
  <c r="Q489" i="1"/>
  <c r="Q490" i="1"/>
  <c r="Q487" i="1"/>
  <c r="O490" i="1"/>
  <c r="O487" i="1"/>
  <c r="O489" i="1"/>
  <c r="D89" i="3" l="1"/>
  <c r="H485" i="1"/>
  <c r="C89" i="3"/>
  <c r="D9" i="3"/>
  <c r="M74" i="3"/>
  <c r="M9" i="3"/>
  <c r="K485" i="1"/>
  <c r="L485" i="1"/>
  <c r="N53" i="3"/>
  <c r="C9" i="3"/>
  <c r="O486" i="1"/>
  <c r="O485" i="1" s="1"/>
  <c r="C88" i="3" l="1"/>
  <c r="D88" i="3"/>
  <c r="Q355" i="1"/>
  <c r="Q354" i="1"/>
  <c r="Q359" i="1"/>
  <c r="Q356" i="1"/>
  <c r="Q358" i="1"/>
  <c r="Q361" i="1"/>
  <c r="Q357" i="1"/>
  <c r="Q362" i="1"/>
  <c r="O355" i="1"/>
  <c r="O354" i="1"/>
  <c r="O359" i="1"/>
  <c r="O356" i="1"/>
  <c r="O358" i="1"/>
  <c r="O361" i="1"/>
  <c r="O357" i="1"/>
  <c r="O362" i="1"/>
  <c r="L353" i="1"/>
  <c r="N41" i="3" l="1"/>
  <c r="N40" i="3" s="1"/>
  <c r="Q431" i="1"/>
  <c r="Q429" i="1"/>
  <c r="R429" i="1"/>
  <c r="I429" i="1"/>
  <c r="J429" i="1"/>
  <c r="D67" i="3"/>
  <c r="D66" i="3" s="1"/>
  <c r="M429" i="1"/>
  <c r="N429" i="1"/>
  <c r="O429" i="1"/>
  <c r="P429" i="1"/>
  <c r="Q265" i="1"/>
  <c r="Q266" i="1"/>
  <c r="Q267" i="1"/>
  <c r="Q260" i="1"/>
  <c r="R260" i="1"/>
  <c r="I260" i="1"/>
  <c r="J260" i="1"/>
  <c r="K260" i="1"/>
  <c r="M260" i="1"/>
  <c r="N260" i="1"/>
  <c r="O260" i="1"/>
  <c r="P260" i="1"/>
  <c r="C14" i="3"/>
  <c r="L260" i="1" l="1"/>
  <c r="H429" i="1"/>
  <c r="C136" i="3" s="1"/>
  <c r="L429" i="1"/>
  <c r="M136" i="3" s="1"/>
  <c r="K429" i="1"/>
  <c r="D136" i="3" s="1"/>
  <c r="D167" i="3"/>
  <c r="C167" i="3"/>
  <c r="N136" i="3" l="1"/>
  <c r="N134" i="3" s="1"/>
  <c r="M134" i="3"/>
  <c r="M15" i="3"/>
  <c r="M14" i="3" s="1"/>
  <c r="N38" i="3"/>
  <c r="D77" i="3"/>
  <c r="D76" i="3" s="1"/>
  <c r="C77" i="3"/>
  <c r="C76" i="3" s="1"/>
  <c r="I532" i="1"/>
  <c r="I521" i="1" s="1"/>
  <c r="J532" i="1"/>
  <c r="J521" i="1" s="1"/>
  <c r="N532" i="1"/>
  <c r="N521" i="1" s="1"/>
  <c r="P532" i="1"/>
  <c r="P521" i="1" s="1"/>
  <c r="M8" i="3"/>
  <c r="P188" i="1"/>
  <c r="C8" i="3"/>
  <c r="N78" i="3" l="1"/>
  <c r="V564" i="2"/>
  <c r="M532" i="1"/>
  <c r="M521" i="1" s="1"/>
  <c r="D8" i="3"/>
  <c r="Q334" i="1"/>
  <c r="Q333" i="1"/>
  <c r="D38" i="3"/>
  <c r="C38" i="3"/>
  <c r="O333" i="1"/>
  <c r="O216" i="1"/>
  <c r="Q481" i="1"/>
  <c r="I480" i="1"/>
  <c r="I479" i="1" s="1"/>
  <c r="J480" i="1"/>
  <c r="J479" i="1" s="1"/>
  <c r="K480" i="1"/>
  <c r="M480" i="1"/>
  <c r="M479" i="1" s="1"/>
  <c r="N480" i="1"/>
  <c r="N479" i="1" s="1"/>
  <c r="O480" i="1"/>
  <c r="O479" i="1" s="1"/>
  <c r="P480" i="1"/>
  <c r="P479" i="1" s="1"/>
  <c r="H480" i="1"/>
  <c r="H479" i="1" s="1"/>
  <c r="Q381" i="1"/>
  <c r="Q327" i="1"/>
  <c r="Q328" i="1"/>
  <c r="Q330" i="1"/>
  <c r="Q326" i="1"/>
  <c r="Q322" i="1"/>
  <c r="C85" i="3" l="1"/>
  <c r="M77" i="3"/>
  <c r="M76" i="3" s="1"/>
  <c r="M167" i="3"/>
  <c r="H532" i="1"/>
  <c r="H521" i="1" s="1"/>
  <c r="K532" i="1"/>
  <c r="K521" i="1" s="1"/>
  <c r="D10" i="3"/>
  <c r="K479" i="1"/>
  <c r="L480" i="1"/>
  <c r="M214" i="3" s="1"/>
  <c r="Q482" i="1"/>
  <c r="C10" i="3"/>
  <c r="Q315" i="1"/>
  <c r="Q313" i="1"/>
  <c r="Q309" i="1"/>
  <c r="Q283" i="1"/>
  <c r="Q245" i="1"/>
  <c r="Q246" i="1"/>
  <c r="Q247" i="1"/>
  <c r="Q507" i="1"/>
  <c r="Q508" i="1"/>
  <c r="Q509" i="1"/>
  <c r="Q510" i="1"/>
  <c r="Q505" i="1"/>
  <c r="Q504" i="1"/>
  <c r="Q506" i="1"/>
  <c r="Q500" i="1"/>
  <c r="Q502" i="1"/>
  <c r="Q501" i="1"/>
  <c r="Q478" i="1"/>
  <c r="Q447" i="1"/>
  <c r="Q368" i="1"/>
  <c r="Q340" i="1"/>
  <c r="D85" i="3" l="1"/>
  <c r="N77" i="3"/>
  <c r="N76" i="3" s="1"/>
  <c r="N167" i="3"/>
  <c r="N164" i="3" s="1"/>
  <c r="M164" i="3"/>
  <c r="L479" i="1"/>
  <c r="N85" i="3" s="1"/>
  <c r="D31" i="3" l="1"/>
  <c r="C31" i="3"/>
  <c r="E37" i="3"/>
  <c r="F37" i="3"/>
  <c r="G37" i="3"/>
  <c r="I37" i="3" s="1"/>
  <c r="J37" i="3"/>
  <c r="K37" i="3"/>
  <c r="L37" i="3"/>
  <c r="I336" i="1"/>
  <c r="J336" i="1"/>
  <c r="K336" i="1"/>
  <c r="D39" i="3" s="1"/>
  <c r="M336" i="1"/>
  <c r="N336" i="1"/>
  <c r="O336" i="1"/>
  <c r="P336" i="1"/>
  <c r="H336" i="1"/>
  <c r="L337" i="1"/>
  <c r="H321" i="1"/>
  <c r="M31" i="3" l="1"/>
  <c r="N31" i="3" s="1"/>
  <c r="L336" i="1"/>
  <c r="Q337" i="1"/>
  <c r="C39" i="3"/>
  <c r="H331" i="1"/>
  <c r="I321" i="1"/>
  <c r="J321" i="1"/>
  <c r="K321" i="1"/>
  <c r="L321" i="1"/>
  <c r="M321" i="1"/>
  <c r="N321" i="1"/>
  <c r="P321" i="1"/>
  <c r="C34" i="3"/>
  <c r="O321" i="1"/>
  <c r="M34" i="3" l="1"/>
  <c r="N34" i="3" s="1"/>
  <c r="N33" i="3" s="1"/>
  <c r="M39" i="3"/>
  <c r="M37" i="3" s="1"/>
  <c r="C37" i="3"/>
  <c r="D30" i="3"/>
  <c r="C30" i="3"/>
  <c r="I314" i="1"/>
  <c r="I307" i="1" s="1"/>
  <c r="J314" i="1"/>
  <c r="J307" i="1" s="1"/>
  <c r="K314" i="1"/>
  <c r="L314" i="1"/>
  <c r="M314" i="1"/>
  <c r="M307" i="1" s="1"/>
  <c r="O314" i="1"/>
  <c r="P314" i="1"/>
  <c r="H314" i="1"/>
  <c r="N314" i="1"/>
  <c r="N307" i="1" s="1"/>
  <c r="D26" i="3"/>
  <c r="C26" i="3"/>
  <c r="O313" i="1"/>
  <c r="O312" i="1" s="1"/>
  <c r="O307" i="1" l="1"/>
  <c r="L307" i="1"/>
  <c r="C29" i="3"/>
  <c r="H307" i="1"/>
  <c r="D29" i="3"/>
  <c r="K307" i="1"/>
  <c r="N39" i="3"/>
  <c r="N37" i="3" s="1"/>
  <c r="M33" i="3"/>
  <c r="M29" i="3"/>
  <c r="N29" i="3" s="1"/>
  <c r="M28" i="3"/>
  <c r="N28" i="3" s="1"/>
  <c r="M26" i="3"/>
  <c r="M30" i="3"/>
  <c r="N30" i="3" s="1"/>
  <c r="P309" i="1"/>
  <c r="P308" i="1" s="1"/>
  <c r="P307" i="1" s="1"/>
  <c r="M11" i="3"/>
  <c r="D28" i="3"/>
  <c r="C28" i="3"/>
  <c r="D25" i="3" l="1"/>
  <c r="C25" i="3"/>
  <c r="M25" i="3"/>
  <c r="N26" i="3"/>
  <c r="N25" i="3" s="1"/>
  <c r="D21" i="3"/>
  <c r="D20" i="3" s="1"/>
  <c r="N17" i="3" l="1"/>
  <c r="N16" i="3" s="1"/>
  <c r="E46" i="3"/>
  <c r="F46" i="3"/>
  <c r="G46" i="3"/>
  <c r="H46" i="3"/>
  <c r="J46" i="3"/>
  <c r="K46" i="3"/>
  <c r="E48" i="3"/>
  <c r="F48" i="3"/>
  <c r="G48" i="3"/>
  <c r="H48" i="3"/>
  <c r="J48" i="3"/>
  <c r="K48" i="3"/>
  <c r="L48" i="3"/>
  <c r="I363" i="1"/>
  <c r="K363" i="1"/>
  <c r="M49" i="3"/>
  <c r="M363" i="1"/>
  <c r="M362" i="1" s="1"/>
  <c r="N363" i="1"/>
  <c r="N362" i="1" s="1"/>
  <c r="P363" i="1"/>
  <c r="P362" i="1" s="1"/>
  <c r="J363" i="1"/>
  <c r="I46" i="3" l="1"/>
  <c r="I48" i="3"/>
  <c r="D49" i="3"/>
  <c r="D48" i="3" s="1"/>
  <c r="O364" i="1"/>
  <c r="O363" i="1" s="1"/>
  <c r="M48" i="3"/>
  <c r="N49" i="3"/>
  <c r="N48" i="3" s="1"/>
  <c r="N15" i="3"/>
  <c r="N14" i="3" s="1"/>
  <c r="L363" i="1"/>
  <c r="C48" i="3"/>
  <c r="E33" i="3"/>
  <c r="F33" i="3"/>
  <c r="G33" i="3"/>
  <c r="H33" i="3"/>
  <c r="J33" i="3"/>
  <c r="K33" i="3"/>
  <c r="L33" i="3"/>
  <c r="I320" i="1"/>
  <c r="J320" i="1"/>
  <c r="K320" i="1"/>
  <c r="M320" i="1"/>
  <c r="N320" i="1"/>
  <c r="O320" i="1"/>
  <c r="P320" i="1"/>
  <c r="H320" i="1"/>
  <c r="D33" i="3" l="1"/>
  <c r="I33" i="3"/>
  <c r="C33" i="3"/>
  <c r="D34" i="3"/>
  <c r="L320" i="1"/>
  <c r="N109" i="3" s="1"/>
  <c r="O507" i="1"/>
  <c r="O508" i="1"/>
  <c r="O509" i="1"/>
  <c r="O510" i="1"/>
  <c r="O505" i="1"/>
  <c r="O504" i="1"/>
  <c r="O506" i="1"/>
  <c r="O503" i="1" l="1"/>
  <c r="N11" i="3"/>
  <c r="C101" i="3"/>
  <c r="D101" i="3"/>
  <c r="I353" i="1"/>
  <c r="I352" i="1" s="1"/>
  <c r="J353" i="1"/>
  <c r="J352" i="1" s="1"/>
  <c r="K353" i="1"/>
  <c r="L352" i="1"/>
  <c r="H353" i="1"/>
  <c r="C7" i="7" l="1"/>
  <c r="K352" i="1"/>
  <c r="M47" i="3"/>
  <c r="N47" i="3" s="1"/>
  <c r="N46" i="3" s="1"/>
  <c r="H352" i="1"/>
  <c r="C47" i="3"/>
  <c r="O353" i="1"/>
  <c r="O352" i="1" s="1"/>
  <c r="D47" i="3"/>
  <c r="M46" i="3" l="1"/>
  <c r="N9" i="3"/>
  <c r="L46" i="3"/>
  <c r="D46" i="3"/>
  <c r="C46" i="3"/>
  <c r="E35" i="3"/>
  <c r="F35" i="3"/>
  <c r="G35" i="3"/>
  <c r="I35" i="3" s="1"/>
  <c r="J35" i="3"/>
  <c r="K35" i="3"/>
  <c r="L35" i="3"/>
  <c r="N8" i="3" l="1"/>
  <c r="N7" i="3"/>
  <c r="I325" i="1"/>
  <c r="I324" i="1" s="1"/>
  <c r="J325" i="1"/>
  <c r="J324" i="1" s="1"/>
  <c r="K325" i="1"/>
  <c r="L325" i="1"/>
  <c r="N325" i="1"/>
  <c r="N324" i="1" s="1"/>
  <c r="O325" i="1"/>
  <c r="O324" i="1" s="1"/>
  <c r="H325" i="1"/>
  <c r="M36" i="3" l="1"/>
  <c r="N36" i="3" s="1"/>
  <c r="N35" i="3" s="1"/>
  <c r="L324" i="1"/>
  <c r="C36" i="3"/>
  <c r="H324" i="1"/>
  <c r="D36" i="3"/>
  <c r="K324" i="1"/>
  <c r="E68" i="3"/>
  <c r="F68" i="3"/>
  <c r="G68" i="3"/>
  <c r="H68" i="3"/>
  <c r="J68" i="3"/>
  <c r="K68" i="3"/>
  <c r="D69" i="3"/>
  <c r="M69" i="3"/>
  <c r="C69" i="3"/>
  <c r="J443" i="1"/>
  <c r="K443" i="1"/>
  <c r="D71" i="3" s="1"/>
  <c r="L443" i="1"/>
  <c r="M443" i="1"/>
  <c r="N443" i="1"/>
  <c r="P443" i="1"/>
  <c r="H443" i="1"/>
  <c r="C71" i="3" s="1"/>
  <c r="O443" i="1"/>
  <c r="D35" i="3" l="1"/>
  <c r="I68" i="3"/>
  <c r="M35" i="3"/>
  <c r="C35" i="3"/>
  <c r="N69" i="3"/>
  <c r="I443" i="1"/>
  <c r="Q444" i="1"/>
  <c r="L68" i="3"/>
  <c r="I441" i="1"/>
  <c r="J441" i="1"/>
  <c r="J434" i="1" s="1"/>
  <c r="K441" i="1"/>
  <c r="L441" i="1"/>
  <c r="M441" i="1"/>
  <c r="M434" i="1" s="1"/>
  <c r="N441" i="1"/>
  <c r="O441" i="1"/>
  <c r="P441" i="1"/>
  <c r="P434" i="1" s="1"/>
  <c r="H434" i="1"/>
  <c r="M70" i="3" l="1"/>
  <c r="N70" i="3" s="1"/>
  <c r="N68" i="3" s="1"/>
  <c r="I434" i="1"/>
  <c r="C68" i="3"/>
  <c r="O434" i="1"/>
  <c r="L434" i="1"/>
  <c r="C70" i="3"/>
  <c r="D70" i="3"/>
  <c r="K434" i="1"/>
  <c r="D68" i="3" s="1"/>
  <c r="M68" i="3" l="1"/>
  <c r="J51" i="3"/>
  <c r="K51" i="3"/>
  <c r="I380" i="1"/>
  <c r="I376" i="1" s="1"/>
  <c r="J380" i="1"/>
  <c r="J376" i="1" s="1"/>
  <c r="K380" i="1"/>
  <c r="M380" i="1"/>
  <c r="M376" i="1" s="1"/>
  <c r="N380" i="1"/>
  <c r="N376" i="1" s="1"/>
  <c r="O380" i="1"/>
  <c r="O376" i="1" s="1"/>
  <c r="P380" i="1"/>
  <c r="P376" i="1" s="1"/>
  <c r="H380" i="1"/>
  <c r="K376" i="1" l="1"/>
  <c r="H376" i="1"/>
  <c r="C53" i="3"/>
  <c r="D53" i="3"/>
  <c r="D51" i="3" s="1"/>
  <c r="L51" i="3"/>
  <c r="C51" i="3" l="1"/>
  <c r="O245" i="1"/>
  <c r="O246" i="1"/>
  <c r="O247" i="1"/>
  <c r="N499" i="1"/>
  <c r="N496" i="1" s="1"/>
  <c r="J499" i="1"/>
  <c r="J496" i="1" s="1"/>
  <c r="I499" i="1"/>
  <c r="I496" i="1" s="1"/>
  <c r="K499" i="1"/>
  <c r="K496" i="1" s="1"/>
  <c r="L499" i="1"/>
  <c r="L496" i="1" s="1"/>
  <c r="M499" i="1"/>
  <c r="M496" i="1" s="1"/>
  <c r="O499" i="1"/>
  <c r="O496" i="1" s="1"/>
  <c r="P499" i="1"/>
  <c r="P496" i="1" s="1"/>
  <c r="H499" i="1"/>
  <c r="H496" i="1" s="1"/>
  <c r="E72" i="3"/>
  <c r="F72" i="3"/>
  <c r="G72" i="3"/>
  <c r="H72" i="3"/>
  <c r="J72" i="3"/>
  <c r="K72" i="3"/>
  <c r="L72" i="3"/>
  <c r="I445" i="1"/>
  <c r="J445" i="1"/>
  <c r="D73" i="3"/>
  <c r="D72" i="3" s="1"/>
  <c r="M445" i="1"/>
  <c r="N445" i="1"/>
  <c r="P445" i="1"/>
  <c r="H445" i="1"/>
  <c r="O447" i="1"/>
  <c r="D62" i="3"/>
  <c r="C62" i="3"/>
  <c r="I282" i="1"/>
  <c r="I281" i="1" s="1"/>
  <c r="J282" i="1"/>
  <c r="J281" i="1" s="1"/>
  <c r="K282" i="1"/>
  <c r="L282" i="1"/>
  <c r="M282" i="1"/>
  <c r="M281" i="1" s="1"/>
  <c r="N282" i="1"/>
  <c r="N281" i="1" s="1"/>
  <c r="O282" i="1"/>
  <c r="O281" i="1" s="1"/>
  <c r="P282" i="1"/>
  <c r="P281" i="1" s="1"/>
  <c r="H282" i="1"/>
  <c r="I477" i="1"/>
  <c r="I476" i="1" s="1"/>
  <c r="J477" i="1"/>
  <c r="J476" i="1" s="1"/>
  <c r="K477" i="1"/>
  <c r="L477" i="1"/>
  <c r="M213" i="3" s="1"/>
  <c r="M477" i="1"/>
  <c r="M476" i="1" s="1"/>
  <c r="N477" i="1"/>
  <c r="N476" i="1" s="1"/>
  <c r="P477" i="1"/>
  <c r="P476" i="1" s="1"/>
  <c r="P471" i="1" s="1"/>
  <c r="P470" i="1" s="1"/>
  <c r="H477" i="1"/>
  <c r="O478" i="1"/>
  <c r="O477" i="1" s="1"/>
  <c r="O476" i="1" s="1"/>
  <c r="D61" i="3"/>
  <c r="C61" i="3"/>
  <c r="C40" i="3"/>
  <c r="E40" i="3"/>
  <c r="F40" i="3"/>
  <c r="J40" i="3"/>
  <c r="K40" i="3"/>
  <c r="O340" i="1"/>
  <c r="I331" i="1"/>
  <c r="J331" i="1"/>
  <c r="K331" i="1"/>
  <c r="D37" i="3" s="1"/>
  <c r="L331" i="1"/>
  <c r="N331" i="1"/>
  <c r="O334" i="1"/>
  <c r="O332" i="1" s="1"/>
  <c r="D16" i="3"/>
  <c r="E16" i="3"/>
  <c r="F16" i="3"/>
  <c r="G16" i="3"/>
  <c r="J16" i="3"/>
  <c r="K16" i="3"/>
  <c r="L16" i="3"/>
  <c r="C16" i="3"/>
  <c r="C19" i="3" l="1"/>
  <c r="C18" i="3" s="1"/>
  <c r="D19" i="3"/>
  <c r="D18" i="3" s="1"/>
  <c r="O244" i="1"/>
  <c r="C213" i="3"/>
  <c r="C211" i="3" s="1"/>
  <c r="C151" i="3"/>
  <c r="N213" i="3"/>
  <c r="N211" i="3" s="1"/>
  <c r="M211" i="3"/>
  <c r="K476" i="1"/>
  <c r="D213" i="3"/>
  <c r="D211" i="3" s="1"/>
  <c r="D151" i="3"/>
  <c r="K6" i="3"/>
  <c r="I16" i="3"/>
  <c r="G6" i="3"/>
  <c r="I72" i="3"/>
  <c r="H6" i="3"/>
  <c r="J6" i="3"/>
  <c r="E6" i="3"/>
  <c r="F6" i="3"/>
  <c r="O339" i="1"/>
  <c r="O338" i="1" s="1"/>
  <c r="O446" i="1"/>
  <c r="O445" i="1" s="1"/>
  <c r="L281" i="1"/>
  <c r="M19" i="3"/>
  <c r="M18" i="3" s="1"/>
  <c r="O331" i="1"/>
  <c r="P331" i="1"/>
  <c r="P330" i="1" s="1"/>
  <c r="M331" i="1"/>
  <c r="L445" i="1"/>
  <c r="C73" i="3"/>
  <c r="K445" i="1"/>
  <c r="K281" i="1"/>
  <c r="H281" i="1"/>
  <c r="L476" i="1"/>
  <c r="H476" i="1"/>
  <c r="C83" i="3" l="1"/>
  <c r="M73" i="3"/>
  <c r="M72" i="3" s="1"/>
  <c r="D83" i="3"/>
  <c r="P328" i="1"/>
  <c r="P329" i="1"/>
  <c r="I6" i="3"/>
  <c r="C72" i="3"/>
  <c r="N19" i="3"/>
  <c r="N18" i="3" s="1"/>
  <c r="N73" i="3" l="1"/>
  <c r="N72" i="3" s="1"/>
  <c r="P327" i="1"/>
  <c r="P326" i="1" s="1"/>
  <c r="P325" i="1" s="1"/>
  <c r="P324" i="1" s="1"/>
  <c r="I469" i="1"/>
  <c r="J469" i="1"/>
  <c r="K469" i="1"/>
  <c r="K18" i="1" s="1"/>
  <c r="K16" i="1" s="1"/>
  <c r="L469" i="1"/>
  <c r="M469" i="1"/>
  <c r="N469" i="1"/>
  <c r="P469" i="1"/>
  <c r="H469" i="1"/>
  <c r="D58" i="3"/>
  <c r="J18" i="1"/>
  <c r="J16" i="1" s="1"/>
  <c r="C81" i="3" l="1"/>
  <c r="D81" i="3"/>
  <c r="I18" i="1"/>
  <c r="I16" i="1" s="1"/>
  <c r="H18" i="1"/>
  <c r="H16" i="1" s="1"/>
  <c r="M12" i="3"/>
  <c r="C58" i="3"/>
  <c r="O469" i="1"/>
  <c r="N12" i="3" l="1"/>
  <c r="D6" i="3" l="1"/>
  <c r="L534" i="1" l="1"/>
  <c r="L533" i="1" l="1"/>
  <c r="O534" i="1"/>
  <c r="O533" i="1" s="1"/>
  <c r="Q297" i="1"/>
  <c r="C7" i="3"/>
  <c r="Q298" i="1"/>
  <c r="Q290" i="1"/>
  <c r="Q292" i="1"/>
  <c r="Q296" i="1"/>
  <c r="Q293" i="1"/>
  <c r="Q286" i="1"/>
  <c r="Q289" i="1"/>
  <c r="Q294" i="1"/>
  <c r="L532" i="1" l="1"/>
  <c r="O532" i="1"/>
  <c r="O521" i="1" s="1"/>
  <c r="Q288" i="1"/>
  <c r="Q295" i="1"/>
  <c r="Q291" i="1"/>
  <c r="Q299" i="1"/>
  <c r="L521" i="1" l="1"/>
  <c r="Q287" i="1"/>
  <c r="N237" i="3" l="1"/>
  <c r="N236" i="3" s="1"/>
  <c r="M236" i="3"/>
  <c r="Q305" i="1"/>
  <c r="L304" i="1"/>
  <c r="O304" i="1"/>
  <c r="O303" i="1" s="1"/>
  <c r="L303" i="1" l="1"/>
  <c r="M23" i="3" l="1"/>
  <c r="M24" i="3"/>
  <c r="N24" i="3" s="1"/>
  <c r="N23" i="3" s="1"/>
  <c r="M21" i="3" l="1"/>
  <c r="N21" i="3" l="1"/>
  <c r="N20" i="3" s="1"/>
  <c r="M20" i="3"/>
  <c r="M6" i="3" s="1"/>
  <c r="C21" i="3" l="1"/>
  <c r="C20" i="3" l="1"/>
  <c r="C6" i="3" l="1"/>
  <c r="M247" i="1"/>
  <c r="M246" i="1" s="1"/>
  <c r="M245" i="1" s="1"/>
  <c r="M244" i="1" s="1"/>
  <c r="M361" i="1"/>
  <c r="P361" i="1"/>
  <c r="N361" i="1"/>
  <c r="M358" i="1" l="1"/>
  <c r="M359" i="1"/>
  <c r="N359" i="1"/>
  <c r="N358" i="1"/>
  <c r="P359" i="1"/>
  <c r="P358" i="1"/>
  <c r="M357" i="1" l="1"/>
  <c r="M356" i="1" s="1"/>
  <c r="M355" i="1" s="1"/>
  <c r="M354" i="1" s="1"/>
  <c r="M353" i="1" s="1"/>
  <c r="M352" i="1" s="1"/>
  <c r="M18" i="1" s="1"/>
  <c r="M16" i="1" s="1"/>
  <c r="P357" i="1"/>
  <c r="P356" i="1" s="1"/>
  <c r="P355" i="1" s="1"/>
  <c r="P354" i="1" s="1"/>
  <c r="P353" i="1" s="1"/>
  <c r="P352" i="1" s="1"/>
  <c r="N357" i="1"/>
  <c r="N356" i="1" s="1"/>
  <c r="N355" i="1" s="1"/>
  <c r="N354" i="1" s="1"/>
  <c r="N353" i="1" s="1"/>
  <c r="N352" i="1" s="1"/>
  <c r="P16" i="1" l="1"/>
  <c r="P18" i="1"/>
  <c r="N434" i="1"/>
  <c r="N18" i="1" s="1"/>
  <c r="N16" i="1" s="1"/>
  <c r="O208" i="1"/>
  <c r="Q209" i="1"/>
  <c r="O209" i="1"/>
  <c r="O210" i="1"/>
  <c r="O211" i="1"/>
  <c r="O212" i="1"/>
  <c r="O213" i="1"/>
  <c r="O214" i="1"/>
  <c r="O215" i="1"/>
  <c r="O217" i="1"/>
  <c r="O218" i="1"/>
  <c r="O219" i="1"/>
  <c r="L18" i="1"/>
  <c r="L16" i="1" s="1"/>
  <c r="N6" i="3"/>
  <c r="O207" i="1" l="1"/>
  <c r="O18" i="1" s="1"/>
  <c r="O16" i="1" s="1"/>
  <c r="L6" i="3"/>
  <c r="F46" i="7" l="1"/>
  <c r="F43" i="7" s="1"/>
  <c r="F7" i="7" s="1"/>
  <c r="M14" i="5" l="1"/>
  <c r="Q365" i="5" l="1"/>
  <c r="C664" i="6"/>
  <c r="C661" i="6" s="1"/>
  <c r="C498" i="6" s="1"/>
  <c r="O808" i="5"/>
  <c r="O806" i="5" s="1"/>
  <c r="O523" i="5" l="1"/>
  <c r="O521" i="5" l="1"/>
</calcChain>
</file>

<file path=xl/sharedStrings.xml><?xml version="1.0" encoding="utf-8"?>
<sst xmlns="http://schemas.openxmlformats.org/spreadsheetml/2006/main" count="8909" uniqueCount="2278">
  <si>
    <t>№ п/п</t>
  </si>
  <si>
    <t>Год</t>
  </si>
  <si>
    <t>Материал стен</t>
  </si>
  <si>
    <t>Количество этажей</t>
  </si>
  <si>
    <t>Количество подъездов</t>
  </si>
  <si>
    <t>Площадь помещений МКД:</t>
  </si>
  <si>
    <t>Количество жителей, зарегистрированных в МКД на дату утверждения краткосрочного плана</t>
  </si>
  <si>
    <t>Стоимость капитального ремонта</t>
  </si>
  <si>
    <t>Удельная стоимость капитального ремонта 1 кв. м общей площади помещений МКД</t>
  </si>
  <si>
    <t>Предельная стоимость капитального ремонта 1 кв. м общей площади помещений МКД</t>
  </si>
  <si>
    <t>Плановая дата завершения работ</t>
  </si>
  <si>
    <t>ввода в эксплуатацию</t>
  </si>
  <si>
    <t>всего:</t>
  </si>
  <si>
    <t>в том числе жилых помещений, находящихся в собственности граждан</t>
  </si>
  <si>
    <t>за счет средств местного бюджета</t>
  </si>
  <si>
    <t>за счет средств собственников помещений в МКД</t>
  </si>
  <si>
    <t>чел.</t>
  </si>
  <si>
    <t>руб.</t>
  </si>
  <si>
    <t>в том числе</t>
  </si>
  <si>
    <t>за счет привлеченных средств</t>
  </si>
  <si>
    <t>Всего</t>
  </si>
  <si>
    <t>кв. м</t>
  </si>
  <si>
    <t>Адрес МКД</t>
  </si>
  <si>
    <t>ед.</t>
  </si>
  <si>
    <t>куб. м</t>
  </si>
  <si>
    <t>Наименование муниципального образования</t>
  </si>
  <si>
    <t>Количество МКД</t>
  </si>
  <si>
    <t>I квартал</t>
  </si>
  <si>
    <t>II квартал</t>
  </si>
  <si>
    <t>III квартал</t>
  </si>
  <si>
    <t>IV квартал</t>
  </si>
  <si>
    <t xml:space="preserve">Приложение </t>
  </si>
  <si>
    <t>завершения последнего капитального ремонта</t>
  </si>
  <si>
    <t>Общая площадь МКД, всего</t>
  </si>
  <si>
    <t>Формирование фонда капитального ремонта многоквартирного дома на счете некоммерческой организации - Фонд капитального ремонта многоквартирных домов Тверской области (далее - региональный оператор)</t>
  </si>
  <si>
    <t>Формирование фонда капитального ремонта многоквартирного дома на специальном счете, владельцем которого является региональный оператор</t>
  </si>
  <si>
    <t>Стоимость капитального ремонта:</t>
  </si>
  <si>
    <t>Формирование фонда капитального ремонта многоквартирного дома на специальном счете, владельцем которого является товарищество собственников жилья, жилищно-строительный кооператив, жилищный кооператив, иной специализированный потребительский кооператив, управляющая компания</t>
  </si>
  <si>
    <t>I. Перечень многоквартирных домов, которые подлежат капитальному ремонту</t>
  </si>
  <si>
    <t xml:space="preserve">II. Реестр многоквартирных домов, которые подлежат капитальному ремонту по видам ремонта </t>
  </si>
  <si>
    <t>Х</t>
  </si>
  <si>
    <t>Бежецкий район</t>
  </si>
  <si>
    <t>Итого по Тверской области</t>
  </si>
  <si>
    <t>Бологовский район</t>
  </si>
  <si>
    <t>Весьегонский район</t>
  </si>
  <si>
    <t>Вышневолоцкий район</t>
  </si>
  <si>
    <t>Жарковский район</t>
  </si>
  <si>
    <t>Западнодвинский район</t>
  </si>
  <si>
    <t>Зубцовский район</t>
  </si>
  <si>
    <t>Калининский район</t>
  </si>
  <si>
    <t>Калязинский район</t>
  </si>
  <si>
    <t>Кашинский район</t>
  </si>
  <si>
    <t>Кимрский район</t>
  </si>
  <si>
    <t>Конаковский район</t>
  </si>
  <si>
    <t>Краснохолмский район</t>
  </si>
  <si>
    <t>Кувшиновский район</t>
  </si>
  <si>
    <t xml:space="preserve">Лихославльский район </t>
  </si>
  <si>
    <t>Максатихинский район</t>
  </si>
  <si>
    <t>Нелидовский район</t>
  </si>
  <si>
    <t>Оленинский район</t>
  </si>
  <si>
    <t>Осташковский район</t>
  </si>
  <si>
    <t>Рамешковский район</t>
  </si>
  <si>
    <t>Сандовский район</t>
  </si>
  <si>
    <t>Селижаровский район</t>
  </si>
  <si>
    <t>Старицкий район</t>
  </si>
  <si>
    <t>Торжокской район</t>
  </si>
  <si>
    <t>Торопецкий район</t>
  </si>
  <si>
    <t>Фировский район</t>
  </si>
  <si>
    <t>Бельский район</t>
  </si>
  <si>
    <t>электрика</t>
  </si>
  <si>
    <t>2 </t>
  </si>
  <si>
    <t> 2</t>
  </si>
  <si>
    <t>Андреапольский район</t>
  </si>
  <si>
    <t>3</t>
  </si>
  <si>
    <t>4</t>
  </si>
  <si>
    <t>пер. Адрианова, д. 19</t>
  </si>
  <si>
    <t>пер. 1-й Путейский, д. 21</t>
  </si>
  <si>
    <t>ул. Володарского, д. 27</t>
  </si>
  <si>
    <t>ул. Дзержинского, д. 5</t>
  </si>
  <si>
    <t>ул. Дзержинского, д. 14</t>
  </si>
  <si>
    <t>ул. Матросова, д. 23</t>
  </si>
  <si>
    <t>ул. Нахимова, д. 21</t>
  </si>
  <si>
    <t>ул. Пионерская, д. 8</t>
  </si>
  <si>
    <t>ул. Шменкеля, д. 14/12</t>
  </si>
  <si>
    <t>ул. Матросова, д. 32</t>
  </si>
  <si>
    <t>Итого по Мостовское сельское поселение</t>
  </si>
  <si>
    <t>Итого по городское поселение поселок Оленино</t>
  </si>
  <si>
    <t>Итого по городское поселение город Нелидово</t>
  </si>
  <si>
    <t>Итого по городское поселение город Конаково</t>
  </si>
  <si>
    <t>Итого по город Тверь</t>
  </si>
  <si>
    <t>Итого по городское поселение поселок Фирово</t>
  </si>
  <si>
    <t>Итого по город Вышний Волочек</t>
  </si>
  <si>
    <t>Итого по город Кимры</t>
  </si>
  <si>
    <t>Итого по город Ржев</t>
  </si>
  <si>
    <t>Итого по город Торжок</t>
  </si>
  <si>
    <t>Итого по городское поселение город Андреаполь</t>
  </si>
  <si>
    <t>Итого по городское поселение город Бежецк</t>
  </si>
  <si>
    <t>Итого по городское поселение город Белый</t>
  </si>
  <si>
    <t>Итого по городское поселение поселок Красномайский</t>
  </si>
  <si>
    <t>Итого по Коломенское сельское поселение</t>
  </si>
  <si>
    <t>Итого по Солнечное сельское поселение</t>
  </si>
  <si>
    <t>Итого по Сорокинское сельское поселение</t>
  </si>
  <si>
    <t>Итого по Городское поселение поселок Жарковский</t>
  </si>
  <si>
    <t>Итого по городское поселение город Западная Двина</t>
  </si>
  <si>
    <t>Итого по Погорельское сельское поселение</t>
  </si>
  <si>
    <t>Итого по городское поселение поселок Орша</t>
  </si>
  <si>
    <t>Итого по городское поселение город Калязин</t>
  </si>
  <si>
    <t>Итого по городское поселение город Зубцов</t>
  </si>
  <si>
    <t>Итого по городское поселение город Кашин</t>
  </si>
  <si>
    <t>Итого по Быковское сельское поселение</t>
  </si>
  <si>
    <t>Итого по городское поселение поселок Козлово</t>
  </si>
  <si>
    <t>Итого по Дмитровогорское сельское поселение</t>
  </si>
  <si>
    <t>Итого по городское поселение город Красный Холм</t>
  </si>
  <si>
    <t xml:space="preserve">Итого по городское поселение город Осташков </t>
  </si>
  <si>
    <t>Итого по городское поселение город Торопец</t>
  </si>
  <si>
    <t>Итого по городское поселение город Старица</t>
  </si>
  <si>
    <t>Итого по городское поселение поселок Селижарово</t>
  </si>
  <si>
    <t>Итого по городское поселение поселок Сандово</t>
  </si>
  <si>
    <t>Итого по городское поселение поселок Рамешки</t>
  </si>
  <si>
    <t>Итого по городское поселение поселок Максатиха</t>
  </si>
  <si>
    <t>Итого по Ильинское сельское поселение</t>
  </si>
  <si>
    <t>Итого по городское поселение поселок Калашниково</t>
  </si>
  <si>
    <t>Итого по городское поселение город Кувшиново</t>
  </si>
  <si>
    <t>Итого по ЗАТО Озерный</t>
  </si>
  <si>
    <t>III. Планируемые показатели выполнения работ по капитальному ремонту многоквартирных домов</t>
  </si>
  <si>
    <t>Итого по городскому поселению город Бологое</t>
  </si>
  <si>
    <t>Итого по Терелесовское  сельское поселение</t>
  </si>
  <si>
    <t>Итого по городское поселение поселок Великооктябрьский</t>
  </si>
  <si>
    <t>Итого по городское поселение поселок Редкино</t>
  </si>
  <si>
    <t>Итого по сельское поселение "Завидово"</t>
  </si>
  <si>
    <t>Итого по городское поселение поселок Белый Городок</t>
  </si>
  <si>
    <t>Итого по Эммаусское сельское поселение</t>
  </si>
  <si>
    <t>Итого по городское поселение поселок Изоплит</t>
  </si>
  <si>
    <t>г.Андреаполь</t>
  </si>
  <si>
    <t>г.Бежецк</t>
  </si>
  <si>
    <t xml:space="preserve">г.Белый </t>
  </si>
  <si>
    <t>г.Бологое</t>
  </si>
  <si>
    <t>г.Весьегонск</t>
  </si>
  <si>
    <t>г.В.Волочек</t>
  </si>
  <si>
    <t>пгт.Красномайский</t>
  </si>
  <si>
    <t>Коломенское с/п</t>
  </si>
  <si>
    <t>Солнечное с/п</t>
  </si>
  <si>
    <t>Сорокинское с/п</t>
  </si>
  <si>
    <t>Терелесовское с/п</t>
  </si>
  <si>
    <t>пгт.Жарковский</t>
  </si>
  <si>
    <t xml:space="preserve">г.Западная Двина </t>
  </si>
  <si>
    <t xml:space="preserve">Зубцовский район </t>
  </si>
  <si>
    <t xml:space="preserve">г.Зубцов </t>
  </si>
  <si>
    <t>Погорельское с/п</t>
  </si>
  <si>
    <t xml:space="preserve">Калининский район </t>
  </si>
  <si>
    <t xml:space="preserve">пгт.Орша </t>
  </si>
  <si>
    <t>Эммаусское с/п</t>
  </si>
  <si>
    <t xml:space="preserve">г.Калязин </t>
  </si>
  <si>
    <t xml:space="preserve">г.Кашин </t>
  </si>
  <si>
    <t xml:space="preserve">Кимрский район </t>
  </si>
  <si>
    <t>г.Кимры</t>
  </si>
  <si>
    <t>пгт.Белый Городок</t>
  </si>
  <si>
    <t>Быковское с/п</t>
  </si>
  <si>
    <t xml:space="preserve">Конаковский район </t>
  </si>
  <si>
    <t>г.Конаково</t>
  </si>
  <si>
    <t xml:space="preserve">пгт.Изоплит </t>
  </si>
  <si>
    <t>пгт.Козлово</t>
  </si>
  <si>
    <t>пгт.Редкино</t>
  </si>
  <si>
    <t>Козловское с/п</t>
  </si>
  <si>
    <t>Дмитровогорское с/п</t>
  </si>
  <si>
    <t>"Завидово" с/п</t>
  </si>
  <si>
    <t>г.Красный Холм</t>
  </si>
  <si>
    <t>г.Кувшиново</t>
  </si>
  <si>
    <t>Лихославльский район</t>
  </si>
  <si>
    <t>г.Лихославль</t>
  </si>
  <si>
    <t>пгт.Калашниково</t>
  </si>
  <si>
    <t>Ильинское с/п</t>
  </si>
  <si>
    <t>пгт.Максатиха</t>
  </si>
  <si>
    <t>г.Нелидово</t>
  </si>
  <si>
    <t xml:space="preserve">Оленинский район </t>
  </si>
  <si>
    <t>пгт.Оленино</t>
  </si>
  <si>
    <t>Мостовское с/п</t>
  </si>
  <si>
    <t>г.Осташков</t>
  </si>
  <si>
    <t>ЗАТО "ОЗЕРНЫЙ"</t>
  </si>
  <si>
    <t>г.Ржев</t>
  </si>
  <si>
    <t>пгт.Сандово</t>
  </si>
  <si>
    <t xml:space="preserve">пгт.Селижарово </t>
  </si>
  <si>
    <t xml:space="preserve">г.Старица </t>
  </si>
  <si>
    <t>г.Торопец</t>
  </si>
  <si>
    <t xml:space="preserve">г.Удомля </t>
  </si>
  <si>
    <t xml:space="preserve">Фировский район </t>
  </si>
  <si>
    <t>пгт.Фирово</t>
  </si>
  <si>
    <t>пгт.Великооктябрьский</t>
  </si>
  <si>
    <t>Итого по Верхневолжское сельское поселение</t>
  </si>
  <si>
    <t>Итого по Щербининское сельское поселение</t>
  </si>
  <si>
    <t>до 1917</t>
  </si>
  <si>
    <t>4-5</t>
  </si>
  <si>
    <t>"Вышневолоцкий район"</t>
  </si>
  <si>
    <t>Верхневолжское с/п</t>
  </si>
  <si>
    <t>Щербининское с/п</t>
  </si>
  <si>
    <t>г.ТВЕРЬ</t>
  </si>
  <si>
    <t>г.Торжок</t>
  </si>
  <si>
    <t>КП  2016 г</t>
  </si>
  <si>
    <t>Итого по Приволжское сельское поселение</t>
  </si>
  <si>
    <t>№ 1</t>
  </si>
  <si>
    <t>№ 2</t>
  </si>
  <si>
    <t>№ 3</t>
  </si>
  <si>
    <t>№ 4</t>
  </si>
  <si>
    <t>№ 5</t>
  </si>
  <si>
    <t>Приволжское с/п</t>
  </si>
  <si>
    <t>Всего по Тверской области</t>
  </si>
  <si>
    <t>Формирование фонда капитального ремонта многоквартирного дома на специальном счете</t>
  </si>
  <si>
    <t>Удомельский городской округ</t>
  </si>
  <si>
    <t>Пеновский район</t>
  </si>
  <si>
    <t>Итого по городское поселение поселок Пено</t>
  </si>
  <si>
    <t>Итого по Валдайскому сельскому поселению</t>
  </si>
  <si>
    <t>Торжокский район</t>
  </si>
  <si>
    <t>Итого по Мирновское сельское поселение</t>
  </si>
  <si>
    <t>Итого по Рудниковское сельское поселение</t>
  </si>
  <si>
    <t>к постановлению Правительства Тверской области 
Тверской области
от 24.02.2016 № 82-пп</t>
  </si>
  <si>
    <t>ремонт или замена лифтового оборудования, признанного непригодным для эксплуатации, ремонт лифтовых шахт</t>
  </si>
  <si>
    <t xml:space="preserve">ремонт крыши, в том числе устройство выходов на кровлю
</t>
  </si>
  <si>
    <t>ремонт подвальных помещений, относящихся к общему имуществу в многоквартирном доме</t>
  </si>
  <si>
    <t>Каменные, кирпичные</t>
  </si>
  <si>
    <t>Панельные</t>
  </si>
  <si>
    <t>Блочные</t>
  </si>
  <si>
    <t>Деревянные</t>
  </si>
  <si>
    <t>Прочие</t>
  </si>
  <si>
    <t>ул. Екатерины Фарафоновой, д. 37</t>
  </si>
  <si>
    <t>ул. Вагжанова, д. 4</t>
  </si>
  <si>
    <t>ул. Советская, д. 60</t>
  </si>
  <si>
    <t>ул. Бобкова, д. 2</t>
  </si>
  <si>
    <t>ул. Румянцева, д. 24/40</t>
  </si>
  <si>
    <t>ул. Советская, д. 24</t>
  </si>
  <si>
    <t xml:space="preserve">ул. Маршала Буденого, д. 4 </t>
  </si>
  <si>
    <t>ул. Скворцова-Степанова, д. 16</t>
  </si>
  <si>
    <t>ул. Седова, д. 120А</t>
  </si>
  <si>
    <t>ул. Советская, д. 8</t>
  </si>
  <si>
    <t>ул. Ипподромная, д. 22</t>
  </si>
  <si>
    <t>ул. Горького, д. 106</t>
  </si>
  <si>
    <t>ул. Ротмистрова, д. 20</t>
  </si>
  <si>
    <t>ул. Мусоргского, д. 38/33</t>
  </si>
  <si>
    <t>ул. Озерная, д. 23</t>
  </si>
  <si>
    <t xml:space="preserve">ул. Прядильная, д. 13 </t>
  </si>
  <si>
    <t>ул. Гвардейская, д. 5</t>
  </si>
  <si>
    <t>ул. Мичурина, д. 37/23</t>
  </si>
  <si>
    <t>ул. Ипподромная, д. 10</t>
  </si>
  <si>
    <t>ул. Хромова, д. 16</t>
  </si>
  <si>
    <t xml:space="preserve">ул. Можайского, д. 51 </t>
  </si>
  <si>
    <t>ул. Королева, д. 24</t>
  </si>
  <si>
    <t>ул. Орджоникидзе, д. 8</t>
  </si>
  <si>
    <t>ул. Академическая, д. 22</t>
  </si>
  <si>
    <t>ул. 15 лет Октября, д. 47</t>
  </si>
  <si>
    <t>ул. Коробкова, д. 18</t>
  </si>
  <si>
    <t>ул. Крылова, д. 5</t>
  </si>
  <si>
    <t>ул. Орджоникидзе, д. 12/1</t>
  </si>
  <si>
    <t>ул. Благоева, д. 6А</t>
  </si>
  <si>
    <t>ул. Склизкова, д. 88</t>
  </si>
  <si>
    <t>ул. Терещенко, д. 28</t>
  </si>
  <si>
    <t>ул. Громова, д. 30</t>
  </si>
  <si>
    <t>ул. Орджоникидзе, д. 5</t>
  </si>
  <si>
    <t>ул. Орджоникидзе, д. 4/2</t>
  </si>
  <si>
    <t>ул. 15 лет Октября, д. 64/23</t>
  </si>
  <si>
    <t>ул. Орджоникидзе, д. 11</t>
  </si>
  <si>
    <t>ул. Бориса Полевого, д. 10/11</t>
  </si>
  <si>
    <t>ул. Терещенко, д. 35</t>
  </si>
  <si>
    <t>ул. Веселова, д. 34/28</t>
  </si>
  <si>
    <t>ул. Чудова, д. 14</t>
  </si>
  <si>
    <t>ул. Ротмистрова, д. 17</t>
  </si>
  <si>
    <t>ул. Орджоникидзе, д. 1</t>
  </si>
  <si>
    <t>ул. Лукина, д. 14</t>
  </si>
  <si>
    <t>ул. Кайкова, д. 4А</t>
  </si>
  <si>
    <t>ул. Орджоникидзе, д. 14</t>
  </si>
  <si>
    <t>ул. Академическая, д. 16</t>
  </si>
  <si>
    <t>ул. Московская, д. 78</t>
  </si>
  <si>
    <t>ул. Склизкова, д. 80</t>
  </si>
  <si>
    <t>ул. Богданова, д. 26/17</t>
  </si>
  <si>
    <t>ул. 15 лет Октября, д. 60</t>
  </si>
  <si>
    <t>ул. Резинстроя, д. 2/7</t>
  </si>
  <si>
    <t>ул. 15 лет Октября, д. 56</t>
  </si>
  <si>
    <t>ул. Спартака, д. 4/2</t>
  </si>
  <si>
    <t>ул. Маршала Буденого, д. 19/1</t>
  </si>
  <si>
    <t>ул. Горького, д. 4А</t>
  </si>
  <si>
    <t>ул. Ипподромная, д. 6Б</t>
  </si>
  <si>
    <t>ул. Хромова, д. 8</t>
  </si>
  <si>
    <t>ул. Паши Савельевой, д. 7</t>
  </si>
  <si>
    <t>ул. Кирова, д. 3А</t>
  </si>
  <si>
    <t>ул. Орджоникидзе, д. 13/26</t>
  </si>
  <si>
    <t>ул. Седова, д. 1Б</t>
  </si>
  <si>
    <t>ул. Орджоникидзе, д. 3</t>
  </si>
  <si>
    <t xml:space="preserve">ул. Новоторжская, д. 7 </t>
  </si>
  <si>
    <t>ул. Строителей, д. 12</t>
  </si>
  <si>
    <t>ул. Богданова, д. 29</t>
  </si>
  <si>
    <t>ул. Королева, д. 4</t>
  </si>
  <si>
    <t>ул. Богданова, д. 33/15</t>
  </si>
  <si>
    <t>ул. Чудова, д. 19</t>
  </si>
  <si>
    <t>ул. Брагина, д. 44</t>
  </si>
  <si>
    <t>ул. Лукина, д. 8</t>
  </si>
  <si>
    <t>ул. Горького, д. 89</t>
  </si>
  <si>
    <t>ул. Склизкова, д. 60</t>
  </si>
  <si>
    <t>ул. Склизкова, д. 54/25</t>
  </si>
  <si>
    <t>ул. Машинистов, д. 3</t>
  </si>
  <si>
    <t>ул. Ржевская, д. 14</t>
  </si>
  <si>
    <t>ул. Тамары Ильиной, д. 9/19</t>
  </si>
  <si>
    <t>ул. Мусоргского, д. 32/32</t>
  </si>
  <si>
    <t>ул. Седова, д. 120Б</t>
  </si>
  <si>
    <t>ул. Королева, д. 16/1</t>
  </si>
  <si>
    <t>ул. Учительская, д. 39</t>
  </si>
  <si>
    <t>ул. Горького, д. 70</t>
  </si>
  <si>
    <t>ул. Склизкова, д. 94</t>
  </si>
  <si>
    <t>ул. Дарвина, д. 2</t>
  </si>
  <si>
    <t>ул. Горького, д. 10</t>
  </si>
  <si>
    <t>ул. Академика Туполева, д. 112/24</t>
  </si>
  <si>
    <t>ул. Маршала Василевского, д. 20</t>
  </si>
  <si>
    <t>ул. Маршала Василевского, д. 18</t>
  </si>
  <si>
    <t>ул. Карла Маркса, д. 5</t>
  </si>
  <si>
    <t>пер. Перекопский, д. 11А</t>
  </si>
  <si>
    <t>пер. Никитина, д. 5</t>
  </si>
  <si>
    <t>пер. Коллективный, д. 6</t>
  </si>
  <si>
    <t>пер. Университетский, д. 3</t>
  </si>
  <si>
    <t>пер. Перекопский, д. 15</t>
  </si>
  <si>
    <t>пер. Артиллерийский, д. 12</t>
  </si>
  <si>
    <t>тер. Двор Пролетарки, д. 43</t>
  </si>
  <si>
    <t>ш. Петербургское, д. 7А</t>
  </si>
  <si>
    <t>б-р Радищева, д. 26</t>
  </si>
  <si>
    <t>б-р Ногина, д. 2</t>
  </si>
  <si>
    <t>б-р Гусева, д. 41</t>
  </si>
  <si>
    <t>б-р Гусева, д. 9</t>
  </si>
  <si>
    <t>б-р Профсоюзов, д. 21</t>
  </si>
  <si>
    <t>б-р Гусева, д. 25</t>
  </si>
  <si>
    <t>б-р Гусева, д. 39</t>
  </si>
  <si>
    <t>б-р Цанова, д. 10</t>
  </si>
  <si>
    <t>б-р Ногина, д. 4</t>
  </si>
  <si>
    <t>п. Химинститута, д. 20</t>
  </si>
  <si>
    <t>п. Химинститута, д. 7</t>
  </si>
  <si>
    <t>п. Химинститута, д. 13</t>
  </si>
  <si>
    <t>п. Химинститута, д. 38</t>
  </si>
  <si>
    <t>п. Химинститута, д. 9</t>
  </si>
  <si>
    <t>п. Химинститута, д. 32</t>
  </si>
  <si>
    <t>п. Литвинки, д. 27</t>
  </si>
  <si>
    <t>ул. Орджоникидзе, д. 46, корп. 4</t>
  </si>
  <si>
    <t>ул. Гвардейская, д. 9, корп. 1</t>
  </si>
  <si>
    <t>ул. 15 лет Октября, д. 62, корп. 1</t>
  </si>
  <si>
    <t>ул. 15 лет Октября, д. 58, корп. 1</t>
  </si>
  <si>
    <t>ул. Севастьянова, д. 7, корп. 1</t>
  </si>
  <si>
    <t>ул. Громова, д. 28, корп. 2</t>
  </si>
  <si>
    <t>ул. Фадеева, д. 34, корп. 1</t>
  </si>
  <si>
    <t>ул. Тамары Ильиной, д. 7, корп. 1</t>
  </si>
  <si>
    <t>ул. Громова, д. 36, корп. 2</t>
  </si>
  <si>
    <t xml:space="preserve">проезд Зеленый, д. 47, корп. 1 </t>
  </si>
  <si>
    <t>ул. Дарвина, д. 4, корп. 1</t>
  </si>
  <si>
    <t>б-р Гусева, д. 45, корп. 1</t>
  </si>
  <si>
    <t>ул. Ипподромная, д. 7, корп. 1</t>
  </si>
  <si>
    <t>проезд Зеленый, д. 47, корп. 2</t>
  </si>
  <si>
    <t>ул. Терещенко, д. 41, корп. 1</t>
  </si>
  <si>
    <t>ул. Благоева, д. 4, корп. 2</t>
  </si>
  <si>
    <t>пер. Смоленский, д. 8, корп. 1</t>
  </si>
  <si>
    <t>ш. Петербургское, д. 50</t>
  </si>
  <si>
    <t>ш. Петербургское, д. 86</t>
  </si>
  <si>
    <t>ш. Петербургское, д. 14, корп. 1</t>
  </si>
  <si>
    <t>ш. Петербургское, д. 60</t>
  </si>
  <si>
    <t>ш. Московское, д. 13</t>
  </si>
  <si>
    <t>ул. Советская, д. 4</t>
  </si>
  <si>
    <t>ул. Энергетиков, д. 31</t>
  </si>
  <si>
    <t>п. Энергетик, д. 2</t>
  </si>
  <si>
    <t>п. Энергетик, д. 4</t>
  </si>
  <si>
    <t>ул. Чехова, д. 11</t>
  </si>
  <si>
    <t>ул. Ленина, д. 54</t>
  </si>
  <si>
    <t>ул. Строителей, д. 7</t>
  </si>
  <si>
    <t>ул. Кузьмина, д. 83</t>
  </si>
  <si>
    <t>ул. Кузьмина, д. 85</t>
  </si>
  <si>
    <t>ул. Чехова, д. 21</t>
  </si>
  <si>
    <t>ул. Пролетарская 6-я, д. 16</t>
  </si>
  <si>
    <t>пр-кт Победы, д. 32/3</t>
  </si>
  <si>
    <t>пр-кт 50 лет Октября, д. 2/19</t>
  </si>
  <si>
    <t>пр-кт Калинина, д. 9</t>
  </si>
  <si>
    <t>пр-кт Ленина, д. 43А</t>
  </si>
  <si>
    <t>пр-кт Чайковского, д. 37</t>
  </si>
  <si>
    <t>пр-кт Ленина, д. 14, корп. 2</t>
  </si>
  <si>
    <t>пр-кт Победы, д. 4А</t>
  </si>
  <si>
    <t>пр-кт Победы, д. 36/46</t>
  </si>
  <si>
    <t>пр-кт Победы, до 22/15</t>
  </si>
  <si>
    <t>пр-кт Октябрьский, д. 69</t>
  </si>
  <si>
    <t>пр-кт Победы, д. 28, корп. 1</t>
  </si>
  <si>
    <t>пр-кт Чайковского, д. 24/2Б</t>
  </si>
  <si>
    <t>пр-кт Победы, д. 38/45</t>
  </si>
  <si>
    <t>пр-кт Ленина, д. 40</t>
  </si>
  <si>
    <t>пр-кт Ленина, д. 43</t>
  </si>
  <si>
    <t>пр-кт Победы, д. 2А</t>
  </si>
  <si>
    <t>тер. Товарный двор, д. 483А</t>
  </si>
  <si>
    <t>ул. Пролетарская 6-я, д. 19</t>
  </si>
  <si>
    <t>проезд Карпинского 1-й, д. 2/60</t>
  </si>
  <si>
    <t>наб. Мигаловская, д. 10А</t>
  </si>
  <si>
    <t>наб. Афанасия Никитина, д. 24</t>
  </si>
  <si>
    <t>тер. Двор Пролетарки, д. 119</t>
  </si>
  <si>
    <t>ул. Советская, д. 3</t>
  </si>
  <si>
    <t>ул. Октябрьская, д. 60</t>
  </si>
  <si>
    <t>ул. Половчени, д. 8</t>
  </si>
  <si>
    <t>мкр. Заозерный, д. 15</t>
  </si>
  <si>
    <t>ш. Куженкинское, д. 47</t>
  </si>
  <si>
    <t>ш. Куженкинское, д. 48</t>
  </si>
  <si>
    <t>ш. Куженкинское, д. 49</t>
  </si>
  <si>
    <t>ул. Дзержинского, д. 44</t>
  </si>
  <si>
    <t>ул. Дзержинского, д. 46</t>
  </si>
  <si>
    <t>ул. Кирова, д. 2</t>
  </si>
  <si>
    <t>ул. Народная, д. 2</t>
  </si>
  <si>
    <t>ул. Народная, д. 3</t>
  </si>
  <si>
    <t>ул. 1-я Социалистическая, д. 1</t>
  </si>
  <si>
    <t>ул. Кирова, д. 53</t>
  </si>
  <si>
    <t>ул. Ленинская, д. 1</t>
  </si>
  <si>
    <t>мкр. Заводской, д. 4</t>
  </si>
  <si>
    <t>мкр. Западный, д. 5</t>
  </si>
  <si>
    <t>д. Корыхново, ул. Советская, д. 1</t>
  </si>
  <si>
    <t>д. Корыхново, ул. Советская, д. 2</t>
  </si>
  <si>
    <t>ул. Комсомолькая, д. 14</t>
  </si>
  <si>
    <t>д. Квакшино, д. 9</t>
  </si>
  <si>
    <t>д. Квакшино, д. 12</t>
  </si>
  <si>
    <t>ж/д ст. Кузьминка, д.  3</t>
  </si>
  <si>
    <t>ул. Декабристов, д. 9</t>
  </si>
  <si>
    <t>д. Радомино, д. 3</t>
  </si>
  <si>
    <t>п. Приволжский, ул. Песочная, д. 2</t>
  </si>
  <si>
    <t>ул. Васильковского, д. 29</t>
  </si>
  <si>
    <t>ул. Баскакова, д. 17</t>
  </si>
  <si>
    <t>ул. Баскакова, д. 19</t>
  </si>
  <si>
    <t>наб. Афанасия Никитина, д. 24А</t>
  </si>
  <si>
    <t>с. Дмитрова Гора, ул. Новая, д. 2</t>
  </si>
  <si>
    <t>ул. Мясникова, д. 36А</t>
  </si>
  <si>
    <t>ул. Базарная, д. 67</t>
  </si>
  <si>
    <t>ул. Октябрьская, д. 11</t>
  </si>
  <si>
    <t>Итого по городское поселение город Лихославль</t>
  </si>
  <si>
    <t>пр-кт Ленина, д. 4</t>
  </si>
  <si>
    <t>ул. Лесная, д. 6А</t>
  </si>
  <si>
    <t>ул. Рябочкина, д. 38А</t>
  </si>
  <si>
    <t>г. Удомля, ул. Автодорожная, д. 2/1</t>
  </si>
  <si>
    <t>ул. Советская, д. 17</t>
  </si>
  <si>
    <t>ул. Кооперативная, д. 7</t>
  </si>
  <si>
    <t>пр-кт Ленина, д. 9</t>
  </si>
  <si>
    <t>пр-кт Ленина, д. 13</t>
  </si>
  <si>
    <t>пр-кт Ленина, д. 7/15</t>
  </si>
  <si>
    <t>ул. Ленина, д. 50/2</t>
  </si>
  <si>
    <t>Итого по городское поселение город Весьегонск</t>
  </si>
  <si>
    <t xml:space="preserve">ремонт фасада
</t>
  </si>
  <si>
    <t>от                       №</t>
  </si>
  <si>
    <t>Краткосрочный план</t>
  </si>
  <si>
    <t>руб/кв. м</t>
  </si>
  <si>
    <t>всего</t>
  </si>
  <si>
    <t>Количество жителей, зарегистрированных в МКД 
на дату утверждения краткосрочного плана</t>
  </si>
  <si>
    <t>Адрес многоквартирного дома 
(далее - МКД)</t>
  </si>
  <si>
    <t>ул. Октябрьская, д. 59</t>
  </si>
  <si>
    <r>
      <t>п. Приволжский, ул. Песочная, д.</t>
    </r>
    <r>
      <rPr>
        <sz val="11"/>
        <color theme="1"/>
        <rFont val="Calibri"/>
        <family val="2"/>
        <charset val="204"/>
      </rPr>
      <t> </t>
    </r>
    <r>
      <rPr>
        <sz val="11"/>
        <color theme="1"/>
        <rFont val="Times New Roman"/>
        <family val="1"/>
        <charset val="204"/>
      </rPr>
      <t>2</t>
    </r>
  </si>
  <si>
    <t>с. Ильинское, ул. Мира, д. 1</t>
  </si>
  <si>
    <r>
      <t>ул. Зинаиды Коноплянниковой, д.</t>
    </r>
    <r>
      <rPr>
        <sz val="12"/>
        <color indexed="8"/>
        <rFont val="Calibri"/>
        <family val="2"/>
        <charset val="204"/>
      </rPr>
      <t> </t>
    </r>
    <r>
      <rPr>
        <sz val="12"/>
        <color indexed="8"/>
        <rFont val="Times New Roman"/>
        <family val="1"/>
        <charset val="204"/>
      </rPr>
      <t>14</t>
    </r>
  </si>
  <si>
    <r>
      <t>ул. Евгения Пичугина, д. 21, корп.</t>
    </r>
    <r>
      <rPr>
        <sz val="12"/>
        <color indexed="8"/>
        <rFont val="Calibri"/>
        <family val="2"/>
        <charset val="204"/>
      </rPr>
      <t> </t>
    </r>
    <r>
      <rPr>
        <sz val="12"/>
        <color indexed="8"/>
        <rFont val="Times New Roman"/>
        <family val="1"/>
        <charset val="204"/>
      </rPr>
      <t>3</t>
    </r>
  </si>
  <si>
    <r>
      <t>ул. Зинаиды Коноплянниковой, д.</t>
    </r>
    <r>
      <rPr>
        <sz val="12"/>
        <color indexed="8"/>
        <rFont val="Calibri"/>
        <family val="2"/>
        <charset val="204"/>
      </rPr>
      <t> </t>
    </r>
    <r>
      <rPr>
        <sz val="12"/>
        <color indexed="8"/>
        <rFont val="Times New Roman"/>
        <family val="1"/>
        <charset val="204"/>
      </rPr>
      <t>19, корп. 2</t>
    </r>
  </si>
  <si>
    <r>
      <t>ул. Паши Савельевой, д. 39, корп.</t>
    </r>
    <r>
      <rPr>
        <sz val="12"/>
        <color indexed="8"/>
        <rFont val="Calibri"/>
        <family val="2"/>
        <charset val="204"/>
      </rPr>
      <t> </t>
    </r>
    <r>
      <rPr>
        <sz val="12"/>
        <color indexed="8"/>
        <rFont val="Times New Roman"/>
        <family val="1"/>
        <charset val="204"/>
      </rPr>
      <t>3</t>
    </r>
  </si>
  <si>
    <t>ул. Скворцова-Степанова, д. 10</t>
  </si>
  <si>
    <t>ул. Паши Савельевой, д. 39, корп. 3</t>
  </si>
  <si>
    <t>с. Погорелое Городище, ул. Советская, д. 6</t>
  </si>
  <si>
    <t>с. Дмитрова Гора, ул. Новая, д. 2</t>
  </si>
  <si>
    <r>
      <t>ул. Евгения Пичугина, д. 21, корп.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3</t>
    </r>
  </si>
  <si>
    <r>
      <t>ул. Екатерины Фарафоновой, д.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37</t>
    </r>
  </si>
  <si>
    <r>
      <t>ул. Зинаиды Коноплянниковой, д.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14</t>
    </r>
  </si>
  <si>
    <r>
      <t>ул. Зинаиды Коноплянниковой, д.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19, корп. 2</t>
    </r>
  </si>
  <si>
    <r>
      <t>с. Погорелое Городище, ул.</t>
    </r>
    <r>
      <rPr>
        <sz val="12"/>
        <color indexed="8"/>
        <rFont val="Calibri"/>
        <family val="2"/>
        <charset val="204"/>
      </rPr>
      <t> </t>
    </r>
    <r>
      <rPr>
        <sz val="12"/>
        <color indexed="8"/>
        <rFont val="Times New Roman"/>
        <family val="1"/>
        <charset val="204"/>
      </rPr>
      <t>Советская, д. 6</t>
    </r>
  </si>
  <si>
    <t>Стоимость капитального ремонта,
всего</t>
  </si>
  <si>
    <t>Общая площадь МКД, 
всего</t>
  </si>
  <si>
    <t>проезд Карпинского 1-й, д. 4</t>
  </si>
  <si>
    <t>проезд Розы Люксембург 1-й, д. 6</t>
  </si>
  <si>
    <t>ул. Грибоедова 2-я, д. 8/1</t>
  </si>
  <si>
    <t>ул. Пролетарская 6-я, д. 17</t>
  </si>
  <si>
    <t>реализации в 2016 году региональной программы по проведению капитального ремонта общего имущества</t>
  </si>
  <si>
    <t>в многоквартирных домах на территории Тверской области на 2014-2043 годы</t>
  </si>
  <si>
    <t>хвс</t>
  </si>
  <si>
    <t>гвс</t>
  </si>
  <si>
    <t>пр-кт Победы, д. 22/15</t>
  </si>
  <si>
    <t>ул. Артюхиной, д. 7</t>
  </si>
  <si>
    <t>за счет средств областного бюджета Тверской области</t>
  </si>
  <si>
    <t>ул. Прядильщиков, д. 2а</t>
  </si>
  <si>
    <t>Кирпичные</t>
  </si>
  <si>
    <t xml:space="preserve">2018 год </t>
  </si>
  <si>
    <t>Дачный пер., д. 2</t>
  </si>
  <si>
    <t xml:space="preserve">2019 год </t>
  </si>
  <si>
    <t>ул. Прядильщиков, д. 4а</t>
  </si>
  <si>
    <t>ул. Красноармейская, д. 11</t>
  </si>
  <si>
    <t>ул. Лизы Чайкиной, д. 32Б</t>
  </si>
  <si>
    <t>ул. Парковая, д. 3</t>
  </si>
  <si>
    <t>ул. Ленина, д. 13</t>
  </si>
  <si>
    <t>ул. Октябрьская, д. 10/5</t>
  </si>
  <si>
    <t>ул. Октябрьская, д. 4</t>
  </si>
  <si>
    <t>ул. Доватора, д. 8</t>
  </si>
  <si>
    <t>ул. Доватора, д. 11</t>
  </si>
  <si>
    <t>ул. Заводская, д. 8</t>
  </si>
  <si>
    <t>ул. 50 лет Октября, д. 1</t>
  </si>
  <si>
    <t>ул. Заречная, д. 3</t>
  </si>
  <si>
    <t>ул. Бежецкая, д. 18</t>
  </si>
  <si>
    <t>ул. Советская, д. 68</t>
  </si>
  <si>
    <t>ул. Пионерская, д. 30</t>
  </si>
  <si>
    <t>ул. Бежецкая, д. 20</t>
  </si>
  <si>
    <t>ул. Комсомольская, д. 86</t>
  </si>
  <si>
    <t>ул. Бежецкая, д. 32</t>
  </si>
  <si>
    <t>ул. Советская, д. 20А</t>
  </si>
  <si>
    <t>ул. Советская, д. 62</t>
  </si>
  <si>
    <t xml:space="preserve"> ул. Советская, д. 20</t>
  </si>
  <si>
    <t xml:space="preserve"> ул. Октябрьская, д. 52</t>
  </si>
  <si>
    <t xml:space="preserve"> ул. Комсомольская, д. 121</t>
  </si>
  <si>
    <t>пл. 1 Мая, д. 1</t>
  </si>
  <si>
    <t>ул. Гоголя, д. 4</t>
  </si>
  <si>
    <t>ул. Ст. Торопец, д. 20</t>
  </si>
  <si>
    <t>пер. Строителей, д. 1</t>
  </si>
  <si>
    <t>ул. Правды, д. 8</t>
  </si>
  <si>
    <t>ул. Ленина, д. 50</t>
  </si>
  <si>
    <t>г. Удомля, пр-кт Энергетиков, д. 10</t>
  </si>
  <si>
    <t>г. Удомля, ул. Автодорожная, д. 7</t>
  </si>
  <si>
    <t>г. Удомля, ул. Левитана, д. 5</t>
  </si>
  <si>
    <t>г. Удомля, ул. Автодорожная, д. 9</t>
  </si>
  <si>
    <t>г. Удомля, ул. Венецианова, д. 5а</t>
  </si>
  <si>
    <t>г. Удомля, ул. Александрова, д. 9</t>
  </si>
  <si>
    <t>г. Удомля, пр-т Энергетиков, д. 3</t>
  </si>
  <si>
    <t>г. Удомля, пр-т Энергетиков, д. 4а</t>
  </si>
  <si>
    <t>г. Удомля, ул. Энтузиастов, д. 28</t>
  </si>
  <si>
    <t>г. Удомля, ул. Автодорожная, д. 7а</t>
  </si>
  <si>
    <t>г. Удомля, ул. Попова, д. 17</t>
  </si>
  <si>
    <t>г. Удомля, ул. Левитана, д. 3</t>
  </si>
  <si>
    <t>г. Удомля, ул. Энтузиастов, д. 6/3</t>
  </si>
  <si>
    <t>г. Удомля, ул. Энтузиастов, д. 10</t>
  </si>
  <si>
    <t>г. Удомля, ул. Венецианова, д. 7а</t>
  </si>
  <si>
    <t>г. Удомля, ул. Энтузиастов, д. 8</t>
  </si>
  <si>
    <t>г. Удомля, пр-т Энергетиков, д. 5а</t>
  </si>
  <si>
    <t>г. Удомля, пер. Автодорожный, д. 3а</t>
  </si>
  <si>
    <t>г. Удомля, пр-т Энергетиков, д. 8</t>
  </si>
  <si>
    <t>г. Удомля, ул. Энтузиастов, д. 6/1</t>
  </si>
  <si>
    <t>г. Удомля, пр-т Энергетиков, д. 6</t>
  </si>
  <si>
    <t>г. Удомля, пр-т Энергетиков, д. 4</t>
  </si>
  <si>
    <t>г. Удомля, пр-т Энергетиков, д. 12</t>
  </si>
  <si>
    <t>г. Торжок, ул. Красноармейская, д.44</t>
  </si>
  <si>
    <t>г. Торжок, ул. М.Горького, д.59</t>
  </si>
  <si>
    <t>г. Торжок, Ленинградское шоссе, д.16</t>
  </si>
  <si>
    <t>г. Торжок, Ленинградское шоссе, д.87б</t>
  </si>
  <si>
    <t>г. Торжок, Ленинградское шоссе, д.87в</t>
  </si>
  <si>
    <t>г. Торжок, ул. Падерина, д.3</t>
  </si>
  <si>
    <t>г. Торжок, пер. Железнодорожный, д. 9</t>
  </si>
  <si>
    <t>г. Торжок, ул. М. Горького, д.38</t>
  </si>
  <si>
    <t>г. Торжок, ул. М.Горького, д.45</t>
  </si>
  <si>
    <t>шлак</t>
  </si>
  <si>
    <t>г. Торжок, ул. Дзержинского, д.52</t>
  </si>
  <si>
    <t>г. Торжок, ул. Красноармейская, д.48</t>
  </si>
  <si>
    <t>г. Торжок, ул. Падерина, д.5</t>
  </si>
  <si>
    <t>г. Торжок, ул. Володарского, д.49а</t>
  </si>
  <si>
    <t>г. Торжок, Ленинградское шоссе, д.41</t>
  </si>
  <si>
    <t>г. Торжок, Зеленый городок, д.7б</t>
  </si>
  <si>
    <t>г. Торжок, Ленинградское шоссе, д.85б</t>
  </si>
  <si>
    <t>г. Торжок, ул. Мира, д.46</t>
  </si>
  <si>
    <t>г. Торжок, ул. Энгельса, д.8</t>
  </si>
  <si>
    <t>Деревянные, кирпичные</t>
  </si>
  <si>
    <t>электроснабжения</t>
  </si>
  <si>
    <t>теплоснабжения</t>
  </si>
  <si>
    <t>газоснабжения</t>
  </si>
  <si>
    <t>холодного водоснабжения</t>
  </si>
  <si>
    <t>горячего водоснабжения</t>
  </si>
  <si>
    <t>водоотведения</t>
  </si>
  <si>
    <t>установка коллективных (общедомовых) приборов учета и узлов управления</t>
  </si>
  <si>
    <t>Итого</t>
  </si>
  <si>
    <t>ремонт фундамента</t>
  </si>
  <si>
    <t>Виды, установленные нормативным правовым актом субъекта РФ:</t>
  </si>
  <si>
    <t>ремонт внутридомовых инженерных систем</t>
  </si>
  <si>
    <t>Ленинградское шоссе, д.87в</t>
  </si>
  <si>
    <t>ул. Красноармейская, д.44</t>
  </si>
  <si>
    <t>ул. М.Горького, д.59</t>
  </si>
  <si>
    <t>Ленинградское шоссе, д.16</t>
  </si>
  <si>
    <t>Ленинградское шоссе, д.87б</t>
  </si>
  <si>
    <t>ул. Падерина, д.3</t>
  </si>
  <si>
    <t>пер. Железнодорожный, д. 9</t>
  </si>
  <si>
    <t>ул. М. Горького, д.38</t>
  </si>
  <si>
    <t>ул. М.Горького, д.45</t>
  </si>
  <si>
    <t>пр-т Энергетиков, д. 5а</t>
  </si>
  <si>
    <t>пер. Автодорожный, д. 3а</t>
  </si>
  <si>
    <t>пр-т Энергетиков, д. 8</t>
  </si>
  <si>
    <t>ул. Энтузиастов, д. 6/1</t>
  </si>
  <si>
    <t>пр-т Энергетиков, д. 6</t>
  </si>
  <si>
    <t>пр-т Энергетиков, д. 4</t>
  </si>
  <si>
    <t>пр-т Энергетиков, д. 12</t>
  </si>
  <si>
    <t>кровля 3342,75</t>
  </si>
  <si>
    <t>ул. Дзержинского, д.52</t>
  </si>
  <si>
    <t>ул. Красноармейская, д.48</t>
  </si>
  <si>
    <t>ул. Падерина, д.5</t>
  </si>
  <si>
    <t>ул. Володарского, д.49а</t>
  </si>
  <si>
    <t>Ленинградское шоссе, д.41</t>
  </si>
  <si>
    <t>Зеленый городок, д.7б</t>
  </si>
  <si>
    <t>Ленинградское шоссе, д.85б</t>
  </si>
  <si>
    <t>ул. Мира, д.46</t>
  </si>
  <si>
    <t>ул. Энгельса, д.8</t>
  </si>
  <si>
    <t>Итого пр Терелесовское сельское поселение</t>
  </si>
  <si>
    <t>Итого по городское поселение поселок Жарковский</t>
  </si>
  <si>
    <t>Итого пео городское поселение поселок Орша</t>
  </si>
  <si>
    <t>Итого по Эмаусское сельское поселение</t>
  </si>
  <si>
    <t>Итого по тгородское поселение город Кувшиново</t>
  </si>
  <si>
    <t>фасад  1600,33</t>
  </si>
  <si>
    <t>ул. Комсомольская, д. 14</t>
  </si>
  <si>
    <t>Итого по городское поселение поселок Новозавидовский</t>
  </si>
  <si>
    <t>ул. Юбилейная, д. 8</t>
  </si>
  <si>
    <t xml:space="preserve"> ул. Гоголя, д. 4</t>
  </si>
  <si>
    <t xml:space="preserve"> ул. Ст. Торопец, д. 20</t>
  </si>
  <si>
    <t>ул. Бежецкая. Д.20</t>
  </si>
  <si>
    <t>пер. Маяковского, д. 7</t>
  </si>
  <si>
    <t>пер. Маяковского, д. 8</t>
  </si>
  <si>
    <t>1971</t>
  </si>
  <si>
    <t>1969</t>
  </si>
  <si>
    <t>пер. Маяковского, д. 5</t>
  </si>
  <si>
    <t>1973</t>
  </si>
  <si>
    <t>1956</t>
  </si>
  <si>
    <t>газоснабжение</t>
  </si>
  <si>
    <t>тепло</t>
  </si>
  <si>
    <t>водоотв.</t>
  </si>
  <si>
    <t>ул. Городище, д. 1</t>
  </si>
  <si>
    <t>ул. Адмирала Октябрьского, д. 61</t>
  </si>
  <si>
    <t>ул. Карла Маркса, д. 61</t>
  </si>
  <si>
    <t>ул. Карла Маркса, д. 63</t>
  </si>
  <si>
    <t>ул. Адмирала Октябрьского, д. 70</t>
  </si>
  <si>
    <t>ул. Адмирала Октябрьского, д. 70а</t>
  </si>
  <si>
    <t>ул. Ленина, д. 14</t>
  </si>
  <si>
    <t>ул. Ленина, д. 14а</t>
  </si>
  <si>
    <t>ул. Пушкина, д. 12</t>
  </si>
  <si>
    <t>ул. Карла Маркса, д. 79</t>
  </si>
  <si>
    <t>ул. Пушкина, д. 5</t>
  </si>
  <si>
    <t>ул. Советская, д. 65а</t>
  </si>
  <si>
    <t>ул. Театральная, д. 3</t>
  </si>
  <si>
    <t>ул. Театральная, д. 11</t>
  </si>
  <si>
    <t>ул. Гагарина, д. 17</t>
  </si>
  <si>
    <t>ул. Театральная, д. 8</t>
  </si>
  <si>
    <t>ул. Октябрьская, д. 56</t>
  </si>
  <si>
    <t>ул. Кленовая, д. 19</t>
  </si>
  <si>
    <t>ул. Кленовая, д. 4</t>
  </si>
  <si>
    <t>пл. Гвардейская, д. 9</t>
  </si>
  <si>
    <t>ул. Половчени, д. 5а</t>
  </si>
  <si>
    <t>Итого по Мошковское сельское поселение</t>
  </si>
  <si>
    <t>д. Мошки, д. 36</t>
  </si>
  <si>
    <t>Итого по Яконовское сельское поселение</t>
  </si>
  <si>
    <t>с. Яконово, ул. Поселковая, д. 1</t>
  </si>
  <si>
    <t>Итого по Высоковское сельское поселение</t>
  </si>
  <si>
    <t>п. Высокое, ул. Советская, д. 16</t>
  </si>
  <si>
    <t>Итого по Пироговское сельское поселение</t>
  </si>
  <si>
    <t>д. Пирогово, ул. Надежды, д. 1</t>
  </si>
  <si>
    <t>Итого по Марьинское сельское поселение</t>
  </si>
  <si>
    <t>п. Зеленый, д. 19</t>
  </si>
  <si>
    <t>Итого по Масловское сельское поселение</t>
  </si>
  <si>
    <t>д. Селихово, ул. Новая, д. 2</t>
  </si>
  <si>
    <t>Итого по Речанское сельское поселение</t>
  </si>
  <si>
    <t>д. Лесная, д. 3</t>
  </si>
  <si>
    <t>д. Лесная, д. 2</t>
  </si>
  <si>
    <t>д. Лесная, л. 2</t>
  </si>
  <si>
    <t>ул. Кириллова, д. 14</t>
  </si>
  <si>
    <t>щитовые</t>
  </si>
  <si>
    <t>ул. Кириллова, д. 2</t>
  </si>
  <si>
    <t>ул. Кропоткина, д. 10</t>
  </si>
  <si>
    <t>Ржевский район</t>
  </si>
  <si>
    <t>Итого по сельское поселение  "Победа"</t>
  </si>
  <si>
    <t>д. Леонтьево, д. 26</t>
  </si>
  <si>
    <t>Итого по сельское поселение "Итомля"</t>
  </si>
  <si>
    <t>д. Итомля, ул. Школьная, д. 40</t>
  </si>
  <si>
    <t>д. Итомля, ул. Школьная, д. 41</t>
  </si>
  <si>
    <t>Итого по сельское поселение "Есинка"</t>
  </si>
  <si>
    <t>д. Домашино, Библиотечный пер., д. 112</t>
  </si>
  <si>
    <t>д. Домашино, Библиотечный пер.,      д. 112</t>
  </si>
  <si>
    <t>Итого по сельское поселение "Победа"</t>
  </si>
  <si>
    <t>п. Эммаусс, д. 7</t>
  </si>
  <si>
    <t>п. Эммаусс, д. 18</t>
  </si>
  <si>
    <t>блочные</t>
  </si>
  <si>
    <t>п. Эммаусс, д. 33</t>
  </si>
  <si>
    <t>Сонковский район</t>
  </si>
  <si>
    <t>пгт Сонково, ул. Красноармейская, д. 35</t>
  </si>
  <si>
    <t>брусчатые</t>
  </si>
  <si>
    <t>пгт Сонково, ул. Сельхозтехника, д. 1а</t>
  </si>
  <si>
    <t>Итого по городское поселение поселок Сонково</t>
  </si>
  <si>
    <t>Итого по городское поселение поселок Радченко</t>
  </si>
  <si>
    <t>п. Радченко, д. 12</t>
  </si>
  <si>
    <t>п. Радченко, д. 49</t>
  </si>
  <si>
    <t>п. Радченко, д. 48</t>
  </si>
  <si>
    <t>ул. Лесная, д. 9</t>
  </si>
  <si>
    <t>ул. Лесная, д. 18</t>
  </si>
  <si>
    <t>ул. Лесная, д. 6</t>
  </si>
  <si>
    <t xml:space="preserve">ул. Пионерская, д. 14 </t>
  </si>
  <si>
    <t>ул. Микрорайон, д. 6</t>
  </si>
  <si>
    <t xml:space="preserve">ул. Ст. Разина, д. 2а </t>
  </si>
  <si>
    <t>ул. Пушкина, д. 52</t>
  </si>
  <si>
    <t xml:space="preserve">ул. Пушкина, д. 52 </t>
  </si>
  <si>
    <t>с. Завидово, ул. Школьная, д. 4</t>
  </si>
  <si>
    <t>с. Завидово, ул. Школьная, д. 5</t>
  </si>
  <si>
    <t>д. Мокшино, ул. Солнечная, д. 3</t>
  </si>
  <si>
    <t>д. Мокшино, ул. Ленинградская д. 2</t>
  </si>
  <si>
    <t>д. Мокшино, ул. Ленинградская д. 2</t>
  </si>
  <si>
    <t>д. Мокшино, ул. Солнечная, д. 3</t>
  </si>
  <si>
    <t>ул. Кооперативная, д. 22</t>
  </si>
  <si>
    <t>ул. Кооперативная, д. 5</t>
  </si>
  <si>
    <t>Итого по Горняцкое сельское поселение</t>
  </si>
  <si>
    <t>п. Белый Омут, ул. Советская, д. 3</t>
  </si>
  <si>
    <t>п. Белый Омут,  ул. Советская, д. 2</t>
  </si>
  <si>
    <t>п. Белый Омут, ул. Советская, д. 1</t>
  </si>
  <si>
    <t>п. Белый Омут, ул. Советская, д. 2</t>
  </si>
  <si>
    <t>п. Солнечный, ул. Центральная, д. 5</t>
  </si>
  <si>
    <t>п. Солнечный, ул. Молодежная, д. 4</t>
  </si>
  <si>
    <r>
      <t>п. Солнечный, ул. Центральная, д.</t>
    </r>
    <r>
      <rPr>
        <sz val="11"/>
        <color theme="1"/>
        <rFont val="Calibri"/>
        <family val="2"/>
        <charset val="204"/>
      </rPr>
      <t> 5</t>
    </r>
  </si>
  <si>
    <r>
      <t>п. Солнечный, ул. Молодежная, д.</t>
    </r>
    <r>
      <rPr>
        <sz val="11"/>
        <color theme="1"/>
        <rFont val="Calibri"/>
        <family val="2"/>
        <charset val="204"/>
      </rPr>
      <t> 4</t>
    </r>
  </si>
  <si>
    <t xml:space="preserve">п. Озерки, ул. Локомотивная, д. 5 </t>
  </si>
  <si>
    <t>п. Озерки, ул. Школьная, д. 3</t>
  </si>
  <si>
    <t>п. Изоплит, ул. Пионерская, д. 2</t>
  </si>
  <si>
    <t>каркасно-засыпные</t>
  </si>
  <si>
    <t>п. Озерки, проезд Железнодорожный, д. 3</t>
  </si>
  <si>
    <t>п. Изоплит, ул. Пионерская, д. 12</t>
  </si>
  <si>
    <t>ул. Гагарина, д. 37</t>
  </si>
  <si>
    <t xml:space="preserve">ул. Карла Маркса, д. 25 </t>
  </si>
  <si>
    <t>ул. Лихославльская, дом тяговой подстанции</t>
  </si>
  <si>
    <t>ул. Лихославльская, д. 30 МПС</t>
  </si>
  <si>
    <t xml:space="preserve">ул. Разъезжая, д. 12 </t>
  </si>
  <si>
    <t>ул. Бежецкая, д. 25</t>
  </si>
  <si>
    <t xml:space="preserve">ул. Красноармейская, д. 4А </t>
  </si>
  <si>
    <t xml:space="preserve">ул. Первомайская, д. 14 </t>
  </si>
  <si>
    <t>пер. Привокзальный, д. 5</t>
  </si>
  <si>
    <t>пер. Театральный, д. 1</t>
  </si>
  <si>
    <t xml:space="preserve">ул. Школьная, д. 4 </t>
  </si>
  <si>
    <t>до 1918</t>
  </si>
  <si>
    <t>пос. Льнозавод, д. 26</t>
  </si>
  <si>
    <t>ул. Первомайская, д. 27</t>
  </si>
  <si>
    <t>ул. Советская, д. 33 МПС</t>
  </si>
  <si>
    <t>ул. Юбилейная, д. 2</t>
  </si>
  <si>
    <t>ул. Юбилейная, д. РСУ</t>
  </si>
  <si>
    <t>подвал   1012,19</t>
  </si>
  <si>
    <t>ул. Академическая, д. 5</t>
  </si>
  <si>
    <t>ул. Диева, д. 25</t>
  </si>
  <si>
    <t>ул. Фадеева, д. 3</t>
  </si>
  <si>
    <t>ул. Гагарина, д. 7</t>
  </si>
  <si>
    <t>ул. Академическая, дом 9</t>
  </si>
  <si>
    <t>ул. Академическая, дом 10</t>
  </si>
  <si>
    <t>ул. Геофизиков, дом 7</t>
  </si>
  <si>
    <t>ул. Геофизиков, дом 2</t>
  </si>
  <si>
    <t>пр-кт Химиков, д. 41</t>
  </si>
  <si>
    <t>ул. Гагарина, д. 11</t>
  </si>
  <si>
    <t>ул. Гагарина, д. 12</t>
  </si>
  <si>
    <t>ул. Ленинградская, д. 21</t>
  </si>
  <si>
    <t>ул. Труда, д. 10</t>
  </si>
  <si>
    <t>панельные</t>
  </si>
  <si>
    <t>монолитные</t>
  </si>
  <si>
    <t>ул. Московская, д. 15</t>
  </si>
  <si>
    <t>ул. Московская, д. 17</t>
  </si>
  <si>
    <t>ул. Александрова, д. 10</t>
  </si>
  <si>
    <t>ул. Ленинградская, д. 16</t>
  </si>
  <si>
    <t>ул. Киевская, д. 13</t>
  </si>
  <si>
    <t>ул. Ленинградская, д. 20</t>
  </si>
  <si>
    <t>ул. Труда, д. 6</t>
  </si>
  <si>
    <t>ул. Горького, д. 3а</t>
  </si>
  <si>
    <t>ул. Энергетиков, д. 16</t>
  </si>
  <si>
    <t>ул. Энергетиков, д. 18</t>
  </si>
  <si>
    <t>ул. Горького, д. 8</t>
  </si>
  <si>
    <t>пр. Ленина, д. 38</t>
  </si>
  <si>
    <t>ул. Учебная, д. 5</t>
  </si>
  <si>
    <t>ул. Баскакова, д. 31</t>
  </si>
  <si>
    <t>ул. Баскакова, д. 21</t>
  </si>
  <si>
    <t>ул. Баскакова, д. 11</t>
  </si>
  <si>
    <t>ул. Гагарина, д. 33</t>
  </si>
  <si>
    <t>ул. Набережная Волги, д. 40</t>
  </si>
  <si>
    <t>Торговый проезд, д. 1</t>
  </si>
  <si>
    <t>Торговый проезд, д. 2</t>
  </si>
  <si>
    <t>ул. Баскакова, д. 1</t>
  </si>
  <si>
    <t>ул. Гагарина, д. 5</t>
  </si>
  <si>
    <t>ул. Гагарина, д. 6</t>
  </si>
  <si>
    <t>ул. Гагарина, д. 16</t>
  </si>
  <si>
    <t>ул. Энергетиков, д. 8</t>
  </si>
  <si>
    <t>ул. Энергетиков, д. 10</t>
  </si>
  <si>
    <t>ул. Энергетиков, д. 11</t>
  </si>
  <si>
    <t>ул. Энергетиков, д. 27</t>
  </si>
  <si>
    <t>ул. Энергетиков, д. 34</t>
  </si>
  <si>
    <t>пр. Ленина, д. 4</t>
  </si>
  <si>
    <t>пр. Ленина, д. 12</t>
  </si>
  <si>
    <t>ул. Радищева, д. 1</t>
  </si>
  <si>
    <t>ул. П. Морозова, д. 28</t>
  </si>
  <si>
    <t>ул. Кирова, д. 8</t>
  </si>
  <si>
    <t>ул. Садово-Набережная, д. 3</t>
  </si>
  <si>
    <t>ул. Советская, д. 11</t>
  </si>
  <si>
    <t>ул. Советская, д. 19</t>
  </si>
  <si>
    <t>ул. Мира, д. 9</t>
  </si>
  <si>
    <t>ул. Советская, д. 22</t>
  </si>
  <si>
    <t>Селижаровский проезд, 8</t>
  </si>
  <si>
    <t>Осташковский проезд, 3</t>
  </si>
  <si>
    <t>шлакозаливные</t>
  </si>
  <si>
    <t>ул. Тертия Филиппова, 86а</t>
  </si>
  <si>
    <t>ул. Карла Маркса, 20/16</t>
  </si>
  <si>
    <t>ул. Садовая, 20/30</t>
  </si>
  <si>
    <t>ул. Большая Спасская, 18/50</t>
  </si>
  <si>
    <t>ул. Чернышевского, 19</t>
  </si>
  <si>
    <t>ул. Большая Спасская, 15</t>
  </si>
  <si>
    <t>ул. Садовая, 18а</t>
  </si>
  <si>
    <t>ул. Карла Маркса, 14</t>
  </si>
  <si>
    <t>пос. Нижний Бор,7</t>
  </si>
  <si>
    <t>ул. Мира, 2</t>
  </si>
  <si>
    <t>ул. Торопецкий тракт, д. 5</t>
  </si>
  <si>
    <t>ул. Чернышевского, 10а</t>
  </si>
  <si>
    <t>ул. Большевистская, д. 9/16</t>
  </si>
  <si>
    <t>ул. Тимирязева, д. 32</t>
  </si>
  <si>
    <t>ул. Челюскинцев, д. 17</t>
  </si>
  <si>
    <t>ул. Гагарина, д. 160</t>
  </si>
  <si>
    <t>ул. Кирова, д. 39а</t>
  </si>
  <si>
    <t>ул. Школьная, д. 6</t>
  </si>
  <si>
    <t>Рабочая пл., д. 8</t>
  </si>
  <si>
    <t>ул. Железнодорожная, д.11</t>
  </si>
  <si>
    <t>ул. Кирова, д. 25</t>
  </si>
  <si>
    <t>п. Академический, ул. Пионерская, д. 4 </t>
  </si>
  <si>
    <t>п. Академический, ул. Фабричная, д. 3 </t>
  </si>
  <si>
    <t>п. Академический, ул. Пионерская, д. 11 </t>
  </si>
  <si>
    <t>п. Академический, ул. Пионерская, д. 3</t>
  </si>
  <si>
    <t>п. Академический, ул. Пионерская, д. 11 </t>
  </si>
  <si>
    <t>п. Академический, ул. Пионерская, д. 3</t>
  </si>
  <si>
    <t>п. Академический, ул. Фабричная, д. 3 </t>
  </si>
  <si>
    <t>п. Академический, ул. Пионерская, д. 4 </t>
  </si>
  <si>
    <t>Итого по Вескинское сельское поселение</t>
  </si>
  <si>
    <t>д. Вески, ул. Боровикова, д. 3</t>
  </si>
  <si>
    <t>п. Осиновая Гряда, д. 14</t>
  </si>
  <si>
    <t>д. Вески, ул. Боровикова, д.3</t>
  </si>
  <si>
    <t>п. Терелесовский, ул. Центральная, д. 11/8</t>
  </si>
  <si>
    <t>п. Терелесовский, ул. Центральная, д. 11/8</t>
  </si>
  <si>
    <t>г. Бежецк, наб. рядового Николаева, д. 13</t>
  </si>
  <si>
    <t>г. Бежецк, пер. Остречинский, д. 15</t>
  </si>
  <si>
    <t>г. Бежецк, ул. М.И. Кузнецова, д. 8</t>
  </si>
  <si>
    <t>г. Бежецк, ул. Нечаева, д. 30</t>
  </si>
  <si>
    <t>городское поселение - г. Бежецк, д. Ивановское, ул. 1-ая, д. 39а</t>
  </si>
  <si>
    <t>г. Бежецк, ул. Нечаева, д. 2/7</t>
  </si>
  <si>
    <t>г. Бежецк, ул. Песочная, д. 4</t>
  </si>
  <si>
    <t>г. Бежецк, ул. Чехова, д. 7</t>
  </si>
  <si>
    <t>г. Бежецк, пер. Остречинский, д. 17</t>
  </si>
  <si>
    <t>г. Бежецк, ул. Энергетическая, д. 3</t>
  </si>
  <si>
    <t>Шлакоблочные</t>
  </si>
  <si>
    <t>Бревенчатые</t>
  </si>
  <si>
    <t>г. Бежецк, ул. Заводская, д. 4</t>
  </si>
  <si>
    <t>г. Бежецк, ул. М.И. Кузнецова, д. 16</t>
  </si>
  <si>
    <t>г. Бежецк, ул. Инженерная, д. 3</t>
  </si>
  <si>
    <t>г. Бежецк, ул. Инженерная, д. 6</t>
  </si>
  <si>
    <t>г. Бежецк, ул. Л. Толстого, д. 18</t>
  </si>
  <si>
    <t>каркасно-щитовые</t>
  </si>
  <si>
    <t>г. Бежецк, ул. Л. Толстого, д. 4</t>
  </si>
  <si>
    <t>г. Бежецк, ул. Остречинская, д. 4</t>
  </si>
  <si>
    <t>г. Бежецк, ул. Песочная, д. 10</t>
  </si>
  <si>
    <t>Крупнопанельные</t>
  </si>
  <si>
    <t>ул. Красноармейская, д. 35</t>
  </si>
  <si>
    <t>ул. Тургенева, д. 19</t>
  </si>
  <si>
    <t>ул. Ленина, д. 39а</t>
  </si>
  <si>
    <t>ул. Коминтерна, д. 47/21</t>
  </si>
  <si>
    <t>ул. Декабристов, д. 3а</t>
  </si>
  <si>
    <t>ул. Школьная, д. 39</t>
  </si>
  <si>
    <t>ул. Володарского, д. 7</t>
  </si>
  <si>
    <t>ул. Коминтерна, д. 2/26</t>
  </si>
  <si>
    <t>ул. Дзержинского, д. 17а</t>
  </si>
  <si>
    <t>ул. Шорина, д. 20а</t>
  </si>
  <si>
    <t>ул. Декабристов, д. 7</t>
  </si>
  <si>
    <t>ул. Коммунистическая, д. 18</t>
  </si>
  <si>
    <t>ул. Володарского, д. 8</t>
  </si>
  <si>
    <t>ул. Центральная, д. 5</t>
  </si>
  <si>
    <t>ул. Коминтерна, д. 39</t>
  </si>
  <si>
    <t>ул. Коминтерна, д. 69/26</t>
  </si>
  <si>
    <t>ул. Коминтерна, д. 63/15</t>
  </si>
  <si>
    <t>ул. Школьная, д. 40</t>
  </si>
  <si>
    <t>ул. Школьная, д. 44</t>
  </si>
  <si>
    <t>ул. Коминтерна, д. 62/26</t>
  </si>
  <si>
    <t>ул. Коминтерна, д. 65/14</t>
  </si>
  <si>
    <t>ул. Студенческая, д. 12а</t>
  </si>
  <si>
    <t>ул. Волжская, д. 41</t>
  </si>
  <si>
    <t>лифт</t>
  </si>
  <si>
    <t>д. Афимьино, ул. Мира, д. 2</t>
  </si>
  <si>
    <t>бетонные</t>
  </si>
  <si>
    <t>Итого по Холохоленское сельское поселение</t>
  </si>
  <si>
    <t>д. Афимьино, ул. Мира, д. 1</t>
  </si>
  <si>
    <t>Итого по Терелесовское сельское поселение</t>
  </si>
  <si>
    <t>Итого по ЗАТО Солнечный</t>
  </si>
  <si>
    <t>ул. Новая, д. 26</t>
  </si>
  <si>
    <t>ул. Новая, д. 27</t>
  </si>
  <si>
    <t>ул. Новая, д. 28</t>
  </si>
  <si>
    <t>ул. Новая, д. 29</t>
  </si>
  <si>
    <t>ул. Новая, д. 30</t>
  </si>
  <si>
    <t>ул. Кирова, д. 29</t>
  </si>
  <si>
    <t>ул. Фадеева, д. 29</t>
  </si>
  <si>
    <t>Типографский пер., д. 5</t>
  </si>
  <si>
    <t>Садовый пер., д. 5</t>
  </si>
  <si>
    <t>1997</t>
  </si>
  <si>
    <t>1963</t>
  </si>
  <si>
    <t>1977</t>
  </si>
  <si>
    <t>1962</t>
  </si>
  <si>
    <t>ул. Горького, д. 6</t>
  </si>
  <si>
    <t>1974</t>
  </si>
  <si>
    <t>ул. Мира, д. 70</t>
  </si>
  <si>
    <t>1989</t>
  </si>
  <si>
    <t>Итого по Верхнетроицкое сельское поселение</t>
  </si>
  <si>
    <t>д. Верхняя Троица, ул. Молодежная, д. 3</t>
  </si>
  <si>
    <t>д. Тетьково, д. 63</t>
  </si>
  <si>
    <t>д. Тетьково, д. 39</t>
  </si>
  <si>
    <t>д. Верхняя Троица, ул. Мира, д. 2</t>
  </si>
  <si>
    <t>пер. 1-й Путейский, д. 24</t>
  </si>
  <si>
    <t>ул. Володарского, д. 177</t>
  </si>
  <si>
    <t>ул. Загородная, д. 16</t>
  </si>
  <si>
    <t>ул. Ленина, д. 3</t>
  </si>
  <si>
    <t>ул. Ленина, д. 5</t>
  </si>
  <si>
    <t>ул. Ленина, д. 7</t>
  </si>
  <si>
    <t>ул. Ленина, д. 8</t>
  </si>
  <si>
    <t>ул. Ленина, д. 9</t>
  </si>
  <si>
    <t>ул. Ленина, д. 10</t>
  </si>
  <si>
    <t>ул. Ленина, д. 11</t>
  </si>
  <si>
    <t>ул. Ленина, д. 12</t>
  </si>
  <si>
    <t>ул. Ленина, д. 16</t>
  </si>
  <si>
    <t>ул. Строителей, д. 8</t>
  </si>
  <si>
    <t>ул. Строителей, д. 14</t>
  </si>
  <si>
    <t>ул. Строителей, д. 18</t>
  </si>
  <si>
    <t>ул. Строителей, д. 22</t>
  </si>
  <si>
    <t>ул. Строителей, д. 26</t>
  </si>
  <si>
    <t>ул.С. Козлова, д. 1</t>
  </si>
  <si>
    <t>ул.С. Козлова, д. 3</t>
  </si>
  <si>
    <t>ул.С. Козлова, д. 5</t>
  </si>
  <si>
    <t>ул. Советская, д. 1</t>
  </si>
  <si>
    <t>ул. Советская, д. 2</t>
  </si>
  <si>
    <t>ул. Советская, д. 6</t>
  </si>
  <si>
    <t>ул. Солнечная, д. 1</t>
  </si>
  <si>
    <t>ул. Солнечная, д. 2</t>
  </si>
  <si>
    <t>ул. Солнечная, д. 3</t>
  </si>
  <si>
    <t>ул. Солнечная, д. 6</t>
  </si>
  <si>
    <t>ул. Г. Кольцова, д. 1</t>
  </si>
  <si>
    <t>ул. Г. Кольцова, д. 2</t>
  </si>
  <si>
    <t>ул. Г. Кольцова, д. 6</t>
  </si>
  <si>
    <t>ул. Озерная, д. 4</t>
  </si>
  <si>
    <t>ул. Озерная, д. 6</t>
  </si>
  <si>
    <t>ул. Озерная, д. 8</t>
  </si>
  <si>
    <t>ул. Озерная, д. 10</t>
  </si>
  <si>
    <t>ул. Озерная, д. 12</t>
  </si>
  <si>
    <t>ул. Юбилейная, д. 11</t>
  </si>
  <si>
    <t>п. Пригородный, ул. Гагарина, д. 22</t>
  </si>
  <si>
    <t>п. Пригородный, ул. Гагарина, д. 20</t>
  </si>
  <si>
    <t>п. Пригородный, ул. Гагарина, д. 20</t>
  </si>
  <si>
    <t>п. Пригородный, ул. Гагарина, д. 22</t>
  </si>
  <si>
    <t>ул. Баумана, д. 13</t>
  </si>
  <si>
    <t>ул. Б. Садовая, д. 29</t>
  </si>
  <si>
    <t>ул. Правды, д. 27</t>
  </si>
  <si>
    <t>ул. Правды, д. 31/33</t>
  </si>
  <si>
    <t>ул. Правды, д. 27а</t>
  </si>
  <si>
    <t>Казанский пр-т, д. 105</t>
  </si>
  <si>
    <t>ул. Ст. Разина, д. 41</t>
  </si>
  <si>
    <t>ул. Московская, д. 1/49</t>
  </si>
  <si>
    <t>ул. Екатерининская, д. 4-6</t>
  </si>
  <si>
    <t>Казанский пр-т, д. 93</t>
  </si>
  <si>
    <t>Ржевский тракт, д. 44</t>
  </si>
  <si>
    <t>ул. Шмидта, д. 79/4</t>
  </si>
  <si>
    <t>ул. Новгородская, д. 4</t>
  </si>
  <si>
    <t>Лермонтовский пер., д. 16</t>
  </si>
  <si>
    <t>ул. 4-я Пролетарская, д. 98/2</t>
  </si>
  <si>
    <t>ул. Московская, д. 1</t>
  </si>
  <si>
    <t>ул. Киевская, д. 3</t>
  </si>
  <si>
    <t>Горняцкое с/п</t>
  </si>
  <si>
    <t>Холохоленское с/п</t>
  </si>
  <si>
    <t>п. Пено</t>
  </si>
  <si>
    <t>пгт. Сонково</t>
  </si>
  <si>
    <t>г. Бежецк, ул. Нечаева, д. 5</t>
  </si>
  <si>
    <t>ул. Баумана, д. 25</t>
  </si>
  <si>
    <t>ул. Правды,  д. 26</t>
  </si>
  <si>
    <t>ул. Правды,  д. 28</t>
  </si>
  <si>
    <t>ул. Баумана, д. 9</t>
  </si>
  <si>
    <t>Ванчакова линия, д. 5</t>
  </si>
  <si>
    <t>Ванчакова линия, д. 7</t>
  </si>
  <si>
    <t>Ванчакова линия, д. 9</t>
  </si>
  <si>
    <t>Ванчакова линия, д. 25</t>
  </si>
  <si>
    <t>Ванчакова линия, д. 29</t>
  </si>
  <si>
    <t>Ванчакова линия, д. 43</t>
  </si>
  <si>
    <t>Ванчакова линия, д. 53</t>
  </si>
  <si>
    <t>Ванчакова линия, д. 69а</t>
  </si>
  <si>
    <t>Ванчакова линия, д. 77/1</t>
  </si>
  <si>
    <t>бревенчатые</t>
  </si>
  <si>
    <t>ул. Цюрупы, д. 4</t>
  </si>
  <si>
    <t>Тургеневский пер., д. 7</t>
  </si>
  <si>
    <t>Бейшлотская наб., д. 127</t>
  </si>
  <si>
    <t>Бейшлотская наб., д. 127а</t>
  </si>
  <si>
    <t>ул. Мичурина, д. 3</t>
  </si>
  <si>
    <t>Тверской пер., д. 11/2</t>
  </si>
  <si>
    <t>ул. М. Расковой, д. 79/82</t>
  </si>
  <si>
    <t>Казанский пр-т, д. 66/57</t>
  </si>
  <si>
    <t>Казанский пр-т, д. 86</t>
  </si>
  <si>
    <t>Казанский пр-т, д. 39-45</t>
  </si>
  <si>
    <t>ул. Сиверсова, д. 5-9</t>
  </si>
  <si>
    <t>шлакоблочные</t>
  </si>
  <si>
    <t>фундам.</t>
  </si>
  <si>
    <t>ул. Старицкая, д. 100</t>
  </si>
  <si>
    <t>ул. Падерина, д. 1</t>
  </si>
  <si>
    <t>ул. Школьная, д. 42</t>
  </si>
  <si>
    <t>ул. Зеленая, д. 2</t>
  </si>
  <si>
    <t>ул. Восточная, д. 1</t>
  </si>
  <si>
    <t>ул. Северная, д. 5а</t>
  </si>
  <si>
    <t>ул. Восточная, д. 25</t>
  </si>
  <si>
    <t>ул. им. Василенкова, д. 3</t>
  </si>
  <si>
    <t>ул. им Смирнова, д. 20</t>
  </si>
  <si>
    <t>Итого по Бурашевское сельское поселение</t>
  </si>
  <si>
    <t>д. Езвино, д. 7</t>
  </si>
  <si>
    <t>д. Езвино, д. 9</t>
  </si>
  <si>
    <t>керамзитовые блоки</t>
  </si>
  <si>
    <t>ул. Ленина, д. 36</t>
  </si>
  <si>
    <t>ул. Ленина, д. 28</t>
  </si>
  <si>
    <t>ул. Ленина, д. 34</t>
  </si>
  <si>
    <t>ул. Ленина, д. 39</t>
  </si>
  <si>
    <t>ул. Речная, д. 1</t>
  </si>
  <si>
    <t>Итого по Городенское сельское поселение</t>
  </si>
  <si>
    <r>
      <t>с. Городня, ул. Садовая, д.</t>
    </r>
    <r>
      <rPr>
        <sz val="12"/>
        <color theme="1"/>
        <rFont val="Calibri"/>
        <family val="2"/>
        <charset val="204"/>
      </rPr>
      <t> 2</t>
    </r>
  </si>
  <si>
    <t>д. Заполок, д. 1</t>
  </si>
  <si>
    <t>д. Заполок, д. 2</t>
  </si>
  <si>
    <t>ул. Михаила Калинина, д. 8/3</t>
  </si>
  <si>
    <t>ул. Ивана Тургенева, д. 3а</t>
  </si>
  <si>
    <t>ул. Карла Маркса, д. 21а</t>
  </si>
  <si>
    <t>ул. Ленина, д. 49б</t>
  </si>
  <si>
    <t>ул. Ленина,д. 60</t>
  </si>
  <si>
    <t>пл. Пролетарская, д. 13</t>
  </si>
  <si>
    <t>ул. Профсоюзов, д. 8</t>
  </si>
  <si>
    <t>ул. Республиканская, д. 3</t>
  </si>
  <si>
    <t>ул. Вонжинская, д. 15</t>
  </si>
  <si>
    <t>ул. Карла Маркса, д. 38</t>
  </si>
  <si>
    <t>ул. Ленина, д. 49а</t>
  </si>
  <si>
    <t>ул. Ленина, д. 52а</t>
  </si>
  <si>
    <t>ул. Ленина, д. 54а</t>
  </si>
  <si>
    <t>ул. Песочная, д. 8</t>
  </si>
  <si>
    <t>пл. Петровой, д. 7</t>
  </si>
  <si>
    <t>ул. Чистопрудная, д. 23</t>
  </si>
  <si>
    <t>ул. Заводская, д. 6</t>
  </si>
  <si>
    <t>ул. Николая Гоголя, д. 2а</t>
  </si>
  <si>
    <t>ул. Песочная, д. 9</t>
  </si>
  <si>
    <t>ул. Строителей, д. 20</t>
  </si>
  <si>
    <t>пл. Республиканская, д. 2а</t>
  </si>
  <si>
    <t>ул. Московская, д. 18</t>
  </si>
  <si>
    <t>пос. Межа, ул. Ленина, д. 15</t>
  </si>
  <si>
    <t xml:space="preserve">  пгт. Рамешки</t>
  </si>
  <si>
    <t>Нелидовское с/п</t>
  </si>
  <si>
    <t>Бетонные</t>
  </si>
  <si>
    <t>Формирование фонда капитального ремонта многоквартирного дома на счете регионального оператора</t>
  </si>
  <si>
    <t>№ 
п/п</t>
  </si>
  <si>
    <t xml:space="preserve">Количество МКД </t>
  </si>
  <si>
    <t>за счет привлеченных средств (кредит)</t>
  </si>
  <si>
    <t>за счет привлеченных средств (рассрочка)</t>
  </si>
  <si>
    <t>Формирование фонда капитального ремонта многоквартирного дома на специальном счете, владельцем которого является товарищество собственников жилья, жилищно-строительный кооператив, жилищный кооператив, 
иной специализированный потребительский кооператив, управляющая компания</t>
  </si>
  <si>
    <t>Виды услуг и (или) работ по капитальному ремонту:</t>
  </si>
  <si>
    <t>выполнения работ по капитальному ремонту</t>
  </si>
  <si>
    <t>Наименование муниципального образования 
Тверской области</t>
  </si>
  <si>
    <t>разработки проектной документации, проведения проверки достоверности определения сметной стоимости капитального ремонта</t>
  </si>
  <si>
    <t>ремонт и утепление фасада</t>
  </si>
  <si>
    <t>пос. Южный, ул. Маресьева, д. 23</t>
  </si>
  <si>
    <t>1980</t>
  </si>
  <si>
    <t>1934</t>
  </si>
  <si>
    <t>Плановая дата завершения</t>
  </si>
  <si>
    <t>Площадь помещений МКД</t>
  </si>
  <si>
    <t>за счет средств собственников 
помещений в МКД</t>
  </si>
  <si>
    <t>0,00</t>
  </si>
  <si>
    <t>ул. Юбилейная, д. 3</t>
  </si>
  <si>
    <t>ул. Юбилейная, д. 1/2</t>
  </si>
  <si>
    <t>1968</t>
  </si>
  <si>
    <t>1917</t>
  </si>
  <si>
    <t>д. Барановка, д. 1</t>
  </si>
  <si>
    <t>д. Барановка, д. 2</t>
  </si>
  <si>
    <t>пос. Граничный, д. 10</t>
  </si>
  <si>
    <t>пос. Труд, ул. Пушкина, д. 31</t>
  </si>
  <si>
    <t>пос. Граничный, д. 14</t>
  </si>
  <si>
    <t>1983</t>
  </si>
  <si>
    <t>Весьегонский муниципальный округ</t>
  </si>
  <si>
    <t>Андреапольский муниципальный округ</t>
  </si>
  <si>
    <t>ул. Юбилейная, д. 6а</t>
  </si>
  <si>
    <t>с. Дмитрова Гора, ул. Новая, д. 1</t>
  </si>
  <si>
    <t>Западнодвинский муниципальный округ</t>
  </si>
  <si>
    <t>Краснохолмский муниципальный округ</t>
  </si>
  <si>
    <t>Селижаровский муниципальный округ</t>
  </si>
  <si>
    <t>Оленинский муниципальный округ</t>
  </si>
  <si>
    <t xml:space="preserve">ремонт, замена, модернизация лифтов, ремонт лифтовых шахт, машинных и блочных помещений
</t>
  </si>
  <si>
    <r>
      <t>установка приборов учета</t>
    </r>
    <r>
      <rPr>
        <vertAlign val="superscript"/>
        <sz val="30"/>
        <rFont val="Times New Roman"/>
        <family val="1"/>
        <charset val="204"/>
      </rPr>
      <t>2</t>
    </r>
    <r>
      <rPr>
        <sz val="30"/>
        <rFont val="Times New Roman"/>
        <family val="1"/>
        <charset val="204"/>
      </rPr>
      <t xml:space="preserve">
</t>
    </r>
  </si>
  <si>
    <r>
      <t xml:space="preserve">теплоснабжения </t>
    </r>
    <r>
      <rPr>
        <vertAlign val="superscript"/>
        <sz val="30"/>
        <rFont val="Times New Roman"/>
        <family val="1"/>
        <charset val="204"/>
      </rPr>
      <t>1</t>
    </r>
  </si>
  <si>
    <t xml:space="preserve"> </t>
  </si>
  <si>
    <t>Формирование фонда капитального ремонта многоквартирного дома на счете некоммерческой организации – Фонда капитального ремонта многоквартирных домов Тверской области (далее – региональный оператор)</t>
  </si>
  <si>
    <t>Адрес многоквартирного дома 
(далее – МКД)</t>
  </si>
  <si>
    <t>в многоквартирных домах на территории Тверской области на 2014 – 2043 годы</t>
  </si>
  <si>
    <t>пос. Озерки, ул. Ленинская, д. 16</t>
  </si>
  <si>
    <t>Спировский муниципальный округ</t>
  </si>
  <si>
    <t>Рамешковский муниципальный округ</t>
  </si>
  <si>
    <t>Лихославльский муниципальный округ</t>
  </si>
  <si>
    <t>Молоковский муниципальный округ</t>
  </si>
  <si>
    <t xml:space="preserve">Лихославльский муниципальный округ </t>
  </si>
  <si>
    <t>д. Вески, ул. Боровикова, д. 5</t>
  </si>
  <si>
    <t>г. Вышний Волочек, ул. Карла Маркса, д. 68</t>
  </si>
  <si>
    <t>г. Вышний Волочек, ул. Красных Печатников, д. 16</t>
  </si>
  <si>
    <t>г. Кашин, ул. Карла Маркса, д. 16</t>
  </si>
  <si>
    <t>г. Осташков, ул. Володарского, д. 43</t>
  </si>
  <si>
    <t>г. Осташков, ул. Шевчука, д. 5</t>
  </si>
  <si>
    <t>пос. Рамешки, ул. Советская, д. 60</t>
  </si>
  <si>
    <t>пос. Сонково, ул. Калинина, д. 2</t>
  </si>
  <si>
    <t>г. Вышний Волочек, ул. Двор фабрики «Пролетарский Авангард», д. 39</t>
  </si>
  <si>
    <t>г. Андреаполь, ул. Кленовая, д. 19а</t>
  </si>
  <si>
    <t>г. Андреаполь, ул. Театральная, д. 3</t>
  </si>
  <si>
    <t>г. Весьегонск, ул. Коммунистическая, д. 12</t>
  </si>
  <si>
    <t>г. Западная Двина, пер. Типографский, д. 3</t>
  </si>
  <si>
    <t>г. Красный Холм, ул. Калинина, д. 6</t>
  </si>
  <si>
    <t>г. Лихославль, ул. Вагжанова,  д. 6а</t>
  </si>
  <si>
    <t>пос. Калашниково, ул. Горького, д. 3</t>
  </si>
  <si>
    <t>г. Нелидово, ул. Правды, д. 9</t>
  </si>
  <si>
    <t>г. Нелидово, ул. Горького, д. 4</t>
  </si>
  <si>
    <t>г. Нелидово, ул. Нахимова, д. 11</t>
  </si>
  <si>
    <t>г. Нелидово, ул. Кирова, д. 37</t>
  </si>
  <si>
    <t>г. Осташков, ул. Шевчука, д. 3</t>
  </si>
  <si>
    <t>г. Осташков, ул. Тимофеевская, д. 66</t>
  </si>
  <si>
    <t>пос. Селижарово, ул. Гагарина, д. 2</t>
  </si>
  <si>
    <t>пос. Селижарово, ул. Ленина, д. 29</t>
  </si>
  <si>
    <t>г. Вышний Волочек, ул. Красная, д. 9</t>
  </si>
  <si>
    <t>г. Вышний Волочек, ул. Двор фабрики Парижская коммуна, д. 48</t>
  </si>
  <si>
    <t>г. Андреаполь, ул. Советская, д. 65а</t>
  </si>
  <si>
    <t>г. Андреаполь, ул. Кленовая, д. 18</t>
  </si>
  <si>
    <t>г. Весьегонск, ул. Правды, д. 10</t>
  </si>
  <si>
    <t>г. Западная Двина, ул. Мира, д. 35а</t>
  </si>
  <si>
    <t>г. Нелидово, ул. Нахимова, д. 14/13</t>
  </si>
  <si>
    <t>г. Нелидово, ул. Горького, д. 10</t>
  </si>
  <si>
    <t>г. Осташков, ул. Загородная, д. 12а</t>
  </si>
  <si>
    <t>г. Осташков, ул. Рабочая, д. 29</t>
  </si>
  <si>
    <t>г. Осташков, ул. Печатникова, д. 8</t>
  </si>
  <si>
    <t>г. Осташков, ул. Печатникова, д. 6</t>
  </si>
  <si>
    <t>г. Удомля, ул. Космонавтов, д. 1</t>
  </si>
  <si>
    <t>г. Андреаполь, ул. Половчени, д. 8</t>
  </si>
  <si>
    <t>г. Весьегонск, ул. Павлика Морозова, д. 28</t>
  </si>
  <si>
    <t>г. Западная Двина, ул. Кирова, д. 37</t>
  </si>
  <si>
    <t>г. Кашин, ул. Карла Маркса, д. 47</t>
  </si>
  <si>
    <t>г. Кашин, ул. Песочная, д. 16/7</t>
  </si>
  <si>
    <t>г. Кашин, ул. Советская, д. 1/8</t>
  </si>
  <si>
    <t>г. Кашин, ул. Заводская, д. 10</t>
  </si>
  <si>
    <t>г. Кашин, ул. Заводская, д. 12</t>
  </si>
  <si>
    <t>г. Кашин, ул. Михаила Калинина, д. 8/3</t>
  </si>
  <si>
    <t>г. Кашин, ул. Карла Маркса, д. 21а</t>
  </si>
  <si>
    <t>г. Кашин, ул. Песочная, д. 8</t>
  </si>
  <si>
    <t>г. Кашин, ул. Анатолия Луначарского, д. 8</t>
  </si>
  <si>
    <t>г. Кашин, ул. Анатолия Луначарского, д. 10</t>
  </si>
  <si>
    <t xml:space="preserve">г. Лихославль, ул. Карла Маркса, д. 25 </t>
  </si>
  <si>
    <t xml:space="preserve">г. Лихославль, ул. Разъезжая, д. 12 </t>
  </si>
  <si>
    <t>г. Лихославль, ул. Бежецкая, д. 25</t>
  </si>
  <si>
    <t xml:space="preserve">г. Лихославль, ул. Школьная, д. 4 </t>
  </si>
  <si>
    <t>пос. Калашниково, ул. Речная, д. 1</t>
  </si>
  <si>
    <t>г. Нелидово, ул. Матросова, д. 36/44</t>
  </si>
  <si>
    <t>г. Нелидово, ул. Матросова, д. 26/1</t>
  </si>
  <si>
    <t>г. Осташков, ул. Загородная, д. 16</t>
  </si>
  <si>
    <t>пос. Рамешки, ул. Бежецкая, д. 20</t>
  </si>
  <si>
    <t>пос. Селижарово, ул. Микрорайон, д. 6</t>
  </si>
  <si>
    <t>пгт Оленино, ул. Октябрьская, д. 26</t>
  </si>
  <si>
    <t>пгт Оленино, ул. Чехова, д. 22</t>
  </si>
  <si>
    <t>пгт Оленино, ул. Октябрьская, д. 14</t>
  </si>
  <si>
    <t>п. Мирный, ул. Советская, д. 3</t>
  </si>
  <si>
    <t>с. Застолбье, ул. Школьная, д. 4</t>
  </si>
  <si>
    <t>* При внесении изменений в муниципальные краткосрочные планы перечень многоквартирных домов подлежит корректировке.</t>
  </si>
  <si>
    <t xml:space="preserve">ремонт крыши, переустройство невентилируемой крыши на вентилируемую крышу, устройство выходов на кровлю  </t>
  </si>
  <si>
    <t>1 В том числе ремонт внутридомовых инженерных систем теплоснабжения, а также установка, ремонт или замена в комплексе оборудования индивидуальных тепловых пунктов и при наличии повысительных насосных установок.</t>
  </si>
  <si>
    <t>2 Установка коллективных (общедомовых) приборов учета потребления ресурсов, необходимых для предоставления коммунальных услуг, и узлов управления и регулирования потребления этих ресурсов (тепловой энергии, горячей и холодной воды, газа).</t>
  </si>
  <si>
    <t>3 В том числе установка, ремонт систем коллективного приема телевидения для обеспечения приема и распределения в многоквартирных домах радиосигналов цифрового эфирного телевизионного вещания.</t>
  </si>
  <si>
    <t>».</t>
  </si>
  <si>
    <t xml:space="preserve">г. Лихославль, 
ул. Красноармейская, д. 4а </t>
  </si>
  <si>
    <t>г. Лихославль, ул. Лихославльская, 
д. тяговой подстанции</t>
  </si>
  <si>
    <t>г. Весьегонск, 
ул. Парковая, д. 6</t>
  </si>
  <si>
    <t>г. Западная Двина, 
пер. Типографский, д. 3</t>
  </si>
  <si>
    <t>г. Западная Двина, 
ул. Почтовая, д. 12</t>
  </si>
  <si>
    <t>пос. Селижарово, 
ул. Ленина, д. 29</t>
  </si>
  <si>
    <t>пос. Селижарово, 
ул. Завокзальная, д. 20</t>
  </si>
  <si>
    <t>г. Весьегонск, 
ул. Правды, д. 10</t>
  </si>
  <si>
    <t>г. Весьегонск, 
ул. Промышленная, д. 22</t>
  </si>
  <si>
    <t>г. Западная Двина, 
ул. Фадеева, д. 25</t>
  </si>
  <si>
    <t>пос. Сонково, 
ул. Артамонова, д. 1а</t>
  </si>
  <si>
    <t>пос. Сонково, 
ул. Сельхозтехника, д. 1а</t>
  </si>
  <si>
    <t xml:space="preserve">пос. Селижарово, 
ул. Ст. Разина, д. 2а </t>
  </si>
  <si>
    <t>пос. Селижарово, 
ул. Микрорайон, д. 6</t>
  </si>
  <si>
    <t xml:space="preserve">пос. Селижарово, 
ул. Пионерская, д. 14 </t>
  </si>
  <si>
    <t>г. Нелидово, 
ул. Матросова, д. 36/44</t>
  </si>
  <si>
    <t>г. Весьегонск, 
ул. Строителей, д. 3</t>
  </si>
  <si>
    <t>г. Западная Двина, 
ул. Кирова, д. 37</t>
  </si>
  <si>
    <t>г. Западная Двина, 
ул. Щербакова, д. 24</t>
  </si>
  <si>
    <t>техническое обследование общего имущества в много-квартирном доме</t>
  </si>
  <si>
    <t>п. Заволжский, д. 14</t>
  </si>
  <si>
    <t>п. Заволжский, д. 15</t>
  </si>
  <si>
    <t>п. Заволжский, д. 18</t>
  </si>
  <si>
    <t>с. Пушкино, д. 7</t>
  </si>
  <si>
    <t>г. Удомля, ул. Венецианова, д. 3</t>
  </si>
  <si>
    <t>г. Удомля, ул. Энтузиастов, д. 6/2</t>
  </si>
  <si>
    <t>г. Удомля, ул. Карла Маркса, д. 25</t>
  </si>
  <si>
    <t>г. Удомля, ул. Левитана, д. 7</t>
  </si>
  <si>
    <t>д. Ивановское, д. 25</t>
  </si>
  <si>
    <t>пгт Оленино, ул. Пионерская, д. 7</t>
  </si>
  <si>
    <t>Бельский муниципальный округ</t>
  </si>
  <si>
    <t>Зубцовский муниципальный округ</t>
  </si>
  <si>
    <t>Сонковский муниципальный округ</t>
  </si>
  <si>
    <t>г. Зубцов, пер. Образцова, д. 1</t>
  </si>
  <si>
    <t>г. Зубцов, ул. Мира, д. 9</t>
  </si>
  <si>
    <t>г. Белый, ул. Строителей, д. 13</t>
  </si>
  <si>
    <t>г. Ржев, ул. Большая Спасская, д. 41/65</t>
  </si>
  <si>
    <t>г. Ржев, ул. Садовая, д. 17/11</t>
  </si>
  <si>
    <t>г. Ржев, ул. Рижская, д. 4</t>
  </si>
  <si>
    <t>г. Ржев, ул. Железнодорожная, д. 34</t>
  </si>
  <si>
    <t>г. Ржев, ул. Краностроителей, д. 14</t>
  </si>
  <si>
    <t>Кимрский муниципальный округ</t>
  </si>
  <si>
    <t>Ржевский муниципальный округ</t>
  </si>
  <si>
    <t>Старицкий муниципальный округ</t>
  </si>
  <si>
    <t>г. Осташков, ул. 1-я Железнодорожная, д. 1а</t>
  </si>
  <si>
    <r>
      <t>уста-новка, ремонт систем приема телеви-дения</t>
    </r>
    <r>
      <rPr>
        <vertAlign val="superscript"/>
        <sz val="30"/>
        <rFont val="Times New Roman"/>
        <family val="1"/>
        <charset val="204"/>
      </rPr>
      <t>3</t>
    </r>
  </si>
  <si>
    <t>г. Красный Холм, ул. Заводская, д. 22</t>
  </si>
  <si>
    <t>г. Красный Холм, ул. Льва Толстого, д. 51/4</t>
  </si>
  <si>
    <t>г. Красный Холм, ул. Октябрьская, д. 26</t>
  </si>
  <si>
    <t>г. Вышний Волочек, ул. Дзержинского, д. 12/25</t>
  </si>
  <si>
    <t>г. Вышний Волочек, ул. Дзержинского, д. 10</t>
  </si>
  <si>
    <t>г. Вышний Волочек, ул. М. Горького, д. 15</t>
  </si>
  <si>
    <t>г. Вышний Волочек, ул. Ямская, д. 96а</t>
  </si>
  <si>
    <t>г. Западная Двина, ул. Почтовая, д. 12</t>
  </si>
  <si>
    <t>д. Верхняя Троица, ул. Советская, д. 4</t>
  </si>
  <si>
    <t>г. Лихославль, ул. Первомайская, д. 39</t>
  </si>
  <si>
    <t>г. Лихославль, ул. Лихославльская, д. 45</t>
  </si>
  <si>
    <t>пос. Селижарово, ул. Завокзальная, д. 20</t>
  </si>
  <si>
    <t>г. Вышний Волочек, ул. Баумана, д. 23</t>
  </si>
  <si>
    <t>г. Вышний Волочек, ул. Чапаева, д. 11</t>
  </si>
  <si>
    <t xml:space="preserve">г. Вышний Волочек, ул. Баумана, д. 5 </t>
  </si>
  <si>
    <t>г. Андреаполь, ул. Карла Маркса, д. 3</t>
  </si>
  <si>
    <t>г. Андреаполь, ул. Октябрьская, д. 56</t>
  </si>
  <si>
    <t>г. Западная Двина, ул. Щербакова, д. 24</t>
  </si>
  <si>
    <t xml:space="preserve">пос. Озерки, ул. Локомотивная, д. 5 </t>
  </si>
  <si>
    <t>г. Красный Холм, пер. Красный, д. 2а</t>
  </si>
  <si>
    <t>г. Лихославль, пер. Театральный, д. 2</t>
  </si>
  <si>
    <t>г. Лихославль, ул. Юбилейная, д. РСУ</t>
  </si>
  <si>
    <t>г. Лихославль, ул. Первомайская, д. 14</t>
  </si>
  <si>
    <t>г. Осташков, ул. Володарского, д. 177</t>
  </si>
  <si>
    <t xml:space="preserve">пос. Селижарово, ул. Пионерская, д. 14 </t>
  </si>
  <si>
    <t xml:space="preserve">пос. Селижарово, ул. Ст. Разина, д. 2а </t>
  </si>
  <si>
    <t>пос. Сонково, ул. Сельхозтехника, д. 1а</t>
  </si>
  <si>
    <t>г. Осташков, ул. Володарского, д. 179</t>
  </si>
  <si>
    <t>г. Лихославль, ул. Лихославльская, д. 9а</t>
  </si>
  <si>
    <t>г. Вышний Волочек, ул. Советская, д. 21/2</t>
  </si>
  <si>
    <t>г. Весьегонск, ул. Промышленная, д. 22</t>
  </si>
  <si>
    <t>г. Западная Двина, ул. Фадеева, д. 25</t>
  </si>
  <si>
    <t>г. Красный Холм, ул. Коммунистическая, д. 36</t>
  </si>
  <si>
    <t>г. Кашин, ул. Анатолия Луначарского,
 д. 10</t>
  </si>
  <si>
    <t>пос. Великооктябрьский, 
ул. Цнинская, д. 4</t>
  </si>
  <si>
    <t>пос. Великооктябрьский, 
ул. Советская, д. 4</t>
  </si>
  <si>
    <t>г. Кашин, ул. Песочная, 
д. 16/7</t>
  </si>
  <si>
    <t>г. Кашин, ул. Советская, 
д. 1/8</t>
  </si>
  <si>
    <t>г. Кашин, ул. Заводская, 
д. 10</t>
  </si>
  <si>
    <t>г. Кашин, ул. Заводская, 
д. 12</t>
  </si>
  <si>
    <t>г. Кашин, ул. Песочная, 
д. 8</t>
  </si>
  <si>
    <r>
      <t>разработка проектной документации</t>
    </r>
    <r>
      <rPr>
        <vertAlign val="superscript"/>
        <sz val="30"/>
        <rFont val="Times New Roman"/>
        <family val="1"/>
        <charset val="204"/>
      </rPr>
      <t>4</t>
    </r>
    <r>
      <rPr>
        <sz val="30"/>
        <rFont val="Times New Roman"/>
        <family val="1"/>
        <charset val="204"/>
      </rPr>
      <t xml:space="preserve"> 
</t>
    </r>
  </si>
  <si>
    <t>пос. Великооктябрьский, 
ул. Советская, д. 2</t>
  </si>
  <si>
    <t>г. Вышний Волочек, ул. Двор фабрики Пролетарский Авангард, д. 18</t>
  </si>
  <si>
    <t>ремонт фасада</t>
  </si>
  <si>
    <t>утепление фасада</t>
  </si>
  <si>
    <t>Жарковский муниципальный округ</t>
  </si>
  <si>
    <t>г. Ржев, ул. Большевистская, д. 1</t>
  </si>
  <si>
    <t>г. Ржев, ул. Мира, д. 4</t>
  </si>
  <si>
    <t>г. Ржев, ул. Пархоменко, д. 14</t>
  </si>
  <si>
    <t>г. Старица, ул. Карла Маркса,  д. 60</t>
  </si>
  <si>
    <t>г. Старица, ул. Ленина,  д. 80</t>
  </si>
  <si>
    <t>пос. Жарковский, ул. Мира, д. 13</t>
  </si>
  <si>
    <t>г. Старица, ул. Коммунистическая, д. 34</t>
  </si>
  <si>
    <t>пос. Жарковский, ул. Доватора, д. 11 </t>
  </si>
  <si>
    <t>г. Кимры, ул. Шевченко, д. 99В</t>
  </si>
  <si>
    <t>г. Старица, ул. Захарова, д. 3</t>
  </si>
  <si>
    <t>г. Старица, ул. Карла Маркса, д. 58</t>
  </si>
  <si>
    <t>Кашинский городской округ</t>
  </si>
  <si>
    <t>Нелидовский городской округ</t>
  </si>
  <si>
    <t>Осташковский городской округ</t>
  </si>
  <si>
    <t>г. Старица, ул. Мира, д. 16</t>
  </si>
  <si>
    <t>г. Кимры, ул. Шевченко, д. 99в</t>
  </si>
  <si>
    <t>пос. Спирово, ул. Мира, д. 10</t>
  </si>
  <si>
    <t>г. Кашин, ул. Карла Маркса, 
д. 21а</t>
  </si>
  <si>
    <t>реализации в 2023 – 2025 годах региональной программы по проведению капитального ремонта общего имущества</t>
  </si>
  <si>
    <t xml:space="preserve">Начало проведения капитального ремонта – 2023 год </t>
  </si>
  <si>
    <t>Начало проведения капитального ремонта – 2024 год*</t>
  </si>
  <si>
    <t>Начало проведения капитального ремонта – 2025 год*</t>
  </si>
  <si>
    <t>д. Заборовье, ул. Лесная, д. 3</t>
  </si>
  <si>
    <t>Начало проведения капитального ремонта – 2023 год</t>
  </si>
  <si>
    <t>Реестр многоквартирных домов, капитальный ремонт которых не был завершен в 2022 году и которые планируется отремонтировать в 2023 – 2025 годах</t>
  </si>
  <si>
    <t>Начало проведения капитального ремонта  – 2023 год</t>
  </si>
  <si>
    <t>Начало проведения капитального ремонта  – 2024 год</t>
  </si>
  <si>
    <t>Начало проведения капитального ремонта  – 2025 год</t>
  </si>
  <si>
    <t>пос. Эммаусс, д. 24</t>
  </si>
  <si>
    <t>пос. Эммаусс, д. 33</t>
  </si>
  <si>
    <t>с. Медное, ул. Тверская, д. 2</t>
  </si>
  <si>
    <t>пос. Труд, ул. Вокзальная, д. 1б</t>
  </si>
  <si>
    <t>пос. Великооктябрьский, ул. Цнинская, д. 6</t>
  </si>
  <si>
    <t>пос. Великооктябрьский,  
ул. Цнинская, д. 4</t>
  </si>
  <si>
    <t>пос. Великооктябрьский,  
ул. Советская, д. 4</t>
  </si>
  <si>
    <t>пос. Великооктябрьский, 
ул. Цнинская, д. 6</t>
  </si>
  <si>
    <t>пос. Спирово, ул. Речная, д. 4</t>
  </si>
  <si>
    <t>пос. Спирово, ул. Мира, д. 8</t>
  </si>
  <si>
    <t>с. Выдропужск, ул. Новая, д. 1</t>
  </si>
  <si>
    <t>пос. Спирово, 
ул. Речная, д. 4</t>
  </si>
  <si>
    <t>пос. Спирово, 
ул. Мира, д. 8</t>
  </si>
  <si>
    <t>с. Выдропужск, 
ул. Новая, д. 1</t>
  </si>
  <si>
    <t>пос. Спирово, ул. Фурманова, д. 2</t>
  </si>
  <si>
    <t>г. Осташков, пер. Льва Толстого, д. 1Б</t>
  </si>
  <si>
    <t>нп т/б Сокол, д. 20</t>
  </si>
  <si>
    <t>г. Осташков, нп Микрорайон, д. 18</t>
  </si>
  <si>
    <t>г. Осташков, пр-т Гвардейский, д. 1</t>
  </si>
  <si>
    <t>г. Осташков, ул. Кузнечная, д. 51</t>
  </si>
  <si>
    <t>г. Осташков, ул. Рябочкина, д. 38А</t>
  </si>
  <si>
    <t>г. Осташков, пер. Восточный, д. 1</t>
  </si>
  <si>
    <t>г. Осташков, пер. Адрианова, д. 10</t>
  </si>
  <si>
    <t>г. Осташков, ул. Тимофеевская, д. 56</t>
  </si>
  <si>
    <t>г. Осташков, ул. Рудинская, д. 2</t>
  </si>
  <si>
    <t>г. Осташков, ул. Володарского, д. 179А</t>
  </si>
  <si>
    <t>г. Осташков, ул. Островского, д. 20</t>
  </si>
  <si>
    <t>д. Жданово, Микрорайон, д. 2</t>
  </si>
  <si>
    <t>д. Хитино, д. 19</t>
  </si>
  <si>
    <t>г. Осташков, Микрорайон, д. 1</t>
  </si>
  <si>
    <t>г. Осташков, ул. Рабочий городок, д. 48</t>
  </si>
  <si>
    <t>д. Жданово, Микрорайон,                         д. 2</t>
  </si>
  <si>
    <t>г. Белый, пер. Ленинский, д. 1</t>
  </si>
  <si>
    <t>г. Белый, ул. Ленина, д. 44</t>
  </si>
  <si>
    <t>г. Белый, ул. Строителей, д. 1</t>
  </si>
  <si>
    <t>г. Белый, ул. Загородная, д. 7</t>
  </si>
  <si>
    <t>г. Белый, ул. Льнозаводская, д. 33</t>
  </si>
  <si>
    <t>г. Белый, пер. Ленинский, 
д. 1</t>
  </si>
  <si>
    <t>г. Белый, ул. Ленина,  д. 44</t>
  </si>
  <si>
    <t>г. Белый, ул. Льнозаводская, 
д. 33</t>
  </si>
  <si>
    <t>пгт Оленино, ул. Пионерская, д. 4</t>
  </si>
  <si>
    <t>пгт Оленино, ул. Пионерская, д. 5</t>
  </si>
  <si>
    <t>п. Мирный, ул. Строителей, д. 26</t>
  </si>
  <si>
    <t>432,9</t>
  </si>
  <si>
    <t>пгт Оленино, 
ул. Пионерская, д. 5</t>
  </si>
  <si>
    <t>г. Торжок, ул. Белинского, д. 7</t>
  </si>
  <si>
    <t>г. Торжок, ул. Степана Разина, д. 19</t>
  </si>
  <si>
    <t xml:space="preserve">г. Торжок, ш. Ленинградское, д. 44а </t>
  </si>
  <si>
    <t>г. Торжок, ул. Студенческая, д. 14а</t>
  </si>
  <si>
    <t>г. Торжок, ул. Энгельса, д. 12</t>
  </si>
  <si>
    <t>г. Торжок, ул. Старицкая, д. 17</t>
  </si>
  <si>
    <t>г. Торжок, ул. Красноармейская, д. 2</t>
  </si>
  <si>
    <t>г. Торжок, ул. Красноармейская, д. 3</t>
  </si>
  <si>
    <t>г. Торжок, ул. Бакунина, д. 8</t>
  </si>
  <si>
    <t>г. Торжок, Тверецкая наб., д. 80</t>
  </si>
  <si>
    <t>г. Торжок, ул. Луначарского, д. 14</t>
  </si>
  <si>
    <t>г. Торжок, ул. Падерина, д. 3</t>
  </si>
  <si>
    <t>г. Торжок, ул. Бакунина, д. 5</t>
  </si>
  <si>
    <t>г. Торжок, ул. Зеленый городок, д. 6</t>
  </si>
  <si>
    <t>г. Торжок, ш. Ленинградское, д. 44а</t>
  </si>
  <si>
    <t>г. Кимры, ул. Коммунистическая, д. 2/5</t>
  </si>
  <si>
    <t>г. Кимры, ул. Свободы, д. 4а</t>
  </si>
  <si>
    <t>г. Кимры, ул. Станционная, д. 1</t>
  </si>
  <si>
    <t>г. Кимры, ул. Троицкая, д. 9/11</t>
  </si>
  <si>
    <t>г. Кимры, ул. Березовая, д. 13</t>
  </si>
  <si>
    <t>г. Кимры, ул. Красноармейская, д. 9</t>
  </si>
  <si>
    <t>г. Кимры, ул. Комсомольская, д. 37</t>
  </si>
  <si>
    <t>г. Кимры, ул. Комсомольская, д. 39</t>
  </si>
  <si>
    <t>г. Кимры, ул. Кропоткина, д. 6</t>
  </si>
  <si>
    <t>с. Пушкино, д. 1</t>
  </si>
  <si>
    <t>с. Пушкино, д. 5</t>
  </si>
  <si>
    <t>д. Митенево, ул. Центральная, д. 21</t>
  </si>
  <si>
    <t>д. Митенево, ул. Центральная, д. 20</t>
  </si>
  <si>
    <t>д. Митенево, 
ул. Центральная, д. 21</t>
  </si>
  <si>
    <t>г. Торжок, ул. 1-я Авиационная, д. 7</t>
  </si>
  <si>
    <t>пос. Жарковский, ул. Труда,  д. 44</t>
  </si>
  <si>
    <t>пос. Жарковский, ул. Мира, д. 4</t>
  </si>
  <si>
    <t>пос. Жарковский, ул. Мира, д. 14 </t>
  </si>
  <si>
    <t>пос. Озерки, ул. Ленинская, д. 12</t>
  </si>
  <si>
    <t>пос. Озерки, ул. Локомотивная, д. 5</t>
  </si>
  <si>
    <t>пос. Озерки, Железнодорожный пр-д, д. 3</t>
  </si>
  <si>
    <t>пос. Изоплит, ул. Пионерская, д. 7</t>
  </si>
  <si>
    <t>г. Бежецк, ул. Рабочая, д. 5</t>
  </si>
  <si>
    <t>г. Бежецк, ул. М.И. Кузнецова, д. 24</t>
  </si>
  <si>
    <t>г. Бежецк, пер. Первомайский, д. 33/18</t>
  </si>
  <si>
    <t>г. Бежецк, п. Северный, д. 1</t>
  </si>
  <si>
    <t>г. Бежецк, пер. Советский, д. 9</t>
  </si>
  <si>
    <t>г. Бежецк, ул. Пионерская, д. 36</t>
  </si>
  <si>
    <t>г. Бежецк, ул. Льва Толстого, д. 5</t>
  </si>
  <si>
    <t>г. Бежецк, ул. Рабочая, д. 10/5</t>
  </si>
  <si>
    <t>г. Бежецк, наб. Рядового Николаева, д. 8</t>
  </si>
  <si>
    <t>г. Бежецк, проезд Восточный, д. 7</t>
  </si>
  <si>
    <t>г. Бежецк, ул. Энергетическая, д. 1</t>
  </si>
  <si>
    <t>г. Бежецк, ул. Нечаева, д. 16</t>
  </si>
  <si>
    <t>г. Бежецк, ул. Нечаева, д. 27а</t>
  </si>
  <si>
    <t>г. Бежецк, ул. Садовая, д. 23</t>
  </si>
  <si>
    <t>г. Бежецк, пер. Чернышевского, д. 44</t>
  </si>
  <si>
    <t xml:space="preserve">г. Калязин, ул. Коминтерна, д. 42           </t>
  </si>
  <si>
    <t xml:space="preserve">г. Калязин, ул. Центральная, д. 2а     </t>
  </si>
  <si>
    <t xml:space="preserve">г. Калязин, ул. Коминтерна, д. 61         </t>
  </si>
  <si>
    <t>г. Калязин, ул. Вагжанова, д. 2а</t>
  </si>
  <si>
    <t>г. Калязин, ул. Коминтерна, д. 32а</t>
  </si>
  <si>
    <t>г. Калязин, ул. Коминтерна, д. 30/12</t>
  </si>
  <si>
    <t xml:space="preserve">г. Калязин, ул. Шорина, д. 8а       </t>
  </si>
  <si>
    <t xml:space="preserve">г. Калязин, ул. Коминтерна, д. 27а           </t>
  </si>
  <si>
    <t xml:space="preserve">г. Калязин, ул. Лесная, д. 44            </t>
  </si>
  <si>
    <t xml:space="preserve">г. Калязин, ул. Пухальского, д. 1а                   </t>
  </si>
  <si>
    <t xml:space="preserve">г. Калязин, ул. Тверская, д. 17                </t>
  </si>
  <si>
    <t>г. Калязин, ул. Тверская, д. 15</t>
  </si>
  <si>
    <t xml:space="preserve">г. Калязин, ул. Тверская,                 д. 17                </t>
  </si>
  <si>
    <t>г. Калязин, ул. Тверская,                             д. 15</t>
  </si>
  <si>
    <t>с. Застолбье, ул. Школьная, д. 5</t>
  </si>
  <si>
    <t xml:space="preserve">с. Застолбье, ул. Школьная, д. 5 </t>
  </si>
  <si>
    <t>с. Застолбье, ул. Школьная,               д. 4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</si>
  <si>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</si>
  <si>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</si>
  <si>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</si>
  <si>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</si>
  <si>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2023</t>
  </si>
  <si>
    <t>г. Лихославль, ул. Вагжанова,  д. 10</t>
  </si>
  <si>
    <t>г. Лихославль, ул. Первомайская,  д. 3</t>
  </si>
  <si>
    <t>г. Лихославль, ул. Афанасьева, д. 4</t>
  </si>
  <si>
    <t>2024</t>
  </si>
  <si>
    <t>г. Лихославль, ул. Советская, д. 33 МПС</t>
  </si>
  <si>
    <t>пос. Калашниково, ул. Ленина, д. 15</t>
  </si>
  <si>
    <t>пос. Приозерный, ул. Ленинская, д. 3</t>
  </si>
  <si>
    <t>пос. Крючково, ул. Комсомольская, д. 21</t>
  </si>
  <si>
    <t>г. Лихославль, ул. Школьная, д. 5</t>
  </si>
  <si>
    <t>пос. Калашниково, ул. Ленина, д. 33/5</t>
  </si>
  <si>
    <t>пос. Калашниково, 
ул. Ленина, д. 43</t>
  </si>
  <si>
    <t>г. Лихославль, пос. Льнозавод, д. 10</t>
  </si>
  <si>
    <t>г. Лихославль, пос. Льнозавод, д. 26</t>
  </si>
  <si>
    <t>г. Лихославль, ул. Юбилейная, д. 2</t>
  </si>
  <si>
    <t>г. Лихославль, ул. Лихославльская, д. 16</t>
  </si>
  <si>
    <t>1586.7</t>
  </si>
  <si>
    <t>1067.3</t>
  </si>
  <si>
    <t xml:space="preserve"> г. Торопец, ул. Советская, д. 2</t>
  </si>
  <si>
    <t>г. Торопец, ул. Комсомольская, д. 40</t>
  </si>
  <si>
    <t>г. Торопец, ул. Советская, д. 130у</t>
  </si>
  <si>
    <t>г. Торопец, ул. Советская, д. 2</t>
  </si>
  <si>
    <t>г. Старица, ул. Коммунистическая,  д. 40а</t>
  </si>
  <si>
    <t>г. Старица, ул. Чернозерского,  д. 8</t>
  </si>
  <si>
    <t>г. Старица, ул. Чернозерского, д. 40</t>
  </si>
  <si>
    <t>г. Старица, ул. Адмирала Октябрьского, д. 7</t>
  </si>
  <si>
    <t>г. Старица, ул. Адмирала Октябрьского, д. 10</t>
  </si>
  <si>
    <t>г. Старица, ул. Пушкина, д. 8</t>
  </si>
  <si>
    <t>г. Старица, ул. Чернозерского, д. 10</t>
  </si>
  <si>
    <t>г. Старица, ул. Александра Завидова,  д. 17</t>
  </si>
  <si>
    <t>г. Кашин, наб. Пушкинская, д. 18/1</t>
  </si>
  <si>
    <t>г. Кашин, ул. Ленина, д. 20</t>
  </si>
  <si>
    <t>г. Кашин, ул. Московская, д. 25</t>
  </si>
  <si>
    <t>г. Кашин, ул. Песочная, д. 11/6</t>
  </si>
  <si>
    <t>г. Кашин, ул. Песочная, д. 14/8</t>
  </si>
  <si>
    <t>г. Кашин, ул. Сад Тургенева, д. 5/5</t>
  </si>
  <si>
    <t>г. Кашин, ул. Профинтерна, д. 5</t>
  </si>
  <si>
    <t>г. Кашин, ул. Михаила Калинина, д. 34</t>
  </si>
  <si>
    <t>г. Кашин, ул. Михаила Калинина, д. 24</t>
  </si>
  <si>
    <t>г. Кашин, наб. Южная, д. 27</t>
  </si>
  <si>
    <t>г. Кашин, ул. 25 Октября, д. 4б</t>
  </si>
  <si>
    <t>д. Верхняя Троица, ул. Мира, д. 5</t>
  </si>
  <si>
    <t>г. Кашин, ул. Советская, д. 15</t>
  </si>
  <si>
    <t>г. Кашин, ул. Республиканская, д. 13</t>
  </si>
  <si>
    <t>г. Кашин, ул. Ленина,  д. 3</t>
  </si>
  <si>
    <t>г. Кашин, ул. Московская, д. 12</t>
  </si>
  <si>
    <t>г. Андреаполь, пл. Гвардейская, д. 1</t>
  </si>
  <si>
    <t>г. Андреаполь, ул. Кленовая, д. 36</t>
  </si>
  <si>
    <t>г. Андреаполь, ул. М. Складская, д. 6</t>
  </si>
  <si>
    <t>г. Андреаполь, ул. М. Складская, д. 8</t>
  </si>
  <si>
    <t>г. Андреаполь, 
пл. Гвардейская, д. 1</t>
  </si>
  <si>
    <t>г. Андреаполь, 
ул. Кленовая, д. 36</t>
  </si>
  <si>
    <t>г. Андреаполь, 
ул. М. Складская, д. 6</t>
  </si>
  <si>
    <t>г. Андреаполь, 
ул. М. Складская, д. 8</t>
  </si>
  <si>
    <t>1991</t>
  </si>
  <si>
    <t>г. Кувшиново, ул. Бумажников, д. 4</t>
  </si>
  <si>
    <t>г. Кувшиново, ул. Экономическая, д. 11</t>
  </si>
  <si>
    <t>г. Кувшиново, пер. Маяковского, д. 7</t>
  </si>
  <si>
    <t>г. Кувшиново, пер. Маяковского, д. 8</t>
  </si>
  <si>
    <t>г. Кувшиново, пер. Маяковского, д. 5</t>
  </si>
  <si>
    <t>г. Кувшиново, ул. Маяковского, д. 22</t>
  </si>
  <si>
    <t>г. Кувшиново, ул. Советская, д. 3</t>
  </si>
  <si>
    <t>г. Кувшиново, ул. Бумажников, д. 10</t>
  </si>
  <si>
    <t>пгт Васильевский Мох, ул. Больничная, д. 6</t>
  </si>
  <si>
    <t>пгт Васильевский Мох, ул. Смирнова, д. 1</t>
  </si>
  <si>
    <t>г. Красный Холм, пер. Свободы Малый, д. 15</t>
  </si>
  <si>
    <t>г. Красный Холм, ул. Базарная, д. 65</t>
  </si>
  <si>
    <t>1965</t>
  </si>
  <si>
    <t>1964</t>
  </si>
  <si>
    <t>1972</t>
  </si>
  <si>
    <t>г. Красный Холм, 
пер. Свободы Малый,                         д. 15</t>
  </si>
  <si>
    <t>г. Зубцов, ул. Электроподстанции, д. 1</t>
  </si>
  <si>
    <t>пгт Озерный, ул. Комсомольская, д. 1</t>
  </si>
  <si>
    <t>пгт Озерный, ул. Комсомольская, д. 2</t>
  </si>
  <si>
    <t>пгт Озерный, ул. Труда, д. 5</t>
  </si>
  <si>
    <t>пгт Озерный, ул. Загородная, д. 2</t>
  </si>
  <si>
    <t>пгт Озерный, ул. Советская, д. 3</t>
  </si>
  <si>
    <t>пгт Озерный, ул. Московская, д. 8</t>
  </si>
  <si>
    <t>пгт Озерный, ул. Московская, д. 1</t>
  </si>
  <si>
    <t>пгт Озерный, ул. Советская, д. 4</t>
  </si>
  <si>
    <t>пгт Озерный, ул. Московская, д. 17</t>
  </si>
  <si>
    <t>пгт Озерный, ул. Ленинградская, д. 16</t>
  </si>
  <si>
    <t>пгт Озерный, ул. Труда, д. 3</t>
  </si>
  <si>
    <t>пгт Озерный, ул. Московская, д. 15</t>
  </si>
  <si>
    <t xml:space="preserve">пгт Озерный, ул. Гвардейская, д. 5 </t>
  </si>
  <si>
    <t>пгт Озерный, ул. Труда, д. 4</t>
  </si>
  <si>
    <t>пгт Озерный, ул. Строителей, д. 1</t>
  </si>
  <si>
    <t>пгт Озерный, ул. Киевская, д. 5а</t>
  </si>
  <si>
    <t>пгт Озерный, пер. Садовый, д. 3</t>
  </si>
  <si>
    <t>пгт Озерный, ул. Московская, д. 2</t>
  </si>
  <si>
    <t>пгт Озерный, ул. Московская, д. 4</t>
  </si>
  <si>
    <t>пгт Озерный, пер. Садовый, д. 4</t>
  </si>
  <si>
    <t>п. Белый Городок, ул. Школьная, д. 16</t>
  </si>
  <si>
    <t>п. Белый Городок, ул. Заводская, д. 2</t>
  </si>
  <si>
    <t>п. Белый Городок, ул. Заводская, д. 5</t>
  </si>
  <si>
    <t>п. Белый Городок, ул. Лесная, д. 6</t>
  </si>
  <si>
    <t>п. Белый Городок, ул. Лесная, д. 9</t>
  </si>
  <si>
    <t>п. Белый Городок, ул. Главная, д. 20</t>
  </si>
  <si>
    <t>п. Молоково, ул. Народная, д. 4</t>
  </si>
  <si>
    <t>г. Весьегонск, пер. Строителей, д. 3</t>
  </si>
  <si>
    <t>г. Весьегонск, ул. Кирова, д. 86</t>
  </si>
  <si>
    <t>г. Весьегонск, 
ул. Павлика Морозова, д. 28</t>
  </si>
  <si>
    <t>г. Весьегонск, 
ул. Кирова, д. 86</t>
  </si>
  <si>
    <t>г. Весьегонск, 
ул. Коммунистическая, д. 12</t>
  </si>
  <si>
    <t>пгт Радченко, д. 13</t>
  </si>
  <si>
    <t>пгт Радченко, д. 37</t>
  </si>
  <si>
    <t>пгт Старая Торопа, ул. Комсомольская, д. 13</t>
  </si>
  <si>
    <t>г. Западная Двина, ул. Калинина, д. 8</t>
  </si>
  <si>
    <t>г. Западная Двина, ул. Фадеева, д. 30</t>
  </si>
  <si>
    <t>г. Западная Двина, 
ул. Мира, д. 35а</t>
  </si>
  <si>
    <t>г. Западная Двина, 
ул. Калинина, д. 8</t>
  </si>
  <si>
    <t>г. Западная Двина, 
ул. Фадеева, д. 30</t>
  </si>
  <si>
    <t>г. Бологое, ул. Гагарина, д. 6</t>
  </si>
  <si>
    <t>г. Бологое, ул. Кирова, д. 53</t>
  </si>
  <si>
    <t>г. Бологое, ул. Дружбы, д. 2</t>
  </si>
  <si>
    <t>г. Бологое, ул. Горская, д. 98</t>
  </si>
  <si>
    <t>г. Бологое, ул. Кирова, д. 3</t>
  </si>
  <si>
    <t>г. Бологое, мкр-н Заводской, д. 10</t>
  </si>
  <si>
    <t>г. Бологое, ул. Октябрьская, д. 7</t>
  </si>
  <si>
    <t>г. Бологое, ул. Луначарского, д. 5</t>
  </si>
  <si>
    <t>г. Бологое, ул. Дзержинского, д. 2</t>
  </si>
  <si>
    <t>г. Бологое, ул. Кирова, д. 1</t>
  </si>
  <si>
    <t>г. Бологое, ул. Мира, д. 195</t>
  </si>
  <si>
    <t>г. Бологое, ул. Луначарского, д. 35</t>
  </si>
  <si>
    <t>г. Бологое, мкр. Заводской, д. 10</t>
  </si>
  <si>
    <t>г. Бологое, ул. Ленина, д. 8</t>
  </si>
  <si>
    <t>г. Бологое, ул. Гагарина, д. 8</t>
  </si>
  <si>
    <t>г. Бологое, ул. Дачная, д. 12а</t>
  </si>
  <si>
    <t>г. Бологое, ул. Ленинская, д. 4а</t>
  </si>
  <si>
    <t>г. Бологое, ул. Кирова, д. 20</t>
  </si>
  <si>
    <t>г. Бологое, ул. Дачная, д. 19</t>
  </si>
  <si>
    <t>г. Бологое, мкр. Заводской, д. 15</t>
  </si>
  <si>
    <t>г. Бологое, ул. Луначарского, д. 33а</t>
  </si>
  <si>
    <t>г. Бологое, ул. Совхозная, д. 29</t>
  </si>
  <si>
    <t>г. Бологое, ул. Студенческая, д. 9</t>
  </si>
  <si>
    <t>г. Бологое, ул. Октябрьская, д. 15</t>
  </si>
  <si>
    <t>г. Бологое, ул. Северная, д. 15</t>
  </si>
  <si>
    <t>г. Бологое, ул. Луначарского, д. 43</t>
  </si>
  <si>
    <t>г. Конаково, пр-т Ленина, д. 11</t>
  </si>
  <si>
    <t>г. Конаково, пр-т Ленина, д. 12</t>
  </si>
  <si>
    <t>г. Конаково, ул. Васильковского, д. 5</t>
  </si>
  <si>
    <t>г. Конаково, ул. Энергетиков, д. 17</t>
  </si>
  <si>
    <t>г. Конаково, ул. Горького, д. 3</t>
  </si>
  <si>
    <t>г. Конаково, ул. Энергетиков, д. 28</t>
  </si>
  <si>
    <t>г. Конаково, пр-т Ленина, д. 2</t>
  </si>
  <si>
    <t>г. Конаково, ул. Гагарина, д. 7</t>
  </si>
  <si>
    <t>г. Конаково, ул. Новая, д. 2</t>
  </si>
  <si>
    <t>г. Конаково, ул. Баскакова, д. 33</t>
  </si>
  <si>
    <t>г. Конаково, ул. Революции, д. 2</t>
  </si>
  <si>
    <t>г. Конаково, пр-т Ленина, д. 4</t>
  </si>
  <si>
    <t>г. Конаково, проезд Торговый, д. 1</t>
  </si>
  <si>
    <t>г. Конаково, ул. Энергетиков, д. 34</t>
  </si>
  <si>
    <t>г. Конаково, пр-т Ленина, д. 32</t>
  </si>
  <si>
    <t>г. Конаково, ул. Гагарина, д. 32</t>
  </si>
  <si>
    <t>г. Конаково, ул. Энергетиков, д. 28а</t>
  </si>
  <si>
    <t>г. Конаково, ул. Строителей, д. 20</t>
  </si>
  <si>
    <t xml:space="preserve">г. Конаково, пр-т Ленина,  д. 8 </t>
  </si>
  <si>
    <t>г. Конаково, ул. Декабристов, д. 22</t>
  </si>
  <si>
    <t>г. Конаково, ул. Гагарина, д. 16</t>
  </si>
  <si>
    <t>г. Конаково, ул. Гагарина, д. 29</t>
  </si>
  <si>
    <t>г. Конаково, ул. Гагарина, д. 8</t>
  </si>
  <si>
    <t>г. Конаково, ул. Декабристов, д. 21</t>
  </si>
  <si>
    <t>г. Конаково, ул. Коллективная, д. 39</t>
  </si>
  <si>
    <t>г. Конаково, ул. Строителей, д. 6</t>
  </si>
  <si>
    <t>г. Конаково, ул. Энергетиков, д. 5</t>
  </si>
  <si>
    <t>г. Конаково, ул. Учебная, д. 13</t>
  </si>
  <si>
    <t>г. Конаково, ул. Горького,               д. 3</t>
  </si>
  <si>
    <t>г. Конаково, ул. Горького,              д. 3а</t>
  </si>
  <si>
    <t>г. Конаково, пр-т Ленина,                                д. 32</t>
  </si>
  <si>
    <t>г. Конаково, ул. Гагарина,                                     д. 32</t>
  </si>
  <si>
    <t xml:space="preserve">г. Конаково, пр-т Ленина,                          д. 8 </t>
  </si>
  <si>
    <t>г. Конаково, ул. Гагарина,                           д. 16</t>
  </si>
  <si>
    <t>г. Конаково, ул. Гагарина,                               д. 29</t>
  </si>
  <si>
    <t>г. Конаково, ул. Гагарина,                           д. 8</t>
  </si>
  <si>
    <t>г. Конаково, ул. Учебная,                               д. 13</t>
  </si>
  <si>
    <t>с. Красная Гора, ул. Центральная, д. 14</t>
  </si>
  <si>
    <t>с. Красная Гора, 
ул. Центральная, д. 14</t>
  </si>
  <si>
    <t>г. Удомля, пр-т Энергетиков, д. 6а</t>
  </si>
  <si>
    <t>г. Удомля, ул. Вышневолоцкое шоссе, д. 6</t>
  </si>
  <si>
    <t>г. Удомля, ул. Энтузиастов, д. 4а</t>
  </si>
  <si>
    <t>г. Удомля, ул. Энтузиастов, д. 10а</t>
  </si>
  <si>
    <t>г. Удомля, ул. Вышневолоцкое шоссе, д. 5</t>
  </si>
  <si>
    <t>г. Удомля, ул. Курчатова, д. 8</t>
  </si>
  <si>
    <t>г. Удомля, ул. Октябрьская, д. 23а</t>
  </si>
  <si>
    <t>г. Удомля, ул. Карла Маркса, д. 23а</t>
  </si>
  <si>
    <t>г. Удомля, ул. Карла Маркса, д. 27</t>
  </si>
  <si>
    <t>г. Удомля, ул. Космонавтов, д. 7</t>
  </si>
  <si>
    <t>г. Удомля, пр-т Энергетиков, д. 10</t>
  </si>
  <si>
    <t>г. Удомля, ул. Курчатова,                      д. 8</t>
  </si>
  <si>
    <t>пос. Селижарово, ул. Новая, д. 11</t>
  </si>
  <si>
    <t>пос. Селижарово, ул. Энгельса, д. 82</t>
  </si>
  <si>
    <t>пос. Селижарово, ул. Комсомольская, д. 32</t>
  </si>
  <si>
    <t>пос. Селижарово, 
ул. Новая, д. 11</t>
  </si>
  <si>
    <t xml:space="preserve">пос. Селижарово, 
ул. Энгельса, д. 82 </t>
  </si>
  <si>
    <t>пос. Селижарово, 
ул. Комсомольская, д. 32</t>
  </si>
  <si>
    <t>пос. Селижарово, 
ул. Гагарина, д. 2</t>
  </si>
  <si>
    <t>пос. Заволжский, д. 25</t>
  </si>
  <si>
    <t>пос. Заволжский, д. 2</t>
  </si>
  <si>
    <t>п. Заволжский, д. 2</t>
  </si>
  <si>
    <t>Кесовогорский муниципальный округ</t>
  </si>
  <si>
    <t>пгт Козлово, ул. Прядильщиков, д. 6а</t>
  </si>
  <si>
    <t>пгт Козлово, ул. Прядильщиков, д. 4</t>
  </si>
  <si>
    <t>пгт Козлово, ул. Октябрьская, д. 45</t>
  </si>
  <si>
    <t>с. Дмитрова Гора, ул. Центральная, д. 3</t>
  </si>
  <si>
    <t>с. Дмитрова Гора, ул. Центральная, 
д. 3</t>
  </si>
  <si>
    <t>2025</t>
  </si>
  <si>
    <t>5, 4, 2</t>
  </si>
  <si>
    <t>4, 5</t>
  </si>
  <si>
    <t>5, 9</t>
  </si>
  <si>
    <t>г. Вышний Волочек, ул. Ванчакова линия, д. 33</t>
  </si>
  <si>
    <t>г. Вышний Волочек, ул. Бейшлотская набережная, д. 131</t>
  </si>
  <si>
    <t>г. Вышний Волочек, ул. Ванчакова линия, д. 39-41</t>
  </si>
  <si>
    <t>г. Вышний Волочек, ул. Красный Городок, д. 407</t>
  </si>
  <si>
    <t>г. Вышний Волочек, ул. Екатерининская, д. 7/9</t>
  </si>
  <si>
    <t>с. Есеновичи, ул. Площадь Правды, д. 21</t>
  </si>
  <si>
    <t>п. Пригородный, ул. Мелиораторов, д. 9</t>
  </si>
  <si>
    <t>г. Вышний Волочек, ул. Красноармейская, д. 1</t>
  </si>
  <si>
    <t>г. Вышний Волочек, ул. Бейшлотская набережная, д. 131А</t>
  </si>
  <si>
    <t>г. Вышний Волочек, ул. Красных Печатников, д. 55</t>
  </si>
  <si>
    <t>г. Вышний Волочек, ул. Правды, д. 29</t>
  </si>
  <si>
    <t>п. Есеновичи, ул. Первомайская, д. 1а</t>
  </si>
  <si>
    <t>пгт Красномайский, ул. Ленинградская, д. 1</t>
  </si>
  <si>
    <t xml:space="preserve">п. Пригородный, ул. Ленинградская, д. 8 </t>
  </si>
  <si>
    <t>п. Терелесовский, ул. Рабочая, д. 5/2</t>
  </si>
  <si>
    <t>г. Вышний Волочек, ул. Егорова, д. 10</t>
  </si>
  <si>
    <t>г. Вышний Волочек, ул. Крылова, д. 1/2</t>
  </si>
  <si>
    <t>г. Вышний Волочек, ул. Правды, д. 41</t>
  </si>
  <si>
    <t>г. Вышний Волочек, ул. Максима Горького, д. 10</t>
  </si>
  <si>
    <t>г. Вышний Волочек, ул. Красный городок, д. 260</t>
  </si>
  <si>
    <t>г. Вышний Волочек, ул. Быкова гора, д. 1</t>
  </si>
  <si>
    <t>г. Вышний Волочек, ул. Большая Садовая, д. 69</t>
  </si>
  <si>
    <t>г. Вышний Волочек, Казанский пр-т, д. 86</t>
  </si>
  <si>
    <t>г. Вышний Волочек, ул. Большая Садовая, д. 80</t>
  </si>
  <si>
    <t>г. Вышний Волочек, ул. Екатерининская, д. 39</t>
  </si>
  <si>
    <t>г. Вышний Волочек, ул. Красноармейская, д. 11</t>
  </si>
  <si>
    <t>г. Вышний Волочек, пр-т. Казанский, д. 106/112</t>
  </si>
  <si>
    <t>г. Вышний Волочек, Ванчакова линия, д. 5</t>
  </si>
  <si>
    <t>г. Вышний Волочек, ул. Екатерининская, д. 4-6</t>
  </si>
  <si>
    <t>г. Вышний Волочек, ул. Б. Зайцева, д. 15а</t>
  </si>
  <si>
    <t>г. Вышний Волочек, ул. Большая Садовая, д. 82</t>
  </si>
  <si>
    <t>г. Вышний Волочек, ул. 4-я Пролетарская, д. 98/2</t>
  </si>
  <si>
    <t>г. Тверь, ул. Зинаиды Коноплянниковой, д. 8</t>
  </si>
  <si>
    <t>г. Тверь, пос. Химинститута, д. 46</t>
  </si>
  <si>
    <t>г. Тверь, пер. Свободный, д. 1Г</t>
  </si>
  <si>
    <t>г. Тверь, ул. Громова, д. 14</t>
  </si>
  <si>
    <t>г. Тверь, наб. Степана Разина, д. 8</t>
  </si>
  <si>
    <t>г. Тверь, ул. Маяковского, д. 36/94</t>
  </si>
  <si>
    <t>г. Тверь, наб. реки Лазури, д. 14</t>
  </si>
  <si>
    <t>г. Тверь, наб. Афанасия Никитина, д. 82/2</t>
  </si>
  <si>
    <t>г. Тверь, ул. Мусоргского, д. 36А</t>
  </si>
  <si>
    <t>г. Тверь, 1-ый переулок (поселок Элеватор), д. 1</t>
  </si>
  <si>
    <t>г. Тверь, ул. Фрунзе, д. 6</t>
  </si>
  <si>
    <t>г. Тверь, ул. Резинстроя, д. 2/7</t>
  </si>
  <si>
    <t>г. Тверь, ул. Орджоникидзе, д. 12/1</t>
  </si>
  <si>
    <t>г. Тверь, наб. реки Лазури, д. 12</t>
  </si>
  <si>
    <t>г. Тверь, ул. Лукина, д. 6</t>
  </si>
  <si>
    <t>г. Тверь, наб. реки Лазури, д. 6/1</t>
  </si>
  <si>
    <t>г. Тверь, пр-т Победы, д. 22/15</t>
  </si>
  <si>
    <t>г. Тверь, пр-т Волоколамский, д. 9</t>
  </si>
  <si>
    <t>г. Тверь, пос. 2-е Городское торфопредприятие, д. 10</t>
  </si>
  <si>
    <t>г. Тверь, ул. Горького,  д.  88А</t>
  </si>
  <si>
    <t>г. Тверь, пр-т Победы, д. 42</t>
  </si>
  <si>
    <t>г. Тверь, пр-т Победы, д. 42А</t>
  </si>
  <si>
    <t>г. Тверь, ул. Крылова, д. 29/40</t>
  </si>
  <si>
    <t>г. Тверь, ул. Маршала Буденного, д. 19/1</t>
  </si>
  <si>
    <t>г. Тверь, ул. 15 лет Октября, д. 64/23</t>
  </si>
  <si>
    <t>г. Тверь, ул. Ротмистрова, д. 20</t>
  </si>
  <si>
    <t>г. Тверь, бульвар Радищева, д. 26</t>
  </si>
  <si>
    <t>г. Тверь, ул. Академика Туполева, д. 112/24</t>
  </si>
  <si>
    <t>г. Тверь, ул. Паши Савельевой, д. 7</t>
  </si>
  <si>
    <t>г. Тверь, ул. Орджоникидзе, д. 8</t>
  </si>
  <si>
    <t>г. Тверь, ул. Гвардейская, д. 5</t>
  </si>
  <si>
    <t>г. Тверь, пр-т Победы, д. 36/46</t>
  </si>
  <si>
    <t>г. Тверь, ул. Маршала Василевского, д. 20</t>
  </si>
  <si>
    <t>г. Тверь, пр-т Ленина, д. 43</t>
  </si>
  <si>
    <t>г. Тверь, ул. Мичурина, д. 37/23</t>
  </si>
  <si>
    <t>г. Тверь, ул. Горького, д. 10</t>
  </si>
  <si>
    <t>г. Тверь, ул. Королева, д. 4</t>
  </si>
  <si>
    <t>г. Тверь, Петербургское шоссе, д. 7А</t>
  </si>
  <si>
    <t>г. Тверь, пр-т Калинина, д. 9</t>
  </si>
  <si>
    <t>г. Тверь, пр-т Ленина, д. 40</t>
  </si>
  <si>
    <t>г. Тверь, ул. Советская,  д. 24</t>
  </si>
  <si>
    <t>г. Тверь, ул. Спартака, д. 4/2</t>
  </si>
  <si>
    <t>г. Тверь, ул. Благоева, д. 6А</t>
  </si>
  <si>
    <t>г. Тверь, пр-т Чайковского, д. 24/2Б</t>
  </si>
  <si>
    <t>г. Тверь, пр-т Николая Корыткова, д. 44 А</t>
  </si>
  <si>
    <t>г. Тверь, ул. Громова, д. 44</t>
  </si>
  <si>
    <t>г. Тверь, ул. Инициативная, д. 10/11</t>
  </si>
  <si>
    <t>г. Тверь, ул. Маршала Захарова, д. 12</t>
  </si>
  <si>
    <t>г. Тверь, ул. Маршала Захарова, д. 16/17</t>
  </si>
  <si>
    <t>г. Тверь, пр-т Октябрьский, д. 87, корп. 1</t>
  </si>
  <si>
    <t>г. Тверь, шоссе Петербургское, д. 53</t>
  </si>
  <si>
    <t>г. Тверь, переулок Студенческий, д. 30А</t>
  </si>
  <si>
    <t>г. Тверь, ул. Ткача, д. 2</t>
  </si>
  <si>
    <t>г. Тверь, ул. Екатерины Фарафоновой, д. 45</t>
  </si>
  <si>
    <t>г. Тверь, пр-т Чайковского, д. 4</t>
  </si>
  <si>
    <t>г. Тверь, ул. Орджоникидзе, д. 11</t>
  </si>
  <si>
    <t>г. Тверь, бульвар Гусева, д. 47, корп. 1</t>
  </si>
  <si>
    <t>г. Тверь, бульвар Гусева, д. 47, корп. 3</t>
  </si>
  <si>
    <t>г. Тверь, бульвар Профсоюзов, д. 18, корп. 2</t>
  </si>
  <si>
    <t>г. Тверь, набережная Степана Разина, д. 16</t>
  </si>
  <si>
    <t>г. Тверь, набережная Степана Разина, д. 19</t>
  </si>
  <si>
    <t>г. Тверь, переулок Садовый, д. 37/15</t>
  </si>
  <si>
    <t>г. Тверь, переулок Спортивный, д. 2, корп. 4</t>
  </si>
  <si>
    <t>г. Тверь, переулок Университетский, д. 3</t>
  </si>
  <si>
    <t>г. Тверь, проезд Ремесленный, д. 10а</t>
  </si>
  <si>
    <t>г. Тверь, пр-т Ленина, д. 23/1</t>
  </si>
  <si>
    <t>г. Тверь, пр-т Октябрьский, д. 95, корп. 4</t>
  </si>
  <si>
    <t>г. Тверь, пр-т Победы, д. 48/29</t>
  </si>
  <si>
    <t>г. Тверь, пр-т Тверской, д. 9</t>
  </si>
  <si>
    <t>г. Тверь, ул. Бобкова, д. 24</t>
  </si>
  <si>
    <t>г. Тверь, ул. Громова, д. 48, корп. 1</t>
  </si>
  <si>
    <t>г. Тверь, ул. Громова, д. 9</t>
  </si>
  <si>
    <t>г. Тверь, ул. Евгения Пичугина, д. 56</t>
  </si>
  <si>
    <t>г. Тверь, ул. Карпинского, д. 12/32</t>
  </si>
  <si>
    <t>г. Тверь, ул. Пушкинская, д. 9</t>
  </si>
  <si>
    <t>г. Тверь, ул. Ржевская, д. 12А</t>
  </si>
  <si>
    <t>г. Тверь, ул. Салтыкова-Щедрина, д. 44</t>
  </si>
  <si>
    <t>г. Тверь, ул. Советская, д. 18</t>
  </si>
  <si>
    <t>г. Тверь, ул. Советская, д. 64</t>
  </si>
  <si>
    <t>г. Тверь, ул. Стахановская, д. 31</t>
  </si>
  <si>
    <t>г. Тверь, ул. Строителей, д. 11/16</t>
  </si>
  <si>
    <t>г. Тверь, ул. Тамары Ильиной, д. 35</t>
  </si>
  <si>
    <t>г. Тверь, ул. Фадеева, д. 38, корп. 2</t>
  </si>
  <si>
    <t>г. Тверь, шоссе Петербургское, д. 19</t>
  </si>
  <si>
    <t>г. Тверь, шоссе Петербургское, д. 43</t>
  </si>
  <si>
    <t>г. Тверь, ул. Можайского, д.  61в</t>
  </si>
  <si>
    <t>г. Тверь, ул. Советская, д.  24</t>
  </si>
  <si>
    <t>г. Тверь, ул. Ткача, д.  2</t>
  </si>
  <si>
    <t>г. Тверь, ул. Новоторжская, д.  14</t>
  </si>
  <si>
    <t>г. Тверь, ул. Пушкинская, д.  2а</t>
  </si>
  <si>
    <t>г. Тверь, ул. Железнодорожников, д.  35, корп. 1</t>
  </si>
  <si>
    <t>г. Тверь, ул. Железнодорожников, д. 35, корп. 2</t>
  </si>
  <si>
    <t>г. Тверь, шоссе Петербургское, д. 7а</t>
  </si>
  <si>
    <t>г. Тверь, бульвар Цанова, д.  21</t>
  </si>
  <si>
    <t>г. Тверь, пр-т Чайковского, д.  7</t>
  </si>
  <si>
    <t>г. Тверь, пр-т Ленина, д. 8</t>
  </si>
  <si>
    <t>г. Тверь, ул. Трехсвятская, д.  12</t>
  </si>
  <si>
    <t>г. Тверь, переулок Трудолюбия, д.  37</t>
  </si>
  <si>
    <t>г. Тверь, ул. Зинаиды Коноплянниковой, д. 13</t>
  </si>
  <si>
    <t>г. Тверь, ул. Вагжанова, д.  16</t>
  </si>
  <si>
    <t>г. Тверь, ул. Зинаиды Коноплянниковой, д. 15</t>
  </si>
  <si>
    <t>г. Тверь, шоссе Петербургское, д.  19</t>
  </si>
  <si>
    <t>г. Тверь, пр-т Ленина, д. 28</t>
  </si>
  <si>
    <t>г. Тверь, переулок Свободный, д. 1г</t>
  </si>
  <si>
    <t>г. Тверь, ул. Вольного Новгорода, д. 23</t>
  </si>
  <si>
    <t>г. Тверь, ул. Кирова, д. 5а</t>
  </si>
  <si>
    <t>г. Тверь, ул. Склизкова, д. 35</t>
  </si>
  <si>
    <t>г. Тверь, пос.  Литвинки, д. 23</t>
  </si>
  <si>
    <t>г. Тверь, ул. Инициативная, д. 9/9</t>
  </si>
  <si>
    <t>г. Тверь, ул. Железнодорожников, д. 28</t>
  </si>
  <si>
    <t>г. Тверь, ул. Лизы Чайкиной, д. 25/2б</t>
  </si>
  <si>
    <t>г. Тверь, ул. Дарвина, д. 2</t>
  </si>
  <si>
    <t>г. Тверь, переулок Партизанский, д.  22/8</t>
  </si>
  <si>
    <t>г. Тверь, ул. 15 лет Октября, д. 47</t>
  </si>
  <si>
    <t>г. Тверь, ул. Ржевская, д. 11</t>
  </si>
  <si>
    <t>г. Тверь, ул. Вокзальная, д. 5</t>
  </si>
  <si>
    <t>г. Тверь, ул. Терещенко, д. 36</t>
  </si>
  <si>
    <t>г. Тверь, ул. Ипподромная, д. 19</t>
  </si>
  <si>
    <t>г. Тверь, ул. Коробкова, д. 13</t>
  </si>
  <si>
    <t>г. Тверь, ул. Седова, д. 120а</t>
  </si>
  <si>
    <t>г. Тверь, бульвар Ногина, д. 2</t>
  </si>
  <si>
    <t>г. Тверь, ул. Восстания, д. 11/34</t>
  </si>
  <si>
    <t>г. Тверь, ул. Орджоникидзе, д. 2/1</t>
  </si>
  <si>
    <t>г. Тверь, ул. Горького, д. 15</t>
  </si>
  <si>
    <t>г. Тверь, пр-т Ленина, д. 36</t>
  </si>
  <si>
    <t>г. Тверь, ул. Горького, д. 184</t>
  </si>
  <si>
    <t>г. Тверь, ул. Карла Маркса, д. 9</t>
  </si>
  <si>
    <t>г. Тверь, ул. Хромова, д. 22</t>
  </si>
  <si>
    <t>г. Тверь, ул. Зинаиды Коноплянниковой, д. 24</t>
  </si>
  <si>
    <t>г. Тверь, бульвар Шмидта, д. 38</t>
  </si>
  <si>
    <t>г. Тверь, ул. Красина, д. 53</t>
  </si>
  <si>
    <t>г. Тверь, ул. Благоева, д. 6а</t>
  </si>
  <si>
    <t>г. Тверь, шоссе Петербургское, д. 118</t>
  </si>
  <si>
    <t>г. Тверь, переулок Садовый, д. 20</t>
  </si>
  <si>
    <t>г. Тверь, ул. 15 лет Октября, д. 3/22</t>
  </si>
  <si>
    <t>г. Тверь, ул. Орджоникидзе, д. 44</t>
  </si>
  <si>
    <t>г. Тверь, ул. Терещенко, д. 26</t>
  </si>
  <si>
    <t>г. Тверь, ул. Гвардейская, д. 16</t>
  </si>
  <si>
    <t>г. Тверь, проезд Ремесленный, д. 8а</t>
  </si>
  <si>
    <t>г. Тверь, ул. 15 лет Октября, д. 48/15</t>
  </si>
  <si>
    <t>г. Тверь, ул. 15 лет Октября, д. 8</t>
  </si>
  <si>
    <t>г. Тверь, проезд Боровой, д. 10</t>
  </si>
  <si>
    <t>г. Тверь, переулок Садовый, д. 22</t>
  </si>
  <si>
    <t>г. Тверь, ул. Лукина, д. 10</t>
  </si>
  <si>
    <t>г. Тверь, ул. Бочкина, д. 22</t>
  </si>
  <si>
    <t>г. Тверь, набережная Степана Разина, д. 2</t>
  </si>
  <si>
    <t>пгт Орша, ул. Юбилейная, д. 6</t>
  </si>
  <si>
    <t>пгт Орша, ул. Юбилейная, д. 3</t>
  </si>
  <si>
    <t>пгт Орша, ул. Юбилейная, д. 1/2</t>
  </si>
  <si>
    <t>пгт Орша, ул. Юбилейная, д. 6а</t>
  </si>
  <si>
    <t>г. Ржев, ул. Октябрьская, д. 8а</t>
  </si>
  <si>
    <t>г. Ржев, ул. Большая Спасская, д. 8/27</t>
  </si>
  <si>
    <t>г. Ржев, Торопецкий тракт, д. 2а/21</t>
  </si>
  <si>
    <t>г. Ржев, ул. Краностроителей, д. 1</t>
  </si>
  <si>
    <t xml:space="preserve"> г. Ржев, ул. Садовая, д. 17/11</t>
  </si>
  <si>
    <t>г. Ржев, пл. Советская, д. 11</t>
  </si>
  <si>
    <t>г. Ржев, пл. Советская, д. 2/1</t>
  </si>
  <si>
    <t>г. Ржев,  ул. Рижская, д. 4</t>
  </si>
  <si>
    <t>г. Нелидово, ул. Нахимова, д. 9/12</t>
  </si>
  <si>
    <t>г. Нелидово, ул. Шменкеля, д. 15</t>
  </si>
  <si>
    <t>г. Нелидово, ул. Шменкеля, д. 20</t>
  </si>
  <si>
    <t>г. Нелидово, 
ул. Нахимова, д. 9/12</t>
  </si>
  <si>
    <t>г. Нелидово, 
ул. Шменкеля, д. 15</t>
  </si>
  <si>
    <t>г. Нелидово, 
ул. Шменкеля, д. 20</t>
  </si>
  <si>
    <t xml:space="preserve">Краснохолмский муниципальный округ </t>
  </si>
  <si>
    <t>с. Городня, ул. Садовая, д. 3</t>
  </si>
  <si>
    <t>с. Городня, ул. Ленинградская, д. 187</t>
  </si>
  <si>
    <t>с. Городня, ул. Советская, д. 5</t>
  </si>
  <si>
    <t>д. Никулино, ул. Юбилейная, д. 2</t>
  </si>
  <si>
    <t>с. Никольское, д. 3</t>
  </si>
  <si>
    <t>Сандовский муниципальный округ</t>
  </si>
  <si>
    <t>п. Сандово, ул. Лесная, д. 3</t>
  </si>
  <si>
    <t>п. Сандово, ул. Советская, д. 20</t>
  </si>
  <si>
    <t>п. Сандово, ул. Пионерская, д. 18</t>
  </si>
  <si>
    <t>п. Сандово, ул. Октябрьская, д. 11</t>
  </si>
  <si>
    <t>пос. Выползово, ул. Березовая роща, д. 10</t>
  </si>
  <si>
    <t>пос. Выползово, 
ул. Березовая роща, д. 10</t>
  </si>
  <si>
    <t>ж/д ст. Чуприяновка, ул. Рабочая, д. 3</t>
  </si>
  <si>
    <t>д. Мокшино, ул. Ленинградская, д. 8</t>
  </si>
  <si>
    <t>д. Мокшино, ул. Ленинградская, д. 2</t>
  </si>
  <si>
    <t>с. Завидово, ул. Школьная, д. 3</t>
  </si>
  <si>
    <t>д. Мокшино,                                     ул. Ленинградская, д. 8</t>
  </si>
  <si>
    <t>п. Выползово, ул. Березовая роща, д. 6</t>
  </si>
  <si>
    <t>пос. Приволжский, ул. Центральная, д. 6</t>
  </si>
  <si>
    <t>2</t>
  </si>
  <si>
    <t>2020</t>
  </si>
  <si>
    <t>д. Титово, ул. Центральная, д. 5</t>
  </si>
  <si>
    <t>д. Берново, ул. Советская, д. 8</t>
  </si>
  <si>
    <t>д. Берново, ул. Советская, д. 9</t>
  </si>
  <si>
    <t>д. Заречье, д. 51</t>
  </si>
  <si>
    <t>д. Заречье, д. 52</t>
  </si>
  <si>
    <t>с. Погорелое Городище, ул. Мелиоративная, 
д. 11</t>
  </si>
  <si>
    <t>с. Погорелое Городище, ул. Мелиоративная, д. 11</t>
  </si>
  <si>
    <t>Пеновский муниципальный округ</t>
  </si>
  <si>
    <t>пос. Пено, ул. З. Голицыной, д. 11</t>
  </si>
  <si>
    <t>пос. Пено, 
ул. З. Голицыной, д. 11</t>
  </si>
  <si>
    <t>д. Селезенево, д. 2</t>
  </si>
  <si>
    <t>ж/д ст. Кулицкая, ул. Заводская, д. 4а</t>
  </si>
  <si>
    <t>ж/д ст. Кулицкая,               
ул. Заводская, д. 4а</t>
  </si>
  <si>
    <t>с. Селихово, ул. Новая, д. 8</t>
  </si>
  <si>
    <t>Максатихинский муниципальный округ</t>
  </si>
  <si>
    <t>пос. Максатиха, ул. Советская, д. 41а</t>
  </si>
  <si>
    <t>пос. Максатиха, 
ул. Советская, д. 41а</t>
  </si>
  <si>
    <t>пос. Пено, ул. Тарасова, д. 8</t>
  </si>
  <si>
    <t>пос. Пено, 
ул. Тарасова, д. 8</t>
  </si>
  <si>
    <t>г. Калязин, ул. Декабристов, д. 9</t>
  </si>
  <si>
    <t>г. Калязин, ул. Центральная, д. 10</t>
  </si>
  <si>
    <t>пос. Редкино, ул. Фадеева, д. 3</t>
  </si>
  <si>
    <t>пос. Новозавидовский, ул. Фабричная, д. 2</t>
  </si>
  <si>
    <t>пос. Новозавидовский, ул. Лесная, д. 1</t>
  </si>
  <si>
    <t>пос. Новозавидовский, ул. Юбилейная, д. 5</t>
  </si>
  <si>
    <t>г. Нелидово, ул. Горького, 
д. 4</t>
  </si>
  <si>
    <t>г. Нелидово, ул. Нахимова, 
д. 14/13</t>
  </si>
  <si>
    <t>г. Нелидово, ул. Горького, 
д. 10</t>
  </si>
  <si>
    <t>г. Нелидово, ул. Матросова, 
д. 26/1</t>
  </si>
  <si>
    <t>г. Лихославль, 
ул. Лихославльская, 
д. тяговой подстанции</t>
  </si>
  <si>
    <t>г. Лихославль, 
ул. Первомайская, д. 14</t>
  </si>
  <si>
    <t>г. Лихославль, 
ул. Юбилейная, д. 2</t>
  </si>
  <si>
    <t>г. Осташков, ул. Рабочая, 
д. 29</t>
  </si>
  <si>
    <t>г. Осташков, ул. Шевчука, 
д. 3</t>
  </si>
  <si>
    <t>г. Осташков, 
ул. Тимофеевская, д. 66</t>
  </si>
  <si>
    <t>г. Осташков, 
ул. Володарского, д. 43</t>
  </si>
  <si>
    <t>г. Старица, 
ул. Коммунистическая, д. 34</t>
  </si>
  <si>
    <t>д. Берново, ул. Советская, 
д. 8</t>
  </si>
  <si>
    <t>д. Берново, ул. Советская, 
д. 9</t>
  </si>
  <si>
    <t>г. Торопец, 
ул. Комсомольская, д. 40</t>
  </si>
  <si>
    <t>г. Торопец, ул. Советская, 
д. 130у</t>
  </si>
  <si>
    <t>г. Удомля, ул. Венецианова, 
д. 3</t>
  </si>
  <si>
    <t>г. Удомля, ул. Энтузиастов, 
д. 6/2</t>
  </si>
  <si>
    <t>пгт Озерный, пер. Садовый, 
д. 3</t>
  </si>
  <si>
    <t>пгт Озерный, ул. Киевская, 
д. 5а</t>
  </si>
  <si>
    <t>пгт Озерный, пер. Садовый, 
д. 4</t>
  </si>
  <si>
    <t>пгт Озерный, ул. Советская, 
д. 4</t>
  </si>
  <si>
    <t>г. Торжок, Тверецкая наб., 
д. 80</t>
  </si>
  <si>
    <t>г. Весьегонск, ул. Парковая, д. 6</t>
  </si>
  <si>
    <t>пос.  Изоплит, ул. Пионерская, д. 7</t>
  </si>
  <si>
    <t>г. Кувшиново, ул. Маяковского, д. 20</t>
  </si>
  <si>
    <t>г. Вышний Волочек, ул. Пашинская, д. 11</t>
  </si>
  <si>
    <t>г. Вышний Волочек, ул. Двор фабрики  «Пролетарский Авангард», д. 41</t>
  </si>
  <si>
    <t>г. Бежецк, проезд Восточный, д. 22</t>
  </si>
  <si>
    <t>г. Белый, ул. Смирнова, д. 16</t>
  </si>
  <si>
    <t>г. Белый, ул. Карла Маркса, д. 3</t>
  </si>
  <si>
    <t>г. Белый, ул. Ленина, д. 31</t>
  </si>
  <si>
    <t>г. Белый, ул. Кирова, д. 8</t>
  </si>
  <si>
    <t>г. Белый , ул. Ленина, д.  50</t>
  </si>
  <si>
    <t>г. Белый, ул. Кирова,д. д. 8</t>
  </si>
  <si>
    <t>г. Белый, ул Ленина, д. 10</t>
  </si>
  <si>
    <t>г. Белый, пер. Аптечный, д.  1</t>
  </si>
  <si>
    <t>г. Кашин, ул. Ленина, д. 8/11</t>
  </si>
  <si>
    <t>г. Кашин. ул. Михаила Калинина, д. 5</t>
  </si>
  <si>
    <t>г. Кашин, ул. Московская, д. 4а</t>
  </si>
  <si>
    <t>г. Кашин, ул. Советская, д. 17</t>
  </si>
  <si>
    <t>г.Кашин, ул.Крестьянская, д. 7/5</t>
  </si>
  <si>
    <t>г. Кашин, ул. Ленина, д. 31</t>
  </si>
  <si>
    <t>г. Кашин, ул. Михаила Калинина, д. 6</t>
  </si>
  <si>
    <t>г.Кашин, ул.Московская, д. 1б</t>
  </si>
  <si>
    <t>пос. Жарки, ул. Труда, д. 44</t>
  </si>
  <si>
    <t>г. Торжок, ул. Студенческая, 
д. 14а</t>
  </si>
  <si>
    <t>г. Вышний Волочек, пр-т Казанский, д. 106/112</t>
  </si>
  <si>
    <t>г. Белый , ул. Ленина, д. 50</t>
  </si>
  <si>
    <t>г. Белый, пер. Аптечный, д. 1</t>
  </si>
  <si>
    <t>г. Кашин, ул. Ленина, д. 36</t>
  </si>
  <si>
    <t>г. Кашин, ул.Карла Маркса д. 63а</t>
  </si>
  <si>
    <t>д. Тетьково, д. 17</t>
  </si>
  <si>
    <t>г. Вышний Волочек, ул. 4-я Пролетарская, 
д. 98/2</t>
  </si>
  <si>
    <t>с. Завидово,  ул. Школьная, д. 5</t>
  </si>
  <si>
    <t>г. Кашин, ул. Ивана Тургенева, д. 6</t>
  </si>
  <si>
    <t>г. Вышний Волочек, ул. Куйбышева, д. 15А</t>
  </si>
  <si>
    <t xml:space="preserve">г. Калязин, ул. Центральная, д. 2А    </t>
  </si>
  <si>
    <t>г. Калязин, ул. Вагжанова, д. 2А</t>
  </si>
  <si>
    <t>г. Калязин, ул. Коминтерна, д. 32А</t>
  </si>
  <si>
    <t>пгт Кесова Гора, ул. Старовокзальная, д. 4А</t>
  </si>
  <si>
    <t>г. Кимры, ул. Володарского, д. 104А</t>
  </si>
  <si>
    <t>г. Кимры, ул. Свободы, д. 4А</t>
  </si>
  <si>
    <t>г. Конаково, ул. Васильковского, д. 1А</t>
  </si>
  <si>
    <t>г. Конаково, ул. Горького, д. 3А</t>
  </si>
  <si>
    <t>г. Лихославль, ул. Вагжанова,  д. 6А</t>
  </si>
  <si>
    <t>пос. Сонково, ул. Артамонова, д. 1А</t>
  </si>
  <si>
    <t>г. Старица, ул. Коммунистическая,  д. 40А</t>
  </si>
  <si>
    <t>г. Удомля, пр-т Энергетиков, д. 6А</t>
  </si>
  <si>
    <t>г. Ржев, ул. Мира, д.  4</t>
  </si>
  <si>
    <t>г. Ржев, ул. Мира, д. 10</t>
  </si>
  <si>
    <t>г. Ржев, ул. Разина, д. 3</t>
  </si>
  <si>
    <t>г. Ржев, ул. Б. Спасская, д. 41/65</t>
  </si>
  <si>
    <t>г. Ржев, ул. Б. Спасская, д. 50/70</t>
  </si>
  <si>
    <t>г. Ржев, ул. Косарова, д. 49</t>
  </si>
  <si>
    <t>г. Ржев, ул. Калинина, д. 53</t>
  </si>
  <si>
    <t>г. Ржев, Торопецкий тр., 
д. 2а/21</t>
  </si>
  <si>
    <t>г. Ржев, Красноармейская наб., д. 30/1</t>
  </si>
  <si>
    <t>г. Ржев, ул. Чкалова, д. 41</t>
  </si>
  <si>
    <t>г. Ржев, Торопецкий тр., д. 2а/21</t>
  </si>
  <si>
    <t>г. Тверь, наб. Афанасия Никитина, д. 144, корп. 1</t>
  </si>
  <si>
    <t>г. Ржев, ул. П. Савельевой, д. 119</t>
  </si>
  <si>
    <t>г. Ржев, ул. Рабочая, д. 11/67</t>
  </si>
  <si>
    <t>г. Ржев, ул. Б. Спасская, д. 46</t>
  </si>
  <si>
    <t>г. Ржев, ул. Б. Спасская, д. 48/59</t>
  </si>
  <si>
    <t>г. Ржев, ул. Ленина, д. 19</t>
  </si>
  <si>
    <t>г. Ржев, ул. Б. Спасская, д. 35/56</t>
  </si>
  <si>
    <t>г. Тверь, ул. Хромова, д. 18, корп. 1</t>
  </si>
  <si>
    <t>г. Тверь, проезд Зеленый, д. 45, корп. 7</t>
  </si>
  <si>
    <t>г. Тверь, ул. Богданова, д. 22, корп. 1</t>
  </si>
  <si>
    <t>г. Ржев, ул. Бехтерева, д. 84</t>
  </si>
  <si>
    <t>г. Ржев, ул. Косарова, д. 64</t>
  </si>
  <si>
    <t>г. Ржев, ул. Железнодорожная, д. 40</t>
  </si>
  <si>
    <t>г. Ржев, ул. Октябрьская, д. 47</t>
  </si>
  <si>
    <t>г. Ржев, Ленинградское ш., д. 15</t>
  </si>
  <si>
    <t>г. Ржев, ул. Куприянова, д. 15</t>
  </si>
  <si>
    <t>г. Тверь, ул. 15 лет Октября, д. 62, корп. 1</t>
  </si>
  <si>
    <t>г. Тверь, ул. Ипподромная, д. 7, корп. 1</t>
  </si>
  <si>
    <t>г. Тверь, ул. Тамары Ильиной, д. 7, корп. 1</t>
  </si>
  <si>
    <t>г. Тверь, ул. Громова, д. 36, корп. 2</t>
  </si>
  <si>
    <t>г. Тверь, пр-т Победы, д. 28, корп. 1</t>
  </si>
  <si>
    <t>г. Тверь, ул. Богданова, д. 24, корп. 2</t>
  </si>
  <si>
    <t>г. Тверь, бульвар Профсоюзов, д. 18, корп.  2</t>
  </si>
  <si>
    <t>г. Тверь, ул. Громова, д. 28, корп. 2</t>
  </si>
  <si>
    <t>г. Тверь, ул. Благоева, д. 4, корп. 3</t>
  </si>
  <si>
    <t xml:space="preserve">г. Тверь, ул. Паши Савельевой, д. 39, корп. 3 </t>
  </si>
  <si>
    <t>г. Тверь, пр-т Победы, д. 68, корп. 4</t>
  </si>
  <si>
    <t>г. Тверь, пр-т Победы, д. 68, корп. 1</t>
  </si>
  <si>
    <t>г. Тверь, ул. Красина, д. 53, корп. 1</t>
  </si>
  <si>
    <t>г. Тверь, ул. Мичурина, д. 44, корп. 2</t>
  </si>
  <si>
    <t>г. Тверь, тер. Двор Пролетарки,  д. 43</t>
  </si>
  <si>
    <t>г. Тверь, тер. Двор Пролетарки, д.  43</t>
  </si>
  <si>
    <t>г. Вышний Волочек, ул. Двор фабрики  «Пролетарский Авангард» , д. 41</t>
  </si>
  <si>
    <t>г. Вышний Волочек, ул. Двор фабрики «Пролетарский Авангард»,  д. 39</t>
  </si>
  <si>
    <t>г. Белый, ул. Ленина, д. 10</t>
  </si>
  <si>
    <t>г. Кашин, ул. Комсомольская, д. 3</t>
  </si>
  <si>
    <t>г. Тверь, тер. Двор Пролетарки, д. 43</t>
  </si>
  <si>
    <t>г. Тверь, тер. Двор Пролетарки, д. 164</t>
  </si>
  <si>
    <t>г. Кувшиново, ул. Советская, д. 9</t>
  </si>
  <si>
    <t>г. Ржев,  пл. Советская,  д. 4</t>
  </si>
  <si>
    <t>г. Ржев, пл. Советская, д. 4</t>
  </si>
  <si>
    <t>пгт Козлово, ул. Прядильщиков, д. 14</t>
  </si>
  <si>
    <t>д. Колталово, ул. Садовая, д. 25</t>
  </si>
  <si>
    <t>пос. Радченко, д. 43</t>
  </si>
  <si>
    <t>г. Осташков, ул. Адрианова, д. 12</t>
  </si>
  <si>
    <t>ж/д ст. Чуприяновка, ул. Рабочая, д. 8</t>
  </si>
  <si>
    <t>пос. Пено, ул. Тарасова, д. 3</t>
  </si>
  <si>
    <t>пос. Пено, 
ул. Тарасова, д. 3</t>
  </si>
  <si>
    <t>пос. Максатиха, ул. Спортивная, д. 21</t>
  </si>
  <si>
    <t>пос. Максатиха, ул. Смирнова, д. 9</t>
  </si>
  <si>
    <t>пос. Максатиха, ул. Смирнова, д. 10</t>
  </si>
  <si>
    <t>пос. Максатиха, ул. Пролетарская, д. 34</t>
  </si>
  <si>
    <t>пос.  Максатиха, ул. им. Смирнова, д. 15</t>
  </si>
  <si>
    <t>пос. Максатиха, ул.  им. Смирнова, д. 15</t>
  </si>
  <si>
    <t>г. Вышний Волочек, ул. Линейная, д. 3</t>
  </si>
  <si>
    <t>г. Вышний Волочек, наб. Затверецкая, д. 11/2</t>
  </si>
  <si>
    <t>пос. Спирово, 
пер. Пушкина, д. 3</t>
  </si>
  <si>
    <t>пос. Спирово, пер. Пушкина, д. 3</t>
  </si>
  <si>
    <t>Бежецкий муниципальный округ</t>
  </si>
  <si>
    <t>Калязинский муниципальный округ</t>
  </si>
  <si>
    <t>Торопецкий муниципальный округ</t>
  </si>
  <si>
    <t>Кувшиновский муниципальный округ</t>
  </si>
  <si>
    <t>Конаковский муниципальный округ</t>
  </si>
  <si>
    <t>Бологовский муниципальный округ</t>
  </si>
  <si>
    <t>Калининский муниципальный округ</t>
  </si>
  <si>
    <t>пос. Васильевский Мох, ул. Смирнова, д. 1</t>
  </si>
  <si>
    <t>пгт Красномайский, ул. Железнодорожная, д. 19</t>
  </si>
  <si>
    <t>п. Академический, ул. Октябрьская, д. 1</t>
  </si>
  <si>
    <t>п. Борисовский, ул. Октябрьская, д. 17</t>
  </si>
  <si>
    <t>п. Приозерный, ул. Дорожная, д. 6</t>
  </si>
  <si>
    <t>п. Пригородный, ул. Мелиораторов, д. 7</t>
  </si>
  <si>
    <t>п. Приозерный, ул. Дорожная, д. 4</t>
  </si>
  <si>
    <t>п. Приозерный, ул. Дорожная, д. 4а</t>
  </si>
  <si>
    <t>п. Академический, ул. Пионерская, д. 1</t>
  </si>
  <si>
    <t>п. Приозерный, ул. Дорожная, д. 5</t>
  </si>
  <si>
    <t>п. Академический, ул. Пионерская, д. 2</t>
  </si>
  <si>
    <t>г. Ржев, ул. Ленина, д. 28</t>
  </si>
  <si>
    <t>пос. Озерки, ул. Октябрьская, д. 14</t>
  </si>
  <si>
    <t>п. Мошки, д. 36</t>
  </si>
  <si>
    <t xml:space="preserve">д. Мошки, д. 36 </t>
  </si>
  <si>
    <t>г. Тверь, бульвар Гусева, д. 40</t>
  </si>
  <si>
    <t>г. Тверь, наб. Афанасия Никитина, д. 144, корп 1</t>
  </si>
  <si>
    <t>г. Тверь, проезд Зеленый, д. 45, корп 6</t>
  </si>
  <si>
    <t xml:space="preserve">г. Тверь, ул. Ипподромная, д. 21 </t>
  </si>
  <si>
    <t xml:space="preserve">г. Тверь, ул. 15 лет Октября, д. 63, корп 1 </t>
  </si>
  <si>
    <t>г. Тверь, ул. Резинстроя, д. 6</t>
  </si>
  <si>
    <t>г. Тверь, ул. Орджоникидзе, д. 5</t>
  </si>
  <si>
    <t>г. Тверь, ул. Орджоникидзе, д. 6/1</t>
  </si>
  <si>
    <t xml:space="preserve">г. Тверь, наб. реки Лазури, д. 7 </t>
  </si>
  <si>
    <t>г. Тверь, ул. 15 лет Октября, д. 46а</t>
  </si>
  <si>
    <t>г. Тверь, ул. Лукина, д. 12</t>
  </si>
  <si>
    <t>г. Тверь, ул. Московская, д. 78</t>
  </si>
  <si>
    <t>г. Тверь, ул. Склизкова, д. 27</t>
  </si>
  <si>
    <t>г. Тверь, ул. Тамары Ильиной, д. 21</t>
  </si>
  <si>
    <t>г. Тверь, пр-т Победы, д. 44</t>
  </si>
  <si>
    <t>г. Тверь, пр-т Победы, д. 44а</t>
  </si>
  <si>
    <t>г. Тверь, пр-т Октябрьский, д. 87, корп. 2</t>
  </si>
  <si>
    <t>г. Тверь, ул. Склизкова, д. 94</t>
  </si>
  <si>
    <t>г. Тверь, ул. Богданова, д. 26/17</t>
  </si>
  <si>
    <t>г. Тверь, наб. Реки Лазури, д. 7</t>
  </si>
  <si>
    <t>г. Тверь, ул. Орджоникидзе, д. 22/25</t>
  </si>
  <si>
    <t>г. Тверь, ул. Ротмистрова, д. 18</t>
  </si>
  <si>
    <t>г. Тверь, ул. Орджоникидзе, д. 10/2</t>
  </si>
  <si>
    <t>г. Тверь, ул. Склизкова, д. 68</t>
  </si>
  <si>
    <t>г. Тверь, пос. Химинститута, д. 57</t>
  </si>
  <si>
    <t>1982, 1986</t>
  </si>
  <si>
    <t>г. Тверь, проезд Зеленый, д. 45, корп. 6</t>
  </si>
  <si>
    <t>г. Тверь, ул. Ипподромная, 21</t>
  </si>
  <si>
    <t>г. Тверь, пер. Беляковский, д. 32</t>
  </si>
  <si>
    <t>г. Тверь, ул. 15 лет Октября, д. 63, корп. 1</t>
  </si>
  <si>
    <t xml:space="preserve">г. Тверь, ул. Орджоникидзе, д. 5 </t>
  </si>
  <si>
    <t>г. Тверь, наб. реки Лазури, д. 7</t>
  </si>
  <si>
    <t xml:space="preserve">г. Тверь, ул. 15 лет Октября, д. 46а </t>
  </si>
  <si>
    <t>г. Тверь, ул. Оржоникидзе, д. 12/1</t>
  </si>
  <si>
    <t xml:space="preserve">г. Тверь, пр-т Победы, д. 44а </t>
  </si>
  <si>
    <t>г. Вышний Волочек, Московское шоссе, д. 109 б</t>
  </si>
  <si>
    <t>г. Вышний Волочек, ул. Московская, д. 109б</t>
  </si>
  <si>
    <t>с. Бурашево, ул. М. Литвинова, д. 41</t>
  </si>
  <si>
    <t>с. Бурашево, ул. М.Литвинова, д. 41</t>
  </si>
  <si>
    <t>с. Куженкино, ул. Полевая, д. 12</t>
  </si>
  <si>
    <t>4 Разработка проектной документации, проведение экспертизы проектной документации (в случае если разработка проектной документации, проведение экспертизы проектной документации необходимы в соответствии с законодательством о градостроительной деятельности), проведение проверки достоверности определения сметной стоимости капитального ремонта.</t>
  </si>
  <si>
    <t>г. Тверь, ул. Пушкинская, д. 2А</t>
  </si>
  <si>
    <t>г. Тверь, ул. Седова, д. 7В</t>
  </si>
  <si>
    <t>г. Белый, пл. Карла Маркса, д. 1</t>
  </si>
  <si>
    <t>г. Бологое, мкр-н Западный, д. 2</t>
  </si>
  <si>
    <t>г. Тверь, ул. Пушкинская, 
д. 2А</t>
  </si>
  <si>
    <t>г. Бологое, мкр-н Западный, 
д. 2</t>
  </si>
  <si>
    <t>г.Кашин, ул. Крестьянская, д. 7/5</t>
  </si>
  <si>
    <t>г.Кашин, ул. Московская, д. 1б</t>
  </si>
  <si>
    <t>г. Кашин, ул. Карла Маркса,
д. 63а</t>
  </si>
  <si>
    <t>пос. Крючково, ул. Комсомольская, д. 22</t>
  </si>
  <si>
    <t>г. Лихославль, пер. 1-ый Стадионный, д. 1</t>
  </si>
  <si>
    <t>п. Эммаус, д. 1</t>
  </si>
  <si>
    <t>п. Эммаус, д. 9</t>
  </si>
  <si>
    <t>п. Эммаус, д. 12</t>
  </si>
  <si>
    <t>с. Медное, ул. МСШИ, д. 1</t>
  </si>
  <si>
    <t>г. Бежецк, 
ул. М.И. Кузнецова, д. 24</t>
  </si>
  <si>
    <t>пос. Максатиха, ул. Мира, д. 7</t>
  </si>
  <si>
    <t>Вышневолоцкий городской округ</t>
  </si>
  <si>
    <t>ЗАТО Озерный</t>
  </si>
  <si>
    <t>ЗАТО Солнечный</t>
  </si>
  <si>
    <t>Фировский муниципальный округ</t>
  </si>
  <si>
    <t>с. Горицы, ул. Механизаторов, д. 45</t>
  </si>
  <si>
    <t>с. Горицы, ул. Механизаторов, д. 49</t>
  </si>
  <si>
    <t>с. Горицы, ул. Механизаторов, д. 51</t>
  </si>
  <si>
    <t>с. Горицы, ул. Механизаторов, д. 56</t>
  </si>
  <si>
    <t>п. Белый Городок, ул. Заводская, д. 3а</t>
  </si>
  <si>
    <t>пгт. Кесова Гора, ул. Московская, д. 4</t>
  </si>
  <si>
    <t>Железобетон</t>
  </si>
  <si>
    <t>г. Андреаполь, ул. Гагарина, д. 15</t>
  </si>
  <si>
    <t>г. Андреаполь, 
ул. Гагарина, д. 15</t>
  </si>
  <si>
    <t>подлежит оценке в соотвествии с проектной документацией</t>
  </si>
  <si>
    <t>п. Мирный, ул. Ленина, д. 9</t>
  </si>
  <si>
    <t>п. Мирный, ул. Солнечная, д. 2</t>
  </si>
  <si>
    <t>п. Мирный, ул. Солнечная, д. 6</t>
  </si>
  <si>
    <t>п. Мирный, ул. С. Козлова, д. 3</t>
  </si>
  <si>
    <t>п. Мирный, ул. С. Козлова, 
д. 3</t>
  </si>
  <si>
    <t>г. Бежецк пер. Первомайский, д. 31</t>
  </si>
  <si>
    <t>г. Бежецк, ул. Пионерская, 
д. 36</t>
  </si>
  <si>
    <t>г. Белый, ул. Карла Маркса, д. 10</t>
  </si>
  <si>
    <t>г. Белый, ул. Карла Маркса, 
д. 10</t>
  </si>
  <si>
    <t>г. Белый, пер. Детский, д. 10</t>
  </si>
  <si>
    <t>г. Нелидово, пр-т Ленина, д. 1а</t>
  </si>
  <si>
    <t>г. Тверь, пр-т Ленина, д. 7/7</t>
  </si>
  <si>
    <t>д. Мокшино, ул. Ленинградская, 
д. 2</t>
  </si>
  <si>
    <t>пос. Калашниково, ул. Горького, 
д. 3</t>
  </si>
  <si>
    <t>г. Лихославль, ул. Юбилейная, 
д. РСУ</t>
  </si>
  <si>
    <t>Кегосовгорский муниципальный округ</t>
  </si>
  <si>
    <t>кв.м</t>
  </si>
  <si>
    <t>пгт Козлово, ул. Прядильщиков, 
д. 14</t>
  </si>
  <si>
    <t>пгт Козлово, ул. Прядильщиков, 
д. 6а</t>
  </si>
  <si>
    <t>г. Красный Холм, ул. Базарная, 
д. 65</t>
  </si>
  <si>
    <t>пос. Озерки, 
пр-д Железнодорожный, д. 3</t>
  </si>
  <si>
    <t>пгт Козлово, ул. Прядильщиков, 
д. 4</t>
  </si>
  <si>
    <t xml:space="preserve">д. Кистутово, д. 3а </t>
  </si>
  <si>
    <t>д. Кистутово, д. 3а</t>
  </si>
  <si>
    <t>г. Кувшиново, ул. Карла Макрса, д. 9</t>
  </si>
  <si>
    <t>г. Кувшиново, ул. Карла Маркса, 
д. 9</t>
  </si>
  <si>
    <t>ж/д ст. Чуприяновка, ул. Коммунальная, д. 14</t>
  </si>
  <si>
    <t>г. Вышний Волочек, наб. Валентины Терешковой, д. 41</t>
  </si>
  <si>
    <t>с. Завидово, ул. Школьная, д. 9</t>
  </si>
  <si>
    <t>ул. Школьная, д. 9</t>
  </si>
  <si>
    <t>г. Осташков, пер. Льва Толстого, д. 1а</t>
  </si>
  <si>
    <t>г. Осташков, пер. Льва Толстого, 
д. 1а</t>
  </si>
  <si>
    <t>д. Квакшино, д. 4</t>
  </si>
  <si>
    <t>д. Колталово, ул. Зеленая, д. 22</t>
  </si>
  <si>
    <t>г.Ржев, ул.Республиканская, д.7б</t>
  </si>
  <si>
    <t>г. Ржев, Красноармейская наб., 
д. 30/1</t>
  </si>
  <si>
    <t>пос. Озерки, ул. Ленинская, д. 19</t>
  </si>
  <si>
    <t>пгт Оленино, ул. Кузьмина, д. 91</t>
  </si>
  <si>
    <t>пгт Оленино, ул. Чехова, д. 17</t>
  </si>
  <si>
    <t>пгт Оленино, ул. Пионерская, д. 2</t>
  </si>
  <si>
    <t>пгт Оленино, ул. Пионерская, д. 3</t>
  </si>
  <si>
    <t>пгт Оленино, ул. Пионерская, д. 4а</t>
  </si>
  <si>
    <t>пгт Оленино, ул. Пионерская, д. 8</t>
  </si>
  <si>
    <t>пгт Оленино, ул. Пионерская, д. 9</t>
  </si>
  <si>
    <t>пгт Оленино, ул. Пионерская, д. 10</t>
  </si>
  <si>
    <t>пгт Оленино, ул. Пионерская, д. 12</t>
  </si>
  <si>
    <t>пгт Оленино, ул. Строителей, д. 1</t>
  </si>
  <si>
    <t>пгт Оленино, ул. Строителей, д. 2а</t>
  </si>
  <si>
    <t>пгт Оленино, ул. Строителей, д. 7</t>
  </si>
  <si>
    <t>пгт Оленино, ул. Строителей, д. 9</t>
  </si>
  <si>
    <t>п. Мирный, ул. Строителей, д. 18</t>
  </si>
  <si>
    <t>п. Мирный, 
ул. Строителей, д. 18</t>
  </si>
  <si>
    <t>пгт Сонково, ул. Сельхозтехника, д. 6а</t>
  </si>
  <si>
    <t>пгт Оленино, ул. Заводская, д. 3</t>
  </si>
  <si>
    <t>пгт Оленино, ул. Заводская, д. 5</t>
  </si>
  <si>
    <t>пгт Оленино, ул. Карла Маркса, д. 4</t>
  </si>
  <si>
    <t>пгт Оленино, ул. Октябрьская, д. 2</t>
  </si>
  <si>
    <t>пгт Оленино, ул. Октябрьская, д. 18</t>
  </si>
  <si>
    <t>пгт Оленино, ул. Чехова, д. 16</t>
  </si>
  <si>
    <t>г. Вышний Волочек, ул. Максима Горького, 
д. 10</t>
  </si>
  <si>
    <t>г. Вышний Волочек, ул. Красный городок,  
д. 260</t>
  </si>
  <si>
    <t>пос. Калашниково, ул. Ленина, д. 43</t>
  </si>
  <si>
    <t>г. Вышний Волочек, ул. Красных Печатников, 
д. 16</t>
  </si>
  <si>
    <t>итого</t>
  </si>
  <si>
    <t>г. Тверь, 1-ый переулок
(пос. Элеватор), д. 1</t>
  </si>
  <si>
    <t>г. Вышний Волочек, 
ул. Куйбышева, д. 15а</t>
  </si>
  <si>
    <t>г. Вышний Волочек, 
ул. Екатерининская, д. 7/9</t>
  </si>
  <si>
    <t>пгт Озерный, ул. Комсомольская, 
д. 1</t>
  </si>
  <si>
    <t>пгт Озерный, ул. Комсомольская, 
д. 2</t>
  </si>
  <si>
    <t>г. Бежецк, ул. М.И. Кузнецова, 
д. 24</t>
  </si>
  <si>
    <t>г. Бежецк, пер. Первомайский, 
д. 33/18</t>
  </si>
  <si>
    <t>пгт Старая Торопа, 
ул. Комсомольская, д. 13</t>
  </si>
  <si>
    <t>пгт Кесова Гора, 
ул. Старовокзальная, д. 4а</t>
  </si>
  <si>
    <t>г. Кимры, ул. Володарского, 
д. 104а</t>
  </si>
  <si>
    <t>г. Кимры, ул. Коммунистическая, 
д. 2/5</t>
  </si>
  <si>
    <t>п. Белый Городок, ул. Школьная, 
д. 16</t>
  </si>
  <si>
    <t>г. Конаково, ул. Васильковского, 
д. 5</t>
  </si>
  <si>
    <t>г. Конаково, ул. Васильковского, 
д. 1а</t>
  </si>
  <si>
    <t>с. Городня, ул. Ленинградская, 
д. 187</t>
  </si>
  <si>
    <t>г. Кувшиново, ул. Маяковского, 
д. 20</t>
  </si>
  <si>
    <t>пгт Оленино, ул. Октябрьская, 
д. 14</t>
  </si>
  <si>
    <t>пгт Оленино, ул. Октябрьская, 
д. 26</t>
  </si>
  <si>
    <t>г. Осташков, пер. Льва Толстого, 
д. 1Б</t>
  </si>
  <si>
    <t>г. Осташков, ул. Володарского, 
д. 177</t>
  </si>
  <si>
    <t>г. Осташков, ул. Володарского, 
д. 179</t>
  </si>
  <si>
    <t>г. Старица, ул. Карла Маркса,  
д. 60</t>
  </si>
  <si>
    <t>г. Удомля, ул. Автодорожная, 
д. 2/1</t>
  </si>
  <si>
    <t>г. Вышний Волочек, 
наб. Затверецкая, д. 11/2</t>
  </si>
  <si>
    <t>п. Есеновичи, ул. Первомайская, 
д. 1а</t>
  </si>
  <si>
    <t>г. Вышний Волочек, ул. Правды, 
д. 29</t>
  </si>
  <si>
    <t>пгт Красномайский, 
ул. Ленинградская, д. 1</t>
  </si>
  <si>
    <t>п. Терелесовский, ул. Рабочая, 
д. 5/2</t>
  </si>
  <si>
    <t>г. Торжок, ул. Зеленый городок, 
д. 6</t>
  </si>
  <si>
    <t>ж/д ст. Чуприяновка, 
ул. Коммунальная, д. 14</t>
  </si>
  <si>
    <t>г. Кашин, ул. Михаила Калинина, 
д. 34</t>
  </si>
  <si>
    <t>г. Кашин, ул. Михаила Калинина, 
д. 24</t>
  </si>
  <si>
    <t>г. Кимры, ул. Красноармейская, 
д. 9</t>
  </si>
  <si>
    <t>п. Белый Городок, ул. Заводская, 
д. 2</t>
  </si>
  <si>
    <t>п. Белый Городок, ул. Заводская, 
д. 3а</t>
  </si>
  <si>
    <t>с. Горицы, ул. Механизаторов, 
д. 45</t>
  </si>
  <si>
    <t>с. Горицы, ул. Механизаторов, 
д. 49</t>
  </si>
  <si>
    <t>с. Горицы, ул. Механизаторов, 
д. 51</t>
  </si>
  <si>
    <t>с. Горицы, ул. Механизаторов, 
д. 56</t>
  </si>
  <si>
    <t>пгт Кесова Гора, ул. Московская, 
д. 4</t>
  </si>
  <si>
    <t>пос. Максатиха, ул. Спортивная, 
д. 21</t>
  </si>
  <si>
    <t>пгт Оленино, ул. Заводская, 
д. 3</t>
  </si>
  <si>
    <t>пгт Оленино, ул.Заводская, д. 5</t>
  </si>
  <si>
    <t>пгт Оленино, ул. Карла Маркса, 
д. 4</t>
  </si>
  <si>
    <t>пгт Оленино, ул. Октябрьская, 
д. 2</t>
  </si>
  <si>
    <t>пгт Оленино, ул. Октябрьская,
д. 18</t>
  </si>
  <si>
    <t>пгт Оленино, ул. Пионерская, 
д. 4</t>
  </si>
  <si>
    <t>пгт Оленино, ул. Пионерская, 
д. 12</t>
  </si>
  <si>
    <t>г. Тверь, ул. Хромова, д. 18, 
корп. 1</t>
  </si>
  <si>
    <t>г. Тверь, ул. Богданова, д. 22, 
корп. 1</t>
  </si>
  <si>
    <t>г. Тверь, ул. Орджоникидзе, 
д. 22/25</t>
  </si>
  <si>
    <t>г. Вышний Волочек, ул. Егорова, 
д. 10</t>
  </si>
  <si>
    <t>г. Вышний Волочек, ул. Правды, 
д. 41</t>
  </si>
  <si>
    <t>г. Ржев, ул. Железнодорожная, 
д. 40</t>
  </si>
  <si>
    <t>г. Торжок, ул. 1-я Авиационная, 
д. 7</t>
  </si>
  <si>
    <t>пгт Васильевский Мох, 
ул. Больничная, д. 6</t>
  </si>
  <si>
    <t>п. Белый Городок, ул. Заводская, 
д. 5</t>
  </si>
  <si>
    <t>г. Конаково, ул. Энергетиков, 
д. 28а</t>
  </si>
  <si>
    <t>пос. Калашниково, ул. Ленина, 
д. 33/5</t>
  </si>
  <si>
    <t>г. Осташков, ул. Володарского, 
д. 179а</t>
  </si>
  <si>
    <t>г. Старица, ул. Чернозерского, 
д. 40</t>
  </si>
  <si>
    <t>г. Тверь, тер. Двор Пролетарки,  
д. 43</t>
  </si>
  <si>
    <t>г. Тверь, ул. Громова, д. 36, 
корп. 2</t>
  </si>
  <si>
    <t>г. Тверь, Петербургское шоссе, 
д. 7А</t>
  </si>
  <si>
    <t>г. Тверь, пр-т Победы, д. 28, 
корп. 1</t>
  </si>
  <si>
    <t>г. Тверь, пр-т Чайковского, 
д. 24/2Б</t>
  </si>
  <si>
    <t>г. Тверь, тер. Двор Пролетарки, 
д. 43</t>
  </si>
  <si>
    <t>г. Тверь, тер. Двор Пролетарки, 
д. 164</t>
  </si>
  <si>
    <t>г. Тверь, ул. Инициативная, 
д. 10/11</t>
  </si>
  <si>
    <t>г. Тверь, ул. Маршала Захарова, 
д. 12</t>
  </si>
  <si>
    <t>г. Тверь, ул. Маршала Захарова, 
д. 16/17</t>
  </si>
  <si>
    <t>г. Тверь, шоссе Петербургское, 
д. 53</t>
  </si>
  <si>
    <t>г. Тверь, бульвар Профсоюзов, 
д. 18, корп. 2</t>
  </si>
  <si>
    <t>г. Тверь, переулок Садовый, 
д. 37/15</t>
  </si>
  <si>
    <t>г. Тверь, переулок Спортивный, 
д. 2, корп. 4</t>
  </si>
  <si>
    <t>г. Тверь, проезд Ремесленный, 
д. 10а</t>
  </si>
  <si>
    <t>г. Тверь, ул. Богданова, д. 24, 
корп. 2</t>
  </si>
  <si>
    <t>г. Тверь, ул. Громова, д. 48, 
корп. 1</t>
  </si>
  <si>
    <t>г. Тверь, ул. Евгения Пичугина, 
д. 56</t>
  </si>
  <si>
    <t>г. Тверь, ул. Тамары Ильиной,
д. 35</t>
  </si>
  <si>
    <t>г. Тверь, шоссе Петербургское, 
д. 19</t>
  </si>
  <si>
    <t>г. Тверь, шоссе Петербургское, 
д. 43</t>
  </si>
  <si>
    <t>г. Тверь, тер. Двор Пролетарки, 
д.  43</t>
  </si>
  <si>
    <t>г. Тверь, шоссе Петербургское, 
д.  19</t>
  </si>
  <si>
    <t>г. Тверь, переулок Свободный, 
д. 1г</t>
  </si>
  <si>
    <t>г. Тверь, ул. Громова, д. 28, 
корп. 2</t>
  </si>
  <si>
    <t xml:space="preserve">г. Тверь, ул. Паши Савельевой, 
д. 39, корп. 3 </t>
  </si>
  <si>
    <t>г. Тверь, пр-т Победы, д. 68, 
корп. 4</t>
  </si>
  <si>
    <t>пг. Тверь, р-т Победы, д. 68, 
корп. 1</t>
  </si>
  <si>
    <t>г. Тверь, ул. Красина, д. 53, 
корп. 1</t>
  </si>
  <si>
    <t>г. Тверь, шоссе Петербургское, 
д. 118</t>
  </si>
  <si>
    <t>г. Тверь, ул. 15 лет Октября, 
д. 3/22</t>
  </si>
  <si>
    <t>г. Тверь, проезд Ремесленный, 
д. 8а</t>
  </si>
  <si>
    <t>г. Тверь, ул. 15 лет Октября, 
д. 48/15</t>
  </si>
  <si>
    <t>г. Вышний Волочек, 
ул. Пашинская, д. 11</t>
  </si>
  <si>
    <t>г. Вышний Волочек, 
ул. Екатерининская, д. 39</t>
  </si>
  <si>
    <t>пгт Красномайский, 
ул. Железнодорожная, д. 19</t>
  </si>
  <si>
    <t>п. Академический, 
ул. Октябрьская, д. 1</t>
  </si>
  <si>
    <t>п. Борисовский, ул. Октябрьская,
д. 17</t>
  </si>
  <si>
    <t>г. Вышний Волочек, 
ул. Красноармейская, д. 11</t>
  </si>
  <si>
    <t>п. Пригородный, 
ул. Мелиораторов, д. 7</t>
  </si>
  <si>
    <t>г. Вышний Волочек, 
наб. Валентины Терешковой, д. 41</t>
  </si>
  <si>
    <t>г. Вышний Волочек, 
ул. Екатерининская, д. 4-6</t>
  </si>
  <si>
    <t>г. Вышний Волочек, 
ул. Дзержинского, д. 10</t>
  </si>
  <si>
    <t>г. Вышний Волочек, 
ул. М. Горького, д. 15</t>
  </si>
  <si>
    <t>г. Вышний Волочек, ул. Ямская, 
д. 96а</t>
  </si>
  <si>
    <t>г. Вышний Волочек, ул. Красная, 
д. 9</t>
  </si>
  <si>
    <t>г. Вышний Волочек, ул. Баумана, 
д. 23</t>
  </si>
  <si>
    <t xml:space="preserve">г. Вышний Волочек, ул. Баумана, 
д. 5 </t>
  </si>
  <si>
    <t>г. Вышний Волочек, ул. Чапаева, 
д. 11</t>
  </si>
  <si>
    <t>г. Ржев, ул. Большая Спасская, 
д. 41/65</t>
  </si>
  <si>
    <t>г. Ржев, ул. Железнодорожная, 
д. 34</t>
  </si>
  <si>
    <t>г. Ржев, ул. Большая Спасская, 
д. 8/27</t>
  </si>
  <si>
    <t>г. Торжок, ул. Красноармейская, 
д. 2</t>
  </si>
  <si>
    <t>г. Торжок, ул. Красноармейская, 
д. 3</t>
  </si>
  <si>
    <t>г. Андреаполь, ул. Октябрьская, 
д. 56</t>
  </si>
  <si>
    <t>г. Андреаполь, ул. Театральная, 
д. 3</t>
  </si>
  <si>
    <t>г. Андреаполь, ул. Советская, 
д. 65а</t>
  </si>
  <si>
    <t>г. Бежецк, пер. Чернышевского, 
д. 44</t>
  </si>
  <si>
    <t>г. Бологое, ул. Луначарского, 
д. 33а</t>
  </si>
  <si>
    <t>пос. Жарковский, ул. Доватора, 
д. 11 </t>
  </si>
  <si>
    <t>г. Кашин, ул. Михаила Калинина, 
д. 8/3</t>
  </si>
  <si>
    <t>г. Кашин. ул. Михаила Калинина, 
д. 5</t>
  </si>
  <si>
    <t>г. Кашин, ул. Михаила Калинина, 
д. 6</t>
  </si>
  <si>
    <t>п. Белый Городок, ул. Главная, 
д. 20</t>
  </si>
  <si>
    <t>пос. Приволжский, 
ул. Центральная, д. 6</t>
  </si>
  <si>
    <t>г. Конаково, ул. Коллективная, 
д. 39</t>
  </si>
  <si>
    <t>пос. Новозавидовский, 
ул. Фабричная, д. 2</t>
  </si>
  <si>
    <t>пос. Новозавидовский, 
ул. Юбилейная, д. 5</t>
  </si>
  <si>
    <t>г. Красный Холм, пер. Красный, 
д. 2а</t>
  </si>
  <si>
    <t>г. Красный Холм, ул. Заводская, 
д. 22</t>
  </si>
  <si>
    <t>г. Красный Холм, ул. Калинина, 
д. 6</t>
  </si>
  <si>
    <t>г. Красный Холм,
ул. Коммунистическая, д. 36</t>
  </si>
  <si>
    <t>г. Кувшиново, ул. Маяковского, 
д. 22</t>
  </si>
  <si>
    <t>г. Кувшиново, ул. Бумажников, 
д. 10</t>
  </si>
  <si>
    <t>г. Лихославль, пер. Театральный, 
д. 2</t>
  </si>
  <si>
    <t xml:space="preserve">г. Лихославль, ул. Карла Маркса, 
д. 25 </t>
  </si>
  <si>
    <t>г. Лихославль, ул. Первомайская, 
д. 39</t>
  </si>
  <si>
    <t>г. Вышний Волочек, ул. Ванчакова линия, 
д. 39-41</t>
  </si>
  <si>
    <t>г. Вышний Волочек, ул. Красных Печатников,
д. 55</t>
  </si>
  <si>
    <t>Городской округ город Тверь</t>
  </si>
  <si>
    <t>Городской округ город Торжок</t>
  </si>
  <si>
    <t>Торжокский муниципальный район</t>
  </si>
  <si>
    <t>Городской округ г. Тверь</t>
  </si>
  <si>
    <t>Городской округ г. Торжок</t>
  </si>
  <si>
    <t>д. Титово,
ул. Центральная, д. 5</t>
  </si>
  <si>
    <t xml:space="preserve">Приложение 
к постановлению Правительства 
Тверской области 
от 09.04.2024 № 123-пп
«Приложение 
к постановлению Правительства 
Тверской области 
от 29.12.2022 № 788-пп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</si>
</sst>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_р_._-;\-* #,##0_р_._-;_-* &quot;-&quot;_р_._-;_-@_-"/>
    <numFmt numFmtId="165" formatCode="_-* #,##0.00_р_._-;\-* #,##0.00_р_._-;_-* &quot;-&quot;??_р_._-;_-@_-"/>
    <numFmt numFmtId="166" formatCode="0.00000"/>
    <numFmt numFmtId="167" formatCode="0.0"/>
    <numFmt numFmtId="168" formatCode="#,##0.00_р_."/>
    <numFmt numFmtId="169" formatCode="\ #,##0.00&quot;    &quot;;\-#,##0.00&quot;    &quot;;&quot; -&quot;#&quot;    &quot;;@\ "/>
    <numFmt numFmtId="170" formatCode="\ #,##0&quot;    &quot;;\-#,##0&quot;    &quot;;&quot; -&quot;#&quot;    &quot;;@\ "/>
    <numFmt numFmtId="171" formatCode="#,##0.00_ ;\-#,##0.00\ "/>
    <numFmt numFmtId="172" formatCode="#,##0.0"/>
    <numFmt numFmtId="173" formatCode="#,##0_ ;\-#,##0\ "/>
  </numFmts>
  <fonts count="6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Arial"/>
      <family val="2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Times New Roman1"/>
      <charset val="204"/>
    </font>
    <font>
      <sz val="11"/>
      <color rgb="FFFF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0"/>
      <color theme="0"/>
      <name val="Arial"/>
      <family val="2"/>
      <charset val="204"/>
    </font>
    <font>
      <b/>
      <u/>
      <sz val="16"/>
      <color theme="0"/>
      <name val="Arial"/>
      <family val="2"/>
      <charset val="204"/>
    </font>
    <font>
      <sz val="12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1"/>
      <charset val="204"/>
    </font>
    <font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i/>
      <sz val="11"/>
      <name val="Times New Roman"/>
      <family val="1"/>
      <charset val="204"/>
    </font>
    <font>
      <sz val="12"/>
      <color theme="1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rgb="FF00B050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30"/>
      <name val="Times New Roman"/>
      <family val="1"/>
      <charset val="204"/>
    </font>
    <font>
      <vertAlign val="superscript"/>
      <sz val="30"/>
      <name val="Times New Roman"/>
      <family val="1"/>
      <charset val="204"/>
    </font>
    <font>
      <sz val="30"/>
      <name val="Times New Roman1"/>
      <charset val="204"/>
    </font>
    <font>
      <sz val="30"/>
      <name val="Calibri"/>
      <family val="2"/>
      <charset val="204"/>
    </font>
    <font>
      <sz val="14"/>
      <name val="Times New Roman1"/>
      <charset val="204"/>
    </font>
    <font>
      <sz val="26"/>
      <name val="Times New Roman"/>
      <family val="1"/>
      <charset val="204"/>
    </font>
    <font>
      <sz val="30"/>
      <name val="Calibri"/>
      <family val="2"/>
      <charset val="204"/>
      <scheme val="minor"/>
    </font>
    <font>
      <sz val="30"/>
      <color rgb="FF000000"/>
      <name val="Times New Roman"/>
      <family val="1"/>
      <charset val="204"/>
    </font>
    <font>
      <sz val="30"/>
      <color theme="1"/>
      <name val="Times New Roman"/>
      <family val="1"/>
      <charset val="204"/>
    </font>
    <font>
      <sz val="12"/>
      <name val="Verdana"/>
      <family val="2"/>
      <charset val="204"/>
    </font>
    <font>
      <sz val="8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19" fillId="0" borderId="0"/>
    <xf numFmtId="0" fontId="21" fillId="0" borderId="0"/>
    <xf numFmtId="0" fontId="24" fillId="0" borderId="0"/>
    <xf numFmtId="165" fontId="19" fillId="0" borderId="0" applyFont="0" applyFill="0" applyBorder="0" applyAlignment="0" applyProtection="0"/>
    <xf numFmtId="0" fontId="55" fillId="0" borderId="0"/>
  </cellStyleXfs>
  <cellXfs count="1223">
    <xf numFmtId="0" fontId="0" fillId="0" borderId="0" xfId="0"/>
    <xf numFmtId="0" fontId="0" fillId="2" borderId="0" xfId="0" applyFill="1"/>
    <xf numFmtId="0" fontId="5" fillId="2" borderId="0" xfId="0" applyFont="1" applyFill="1"/>
    <xf numFmtId="4" fontId="10" fillId="2" borderId="1" xfId="0" applyNumberFormat="1" applyFont="1" applyFill="1" applyBorder="1" applyAlignment="1">
      <alignment horizontal="center" vertical="center"/>
    </xf>
    <xf numFmtId="0" fontId="12" fillId="2" borderId="0" xfId="0" applyFont="1" applyFill="1"/>
    <xf numFmtId="0" fontId="8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 wrapText="1"/>
    </xf>
    <xf numFmtId="0" fontId="15" fillId="2" borderId="0" xfId="0" applyFont="1" applyFill="1"/>
    <xf numFmtId="0" fontId="26" fillId="2" borderId="0" xfId="0" applyFont="1" applyFill="1"/>
    <xf numFmtId="4" fontId="10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165" fontId="10" fillId="2" borderId="1" xfId="8" applyFont="1" applyFill="1" applyBorder="1" applyAlignment="1">
      <alignment horizontal="center" vertical="center"/>
    </xf>
    <xf numFmtId="0" fontId="11" fillId="2" borderId="0" xfId="0" applyFont="1" applyFill="1"/>
    <xf numFmtId="0" fontId="0" fillId="2" borderId="0" xfId="0" applyFill="1" applyAlignment="1">
      <alignment vertical="center"/>
    </xf>
    <xf numFmtId="0" fontId="9" fillId="2" borderId="0" xfId="0" applyFont="1" applyFill="1"/>
    <xf numFmtId="0" fontId="17" fillId="2" borderId="0" xfId="0" applyFont="1" applyFill="1" applyAlignment="1">
      <alignment horizontal="center" vertical="center"/>
    </xf>
    <xf numFmtId="0" fontId="17" fillId="2" borderId="0" xfId="0" applyFont="1" applyFill="1"/>
    <xf numFmtId="0" fontId="0" fillId="2" borderId="0" xfId="0" applyFill="1" applyAlignment="1">
      <alignment horizontal="center" vertical="center"/>
    </xf>
    <xf numFmtId="0" fontId="23" fillId="2" borderId="0" xfId="0" applyFont="1" applyFill="1"/>
    <xf numFmtId="4" fontId="0" fillId="2" borderId="0" xfId="0" applyNumberFormat="1" applyFill="1"/>
    <xf numFmtId="0" fontId="9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5" fillId="2" borderId="0" xfId="0" applyFont="1" applyFill="1" applyAlignment="1">
      <alignment horizontal="center" vertical="center"/>
    </xf>
    <xf numFmtId="0" fontId="0" fillId="2" borderId="0" xfId="0" applyFill="1" applyAlignment="1">
      <alignment wrapText="1"/>
    </xf>
    <xf numFmtId="0" fontId="6" fillId="2" borderId="0" xfId="0" applyFont="1" applyFill="1" applyAlignment="1">
      <alignment horizontal="right" vertical="top" wrapText="1"/>
    </xf>
    <xf numFmtId="0" fontId="19" fillId="2" borderId="0" xfId="0" applyFont="1" applyFill="1"/>
    <xf numFmtId="0" fontId="11" fillId="2" borderId="0" xfId="0" applyFont="1" applyFill="1" applyAlignment="1">
      <alignment horizontal="center"/>
    </xf>
    <xf numFmtId="4" fontId="5" fillId="2" borderId="0" xfId="0" applyNumberFormat="1" applyFont="1" applyFill="1"/>
    <xf numFmtId="4" fontId="15" fillId="2" borderId="0" xfId="0" applyNumberFormat="1" applyFont="1" applyFill="1"/>
    <xf numFmtId="0" fontId="2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/>
    </xf>
    <xf numFmtId="0" fontId="17" fillId="0" borderId="0" xfId="0" applyFont="1"/>
    <xf numFmtId="0" fontId="0" fillId="0" borderId="0" xfId="0" applyAlignment="1">
      <alignment wrapText="1"/>
    </xf>
    <xf numFmtId="0" fontId="27" fillId="2" borderId="0" xfId="9" applyFont="1" applyFill="1"/>
    <xf numFmtId="0" fontId="0" fillId="2" borderId="0" xfId="0" applyFill="1" applyAlignment="1">
      <alignment horizontal="left"/>
    </xf>
    <xf numFmtId="0" fontId="28" fillId="2" borderId="0" xfId="0" applyFont="1" applyFill="1"/>
    <xf numFmtId="0" fontId="16" fillId="2" borderId="0" xfId="0" applyFont="1" applyFill="1"/>
    <xf numFmtId="172" fontId="0" fillId="2" borderId="0" xfId="0" applyNumberFormat="1" applyFill="1"/>
    <xf numFmtId="172" fontId="5" fillId="2" borderId="0" xfId="0" applyNumberFormat="1" applyFont="1" applyFill="1"/>
    <xf numFmtId="3" fontId="0" fillId="2" borderId="0" xfId="0" applyNumberFormat="1" applyFill="1"/>
    <xf numFmtId="3" fontId="5" fillId="2" borderId="0" xfId="0" applyNumberFormat="1" applyFont="1" applyFill="1"/>
    <xf numFmtId="3" fontId="6" fillId="2" borderId="0" xfId="0" applyNumberFormat="1" applyFont="1" applyFill="1" applyAlignment="1">
      <alignment horizontal="right" vertical="top" wrapText="1"/>
    </xf>
    <xf numFmtId="0" fontId="12" fillId="0" borderId="0" xfId="0" applyFont="1"/>
    <xf numFmtId="0" fontId="5" fillId="0" borderId="0" xfId="0" applyFont="1"/>
    <xf numFmtId="165" fontId="10" fillId="2" borderId="1" xfId="8" applyFont="1" applyFill="1" applyBorder="1" applyAlignment="1">
      <alignment vertical="center"/>
    </xf>
    <xf numFmtId="4" fontId="10" fillId="2" borderId="2" xfId="0" applyNumberFormat="1" applyFont="1" applyFill="1" applyBorder="1" applyAlignment="1">
      <alignment horizontal="center" vertical="center" wrapText="1"/>
    </xf>
    <xf numFmtId="0" fontId="27" fillId="2" borderId="0" xfId="9" applyFont="1" applyFill="1" applyAlignment="1">
      <alignment horizontal="center"/>
    </xf>
    <xf numFmtId="0" fontId="29" fillId="2" borderId="0" xfId="0" applyFont="1" applyFill="1" applyAlignment="1">
      <alignment horizontal="left" vertical="center" indent="1"/>
    </xf>
    <xf numFmtId="0" fontId="29" fillId="2" borderId="4" xfId="0" applyFont="1" applyFill="1" applyBorder="1" applyAlignment="1">
      <alignment horizontal="left" vertical="center" indent="1"/>
    </xf>
    <xf numFmtId="0" fontId="29" fillId="2" borderId="5" xfId="0" applyFont="1" applyFill="1" applyBorder="1" applyAlignment="1">
      <alignment horizontal="left" vertical="center" indent="1"/>
    </xf>
    <xf numFmtId="0" fontId="29" fillId="2" borderId="6" xfId="0" applyFont="1" applyFill="1" applyBorder="1" applyAlignment="1">
      <alignment horizontal="left" vertical="center" indent="1"/>
    </xf>
    <xf numFmtId="0" fontId="29" fillId="2" borderId="5" xfId="0" applyFont="1" applyFill="1" applyBorder="1" applyAlignment="1">
      <alignment horizontal="left" indent="1"/>
    </xf>
    <xf numFmtId="0" fontId="29" fillId="2" borderId="6" xfId="0" applyFont="1" applyFill="1" applyBorder="1" applyAlignment="1">
      <alignment horizontal="left" indent="1"/>
    </xf>
    <xf numFmtId="0" fontId="29" fillId="2" borderId="3" xfId="0" applyFont="1" applyFill="1" applyBorder="1" applyAlignment="1">
      <alignment horizontal="left" vertical="center" indent="1"/>
    </xf>
    <xf numFmtId="0" fontId="29" fillId="4" borderId="4" xfId="0" applyFont="1" applyFill="1" applyBorder="1" applyAlignment="1">
      <alignment horizontal="left" vertical="center" indent="1"/>
    </xf>
    <xf numFmtId="0" fontId="29" fillId="4" borderId="5" xfId="0" applyFont="1" applyFill="1" applyBorder="1" applyAlignment="1">
      <alignment horizontal="left" vertical="center" indent="1"/>
    </xf>
    <xf numFmtId="0" fontId="29" fillId="4" borderId="6" xfId="0" applyFont="1" applyFill="1" applyBorder="1" applyAlignment="1">
      <alignment horizontal="left" vertical="center" indent="1"/>
    </xf>
    <xf numFmtId="0" fontId="0" fillId="4" borderId="6" xfId="0" applyFill="1" applyBorder="1" applyAlignment="1">
      <alignment horizontal="left" indent="1"/>
    </xf>
    <xf numFmtId="0" fontId="30" fillId="2" borderId="0" xfId="0" applyFont="1" applyFill="1"/>
    <xf numFmtId="0" fontId="31" fillId="2" borderId="0" xfId="0" applyFont="1" applyFill="1" applyAlignment="1">
      <alignment horizontal="left" vertical="center" indent="1"/>
    </xf>
    <xf numFmtId="0" fontId="15" fillId="2" borderId="5" xfId="0" applyFont="1" applyFill="1" applyBorder="1"/>
    <xf numFmtId="0" fontId="29" fillId="2" borderId="0" xfId="0" applyFont="1" applyFill="1" applyAlignment="1">
      <alignment horizontal="center" vertical="center"/>
    </xf>
    <xf numFmtId="4" fontId="9" fillId="2" borderId="0" xfId="0" applyNumberFormat="1" applyFont="1" applyFill="1"/>
    <xf numFmtId="0" fontId="0" fillId="2" borderId="0" xfId="0" applyFill="1" applyAlignment="1">
      <alignment vertical="center" wrapText="1"/>
    </xf>
    <xf numFmtId="4" fontId="6" fillId="2" borderId="0" xfId="0" applyNumberFormat="1" applyFont="1" applyFill="1" applyAlignment="1">
      <alignment horizontal="right" vertical="top" wrapText="1"/>
    </xf>
    <xf numFmtId="4" fontId="7" fillId="2" borderId="0" xfId="0" applyNumberFormat="1" applyFont="1" applyFill="1" applyAlignment="1">
      <alignment vertical="center" wrapText="1"/>
    </xf>
    <xf numFmtId="4" fontId="7" fillId="2" borderId="0" xfId="0" applyNumberFormat="1" applyFont="1" applyFill="1"/>
    <xf numFmtId="0" fontId="9" fillId="2" borderId="0" xfId="0" applyFont="1" applyFill="1" applyAlignment="1">
      <alignment vertical="center"/>
    </xf>
    <xf numFmtId="4" fontId="0" fillId="2" borderId="0" xfId="0" applyNumberFormat="1" applyFill="1" applyAlignment="1">
      <alignment horizontal="center"/>
    </xf>
    <xf numFmtId="172" fontId="14" fillId="2" borderId="7" xfId="0" applyNumberFormat="1" applyFont="1" applyFill="1" applyBorder="1" applyAlignment="1">
      <alignment horizontal="center" vertical="center" wrapText="1"/>
    </xf>
    <xf numFmtId="3" fontId="14" fillId="2" borderId="7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3" fontId="10" fillId="2" borderId="7" xfId="0" applyNumberFormat="1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 wrapText="1"/>
    </xf>
    <xf numFmtId="4" fontId="33" fillId="2" borderId="7" xfId="0" applyNumberFormat="1" applyFont="1" applyFill="1" applyBorder="1" applyAlignment="1">
      <alignment horizontal="center" vertical="center" wrapText="1"/>
    </xf>
    <xf numFmtId="3" fontId="33" fillId="2" borderId="7" xfId="0" applyNumberFormat="1" applyFont="1" applyFill="1" applyBorder="1" applyAlignment="1">
      <alignment horizontal="center" vertical="center" wrapText="1"/>
    </xf>
    <xf numFmtId="4" fontId="33" fillId="2" borderId="7" xfId="0" applyNumberFormat="1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/>
    </xf>
    <xf numFmtId="0" fontId="35" fillId="2" borderId="7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center" vertical="center"/>
    </xf>
    <xf numFmtId="0" fontId="33" fillId="0" borderId="7" xfId="0" applyFont="1" applyBorder="1" applyAlignment="1">
      <alignment horizontal="center" vertical="center" wrapText="1"/>
    </xf>
    <xf numFmtId="172" fontId="35" fillId="2" borderId="7" xfId="0" applyNumberFormat="1" applyFont="1" applyFill="1" applyBorder="1" applyAlignment="1">
      <alignment horizontal="center" vertical="center"/>
    </xf>
    <xf numFmtId="3" fontId="35" fillId="2" borderId="7" xfId="0" applyNumberFormat="1" applyFont="1" applyFill="1" applyBorder="1" applyAlignment="1">
      <alignment horizontal="center" vertical="center"/>
    </xf>
    <xf numFmtId="4" fontId="33" fillId="2" borderId="7" xfId="8" applyNumberFormat="1" applyFont="1" applyFill="1" applyBorder="1" applyAlignment="1">
      <alignment vertical="center"/>
    </xf>
    <xf numFmtId="4" fontId="35" fillId="2" borderId="7" xfId="0" applyNumberFormat="1" applyFont="1" applyFill="1" applyBorder="1" applyAlignment="1">
      <alignment horizontal="center" vertical="center"/>
    </xf>
    <xf numFmtId="4" fontId="35" fillId="2" borderId="7" xfId="0" applyNumberFormat="1" applyFont="1" applyFill="1" applyBorder="1" applyAlignment="1">
      <alignment horizontal="center" vertical="center" wrapText="1"/>
    </xf>
    <xf numFmtId="2" fontId="35" fillId="2" borderId="7" xfId="0" applyNumberFormat="1" applyFont="1" applyFill="1" applyBorder="1" applyAlignment="1">
      <alignment vertical="center"/>
    </xf>
    <xf numFmtId="172" fontId="33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7" xfId="0" applyNumberFormat="1" applyFont="1" applyFill="1" applyBorder="1" applyAlignment="1">
      <alignment horizontal="center" vertical="center"/>
    </xf>
    <xf numFmtId="0" fontId="33" fillId="0" borderId="7" xfId="0" applyFont="1" applyBorder="1" applyAlignment="1">
      <alignment horizontal="left" vertical="center" wrapText="1"/>
    </xf>
    <xf numFmtId="49" fontId="35" fillId="2" borderId="7" xfId="0" applyNumberFormat="1" applyFont="1" applyFill="1" applyBorder="1" applyAlignment="1">
      <alignment horizontal="center" vertical="center"/>
    </xf>
    <xf numFmtId="167" fontId="35" fillId="2" borderId="7" xfId="0" applyNumberFormat="1" applyFont="1" applyFill="1" applyBorder="1" applyAlignment="1">
      <alignment horizontal="center" vertical="center"/>
    </xf>
    <xf numFmtId="3" fontId="35" fillId="0" borderId="7" xfId="0" applyNumberFormat="1" applyFont="1" applyBorder="1" applyAlignment="1">
      <alignment horizontal="center" vertical="center"/>
    </xf>
    <xf numFmtId="4" fontId="35" fillId="0" borderId="7" xfId="0" applyNumberFormat="1" applyFont="1" applyBorder="1" applyAlignment="1">
      <alignment horizontal="center" vertical="center"/>
    </xf>
    <xf numFmtId="2" fontId="35" fillId="0" borderId="7" xfId="0" applyNumberFormat="1" applyFont="1" applyBorder="1" applyAlignment="1">
      <alignment horizontal="center" vertical="center"/>
    </xf>
    <xf numFmtId="2" fontId="35" fillId="2" borderId="7" xfId="0" applyNumberFormat="1" applyFont="1" applyFill="1" applyBorder="1" applyAlignment="1">
      <alignment horizontal="center" vertical="center"/>
    </xf>
    <xf numFmtId="172" fontId="4" fillId="2" borderId="7" xfId="0" applyNumberFormat="1" applyFont="1" applyFill="1" applyBorder="1" applyAlignment="1">
      <alignment horizontal="center" vertical="center" wrapText="1"/>
    </xf>
    <xf numFmtId="172" fontId="4" fillId="2" borderId="7" xfId="0" applyNumberFormat="1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vertical="center" wrapText="1"/>
    </xf>
    <xf numFmtId="0" fontId="35" fillId="0" borderId="7" xfId="0" applyFont="1" applyBorder="1" applyAlignment="1">
      <alignment horizontal="left" vertical="center"/>
    </xf>
    <xf numFmtId="0" fontId="35" fillId="0" borderId="7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 wrapText="1"/>
    </xf>
    <xf numFmtId="172" fontId="35" fillId="0" borderId="7" xfId="8" applyNumberFormat="1" applyFont="1" applyFill="1" applyBorder="1" applyAlignment="1">
      <alignment horizontal="center" vertical="center"/>
    </xf>
    <xf numFmtId="2" fontId="33" fillId="0" borderId="7" xfId="0" applyNumberFormat="1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172" fontId="33" fillId="0" borderId="7" xfId="8" applyNumberFormat="1" applyFont="1" applyBorder="1" applyAlignment="1">
      <alignment horizontal="center" vertical="center"/>
    </xf>
    <xf numFmtId="3" fontId="33" fillId="0" borderId="7" xfId="0" applyNumberFormat="1" applyFont="1" applyBorder="1" applyAlignment="1">
      <alignment horizontal="center" vertical="center"/>
    </xf>
    <xf numFmtId="165" fontId="33" fillId="3" borderId="7" xfId="0" applyNumberFormat="1" applyFont="1" applyFill="1" applyBorder="1" applyAlignment="1">
      <alignment horizontal="center" vertical="center"/>
    </xf>
    <xf numFmtId="0" fontId="35" fillId="0" borderId="7" xfId="0" applyFont="1" applyBorder="1" applyAlignment="1">
      <alignment horizontal="left" vertical="center" wrapText="1"/>
    </xf>
    <xf numFmtId="172" fontId="35" fillId="0" borderId="7" xfId="8" applyNumberFormat="1" applyFont="1" applyBorder="1" applyAlignment="1">
      <alignment horizontal="center" vertical="center"/>
    </xf>
    <xf numFmtId="3" fontId="35" fillId="0" borderId="7" xfId="0" applyNumberFormat="1" applyFont="1" applyBorder="1" applyAlignment="1">
      <alignment horizontal="center" vertical="center" wrapText="1"/>
    </xf>
    <xf numFmtId="2" fontId="35" fillId="3" borderId="7" xfId="0" applyNumberFormat="1" applyFont="1" applyFill="1" applyBorder="1" applyAlignment="1">
      <alignment horizontal="center" vertical="center"/>
    </xf>
    <xf numFmtId="172" fontId="35" fillId="0" borderId="7" xfId="0" applyNumberFormat="1" applyFont="1" applyBorder="1" applyAlignment="1">
      <alignment horizontal="center" vertical="center" wrapText="1"/>
    </xf>
    <xf numFmtId="2" fontId="35" fillId="0" borderId="7" xfId="0" applyNumberFormat="1" applyFont="1" applyBorder="1" applyAlignment="1">
      <alignment horizontal="center" vertical="center" wrapText="1"/>
    </xf>
    <xf numFmtId="172" fontId="35" fillId="0" borderId="7" xfId="0" applyNumberFormat="1" applyFont="1" applyBorder="1" applyAlignment="1">
      <alignment horizontal="center" vertical="center"/>
    </xf>
    <xf numFmtId="172" fontId="35" fillId="0" borderId="7" xfId="8" applyNumberFormat="1" applyFont="1" applyBorder="1" applyAlignment="1">
      <alignment horizontal="center" vertical="center" wrapText="1"/>
    </xf>
    <xf numFmtId="2" fontId="35" fillId="0" borderId="7" xfId="8" applyNumberFormat="1" applyFont="1" applyBorder="1" applyAlignment="1">
      <alignment horizontal="center" vertical="center"/>
    </xf>
    <xf numFmtId="4" fontId="35" fillId="0" borderId="7" xfId="8" applyNumberFormat="1" applyFont="1" applyBorder="1" applyAlignment="1">
      <alignment horizontal="center" vertical="center"/>
    </xf>
    <xf numFmtId="3" fontId="35" fillId="2" borderId="7" xfId="0" applyNumberFormat="1" applyFont="1" applyFill="1" applyBorder="1" applyAlignment="1">
      <alignment horizontal="center" vertical="center" wrapText="1"/>
    </xf>
    <xf numFmtId="3" fontId="33" fillId="2" borderId="7" xfId="0" applyNumberFormat="1" applyFont="1" applyFill="1" applyBorder="1" applyAlignment="1">
      <alignment horizontal="center" vertical="center"/>
    </xf>
    <xf numFmtId="0" fontId="36" fillId="2" borderId="7" xfId="10" applyFont="1" applyFill="1" applyBorder="1" applyAlignment="1">
      <alignment horizontal="center" vertical="center" wrapText="1"/>
    </xf>
    <xf numFmtId="4" fontId="36" fillId="2" borderId="7" xfId="0" applyNumberFormat="1" applyFont="1" applyFill="1" applyBorder="1" applyAlignment="1">
      <alignment horizontal="center" vertical="center"/>
    </xf>
    <xf numFmtId="0" fontId="36" fillId="2" borderId="7" xfId="0" applyFont="1" applyFill="1" applyBorder="1" applyAlignment="1">
      <alignment horizontal="center" vertical="center"/>
    </xf>
    <xf numFmtId="172" fontId="36" fillId="2" borderId="7" xfId="0" applyNumberFormat="1" applyFont="1" applyFill="1" applyBorder="1" applyAlignment="1">
      <alignment horizontal="center" vertical="center"/>
    </xf>
    <xf numFmtId="3" fontId="36" fillId="2" borderId="7" xfId="0" applyNumberFormat="1" applyFont="1" applyFill="1" applyBorder="1" applyAlignment="1">
      <alignment horizontal="center" vertical="center"/>
    </xf>
    <xf numFmtId="0" fontId="36" fillId="2" borderId="7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169" fontId="38" fillId="2" borderId="7" xfId="8" applyNumberFormat="1" applyFont="1" applyFill="1" applyBorder="1" applyAlignment="1" applyProtection="1">
      <alignment horizontal="left" vertical="center"/>
    </xf>
    <xf numFmtId="0" fontId="35" fillId="2" borderId="7" xfId="8" applyNumberFormat="1" applyFont="1" applyFill="1" applyBorder="1" applyAlignment="1" applyProtection="1">
      <alignment horizontal="center" vertical="center"/>
    </xf>
    <xf numFmtId="170" fontId="35" fillId="2" borderId="7" xfId="8" applyNumberFormat="1" applyFont="1" applyFill="1" applyBorder="1" applyAlignment="1" applyProtection="1">
      <alignment vertical="center"/>
    </xf>
    <xf numFmtId="4" fontId="38" fillId="2" borderId="7" xfId="8" applyNumberFormat="1" applyFont="1" applyFill="1" applyBorder="1" applyAlignment="1" applyProtection="1">
      <alignment horizontal="center" vertical="center"/>
    </xf>
    <xf numFmtId="170" fontId="35" fillId="2" borderId="7" xfId="8" applyNumberFormat="1" applyFont="1" applyFill="1" applyBorder="1" applyAlignment="1" applyProtection="1">
      <alignment horizontal="center" vertical="center"/>
    </xf>
    <xf numFmtId="4" fontId="35" fillId="2" borderId="7" xfId="0" applyNumberFormat="1" applyFont="1" applyFill="1" applyBorder="1" applyAlignment="1">
      <alignment horizontal="center" vertical="center" wrapText="1" shrinkToFit="1"/>
    </xf>
    <xf numFmtId="0" fontId="35" fillId="2" borderId="7" xfId="0" applyFont="1" applyFill="1" applyBorder="1" applyAlignment="1">
      <alignment horizontal="left" vertical="center" wrapText="1" shrinkToFit="1"/>
    </xf>
    <xf numFmtId="0" fontId="35" fillId="2" borderId="7" xfId="0" applyFont="1" applyFill="1" applyBorder="1" applyAlignment="1">
      <alignment horizontal="center" vertical="center" wrapText="1" shrinkToFit="1"/>
    </xf>
    <xf numFmtId="0" fontId="35" fillId="2" borderId="7" xfId="0" applyFont="1" applyFill="1" applyBorder="1" applyAlignment="1">
      <alignment horizontal="left" vertical="center"/>
    </xf>
    <xf numFmtId="1" fontId="4" fillId="2" borderId="7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5" fillId="2" borderId="7" xfId="0" applyFont="1" applyFill="1" applyBorder="1" applyAlignment="1" applyProtection="1">
      <alignment horizontal="center" vertical="center" wrapText="1"/>
      <protection locked="0"/>
    </xf>
    <xf numFmtId="0" fontId="39" fillId="2" borderId="7" xfId="0" applyFont="1" applyFill="1" applyBorder="1" applyAlignment="1">
      <alignment horizontal="left" vertical="center"/>
    </xf>
    <xf numFmtId="172" fontId="33" fillId="2" borderId="7" xfId="0" applyNumberFormat="1" applyFont="1" applyFill="1" applyBorder="1" applyAlignment="1">
      <alignment horizontal="center" vertical="center" wrapText="1"/>
    </xf>
    <xf numFmtId="172" fontId="35" fillId="2" borderId="7" xfId="0" applyNumberFormat="1" applyFont="1" applyFill="1" applyBorder="1" applyAlignment="1">
      <alignment horizontal="center" vertical="center" wrapText="1"/>
    </xf>
    <xf numFmtId="0" fontId="37" fillId="2" borderId="7" xfId="0" applyFont="1" applyFill="1" applyBorder="1" applyAlignment="1">
      <alignment horizontal="center" vertical="center"/>
    </xf>
    <xf numFmtId="166" fontId="33" fillId="2" borderId="7" xfId="0" applyNumberFormat="1" applyFont="1" applyFill="1" applyBorder="1" applyAlignment="1">
      <alignment vertical="center" wrapText="1"/>
    </xf>
    <xf numFmtId="1" fontId="33" fillId="2" borderId="7" xfId="0" applyNumberFormat="1" applyFont="1" applyFill="1" applyBorder="1" applyAlignment="1">
      <alignment horizontal="center" vertical="center" wrapText="1"/>
    </xf>
    <xf numFmtId="49" fontId="33" fillId="2" borderId="7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4" fontId="8" fillId="2" borderId="7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vertical="center"/>
    </xf>
    <xf numFmtId="4" fontId="20" fillId="2" borderId="7" xfId="0" applyNumberFormat="1" applyFont="1" applyFill="1" applyBorder="1" applyAlignment="1">
      <alignment horizontal="center" vertical="center"/>
    </xf>
    <xf numFmtId="3" fontId="20" fillId="2" borderId="7" xfId="0" applyNumberFormat="1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left" vertical="center" wrapText="1"/>
    </xf>
    <xf numFmtId="4" fontId="18" fillId="2" borderId="7" xfId="0" applyNumberFormat="1" applyFont="1" applyFill="1" applyBorder="1" applyAlignment="1">
      <alignment horizontal="center" vertical="center" wrapText="1"/>
    </xf>
    <xf numFmtId="3" fontId="18" fillId="2" borderId="7" xfId="0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4" fontId="18" fillId="2" borderId="7" xfId="0" applyNumberFormat="1" applyFont="1" applyFill="1" applyBorder="1" applyAlignment="1">
      <alignment horizontal="center" vertical="center"/>
    </xf>
    <xf numFmtId="3" fontId="18" fillId="2" borderId="7" xfId="0" applyNumberFormat="1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165" fontId="18" fillId="2" borderId="7" xfId="8" applyFont="1" applyFill="1" applyBorder="1" applyAlignment="1">
      <alignment horizontal="center" vertical="center"/>
    </xf>
    <xf numFmtId="4" fontId="42" fillId="2" borderId="7" xfId="0" applyNumberFormat="1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left" vertical="center" wrapText="1"/>
    </xf>
    <xf numFmtId="1" fontId="18" fillId="2" borderId="7" xfId="0" applyNumberFormat="1" applyFont="1" applyFill="1" applyBorder="1" applyAlignment="1">
      <alignment horizontal="center" vertical="center" wrapText="1"/>
    </xf>
    <xf numFmtId="2" fontId="18" fillId="2" borderId="7" xfId="0" applyNumberFormat="1" applyFont="1" applyFill="1" applyBorder="1" applyAlignment="1">
      <alignment horizontal="center" vertical="center"/>
    </xf>
    <xf numFmtId="4" fontId="17" fillId="2" borderId="7" xfId="0" applyNumberFormat="1" applyFont="1" applyFill="1" applyBorder="1" applyAlignment="1">
      <alignment horizontal="center" vertical="center" wrapText="1"/>
    </xf>
    <xf numFmtId="4" fontId="17" fillId="2" borderId="7" xfId="0" applyNumberFormat="1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3" fontId="17" fillId="2" borderId="7" xfId="0" applyNumberFormat="1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vertical="center" wrapText="1"/>
    </xf>
    <xf numFmtId="4" fontId="17" fillId="0" borderId="7" xfId="0" applyNumberFormat="1" applyFont="1" applyBorder="1" applyAlignment="1">
      <alignment horizontal="center" vertical="center"/>
    </xf>
    <xf numFmtId="0" fontId="17" fillId="2" borderId="7" xfId="0" applyFont="1" applyFill="1" applyBorder="1" applyAlignment="1">
      <alignment vertical="center"/>
    </xf>
    <xf numFmtId="0" fontId="20" fillId="2" borderId="7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left" vertical="center"/>
    </xf>
    <xf numFmtId="0" fontId="18" fillId="0" borderId="7" xfId="0" applyFont="1" applyBorder="1" applyAlignment="1">
      <alignment horizontal="left" vertical="center" wrapText="1"/>
    </xf>
    <xf numFmtId="4" fontId="18" fillId="3" borderId="7" xfId="8" applyNumberFormat="1" applyFont="1" applyFill="1" applyBorder="1" applyAlignment="1">
      <alignment horizontal="center" vertical="center"/>
    </xf>
    <xf numFmtId="4" fontId="16" fillId="0" borderId="7" xfId="0" applyNumberFormat="1" applyFont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4" fontId="17" fillId="0" borderId="7" xfId="8" applyNumberFormat="1" applyFont="1" applyBorder="1" applyAlignment="1">
      <alignment horizontal="center" vertical="center"/>
    </xf>
    <xf numFmtId="171" fontId="18" fillId="0" borderId="7" xfId="8" applyNumberFormat="1" applyFont="1" applyFill="1" applyBorder="1" applyAlignment="1">
      <alignment horizontal="center" vertical="center"/>
    </xf>
    <xf numFmtId="3" fontId="16" fillId="0" borderId="7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4" fontId="18" fillId="0" borderId="7" xfId="0" applyNumberFormat="1" applyFont="1" applyBorder="1" applyAlignment="1">
      <alignment horizontal="center" vertical="center"/>
    </xf>
    <xf numFmtId="4" fontId="18" fillId="0" borderId="7" xfId="8" applyNumberFormat="1" applyFont="1" applyFill="1" applyBorder="1" applyAlignment="1">
      <alignment horizontal="center" vertical="center"/>
    </xf>
    <xf numFmtId="4" fontId="16" fillId="0" borderId="7" xfId="8" applyNumberFormat="1" applyFont="1" applyFill="1" applyBorder="1" applyAlignment="1">
      <alignment horizontal="center" vertical="center"/>
    </xf>
    <xf numFmtId="3" fontId="16" fillId="2" borderId="7" xfId="0" applyNumberFormat="1" applyFont="1" applyFill="1" applyBorder="1" applyAlignment="1">
      <alignment horizontal="center" vertical="center"/>
    </xf>
    <xf numFmtId="0" fontId="16" fillId="0" borderId="7" xfId="0" applyFont="1" applyBorder="1" applyAlignment="1">
      <alignment horizontal="left" vertical="center" wrapText="1"/>
    </xf>
    <xf numFmtId="4" fontId="16" fillId="2" borderId="7" xfId="0" applyNumberFormat="1" applyFont="1" applyFill="1" applyBorder="1" applyAlignment="1">
      <alignment horizontal="center" vertical="center"/>
    </xf>
    <xf numFmtId="4" fontId="20" fillId="0" borderId="7" xfId="0" applyNumberFormat="1" applyFont="1" applyBorder="1" applyAlignment="1">
      <alignment horizontal="center" vertical="center"/>
    </xf>
    <xf numFmtId="4" fontId="16" fillId="2" borderId="7" xfId="9" applyNumberFormat="1" applyFont="1" applyFill="1" applyBorder="1" applyAlignment="1">
      <alignment horizontal="center" vertical="center"/>
    </xf>
    <xf numFmtId="166" fontId="17" fillId="2" borderId="7" xfId="0" applyNumberFormat="1" applyFont="1" applyFill="1" applyBorder="1" applyAlignment="1">
      <alignment vertical="center" wrapText="1"/>
    </xf>
    <xf numFmtId="4" fontId="16" fillId="2" borderId="7" xfId="0" applyNumberFormat="1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left" vertical="center" wrapText="1"/>
    </xf>
    <xf numFmtId="3" fontId="16" fillId="2" borderId="7" xfId="0" applyNumberFormat="1" applyFont="1" applyFill="1" applyBorder="1" applyAlignment="1">
      <alignment horizontal="center" vertical="center" wrapText="1"/>
    </xf>
    <xf numFmtId="2" fontId="17" fillId="2" borderId="7" xfId="0" applyNumberFormat="1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left" vertical="center"/>
    </xf>
    <xf numFmtId="172" fontId="9" fillId="2" borderId="7" xfId="0" applyNumberFormat="1" applyFont="1" applyFill="1" applyBorder="1" applyAlignment="1">
      <alignment horizontal="center" vertical="center" wrapText="1"/>
    </xf>
    <xf numFmtId="3" fontId="8" fillId="2" borderId="7" xfId="0" applyNumberFormat="1" applyFont="1" applyFill="1" applyBorder="1" applyAlignment="1">
      <alignment horizontal="center" vertical="center"/>
    </xf>
    <xf numFmtId="4" fontId="8" fillId="2" borderId="7" xfId="0" applyNumberFormat="1" applyFont="1" applyFill="1" applyBorder="1" applyAlignment="1">
      <alignment horizontal="center" vertical="center"/>
    </xf>
    <xf numFmtId="0" fontId="34" fillId="2" borderId="7" xfId="0" applyFont="1" applyFill="1" applyBorder="1" applyAlignment="1">
      <alignment horizontal="center" vertical="center"/>
    </xf>
    <xf numFmtId="3" fontId="34" fillId="2" borderId="7" xfId="0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4" fontId="9" fillId="2" borderId="7" xfId="0" applyNumberFormat="1" applyFont="1" applyFill="1" applyBorder="1" applyAlignment="1">
      <alignment horizontal="center" vertical="center"/>
    </xf>
    <xf numFmtId="3" fontId="9" fillId="2" borderId="7" xfId="0" applyNumberFormat="1" applyFont="1" applyFill="1" applyBorder="1" applyAlignment="1">
      <alignment horizontal="center" vertical="center"/>
    </xf>
    <xf numFmtId="4" fontId="9" fillId="2" borderId="7" xfId="0" applyNumberFormat="1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/>
    </xf>
    <xf numFmtId="172" fontId="9" fillId="2" borderId="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/>
    </xf>
    <xf numFmtId="2" fontId="20" fillId="2" borderId="7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 wrapText="1"/>
    </xf>
    <xf numFmtId="0" fontId="35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center" vertical="center" textRotation="90" wrapText="1"/>
    </xf>
    <xf numFmtId="4" fontId="14" fillId="2" borderId="7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4" fontId="14" fillId="2" borderId="7" xfId="0" applyNumberFormat="1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vertical="center" wrapText="1"/>
    </xf>
    <xf numFmtId="0" fontId="33" fillId="2" borderId="7" xfId="0" applyFont="1" applyFill="1" applyBorder="1" applyAlignment="1">
      <alignment horizontal="left" vertical="center" wrapText="1"/>
    </xf>
    <xf numFmtId="4" fontId="44" fillId="2" borderId="1" xfId="0" applyNumberFormat="1" applyFont="1" applyFill="1" applyBorder="1" applyAlignment="1">
      <alignment horizontal="center" vertical="center" wrapText="1"/>
    </xf>
    <xf numFmtId="4" fontId="10" fillId="5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45" fillId="2" borderId="0" xfId="0" applyFont="1" applyFill="1" applyAlignment="1">
      <alignment horizontal="center" vertical="center" wrapText="1"/>
    </xf>
    <xf numFmtId="0" fontId="44" fillId="2" borderId="0" xfId="0" applyFont="1" applyFill="1" applyAlignment="1">
      <alignment horizontal="center" vertical="center" wrapText="1"/>
    </xf>
    <xf numFmtId="0" fontId="44" fillId="2" borderId="0" xfId="0" applyFont="1" applyFill="1" applyAlignment="1">
      <alignment horizontal="center" vertical="center"/>
    </xf>
    <xf numFmtId="4" fontId="28" fillId="2" borderId="0" xfId="0" applyNumberFormat="1" applyFont="1" applyFill="1" applyAlignment="1">
      <alignment horizontal="center" vertical="center"/>
    </xf>
    <xf numFmtId="0" fontId="22" fillId="2" borderId="0" xfId="0" applyFont="1" applyFill="1"/>
    <xf numFmtId="0" fontId="46" fillId="2" borderId="7" xfId="0" applyFont="1" applyFill="1" applyBorder="1" applyAlignment="1">
      <alignment horizontal="center" vertical="center" wrapText="1"/>
    </xf>
    <xf numFmtId="0" fontId="46" fillId="2" borderId="7" xfId="0" applyFont="1" applyFill="1" applyBorder="1" applyAlignment="1">
      <alignment horizontal="center" vertical="center"/>
    </xf>
    <xf numFmtId="4" fontId="47" fillId="2" borderId="7" xfId="0" applyNumberFormat="1" applyFont="1" applyFill="1" applyBorder="1" applyAlignment="1">
      <alignment horizontal="center" vertical="center"/>
    </xf>
    <xf numFmtId="4" fontId="26" fillId="2" borderId="7" xfId="0" applyNumberFormat="1" applyFont="1" applyFill="1" applyBorder="1" applyAlignment="1">
      <alignment horizontal="center" vertical="center" wrapText="1"/>
    </xf>
    <xf numFmtId="2" fontId="26" fillId="2" borderId="7" xfId="0" applyNumberFormat="1" applyFont="1" applyFill="1" applyBorder="1" applyAlignment="1">
      <alignment horizontal="center" vertical="center"/>
    </xf>
    <xf numFmtId="4" fontId="0" fillId="2" borderId="7" xfId="0" applyNumberFormat="1" applyFill="1" applyBorder="1" applyAlignment="1">
      <alignment horizontal="center" vertical="center"/>
    </xf>
    <xf numFmtId="4" fontId="48" fillId="0" borderId="7" xfId="0" applyNumberFormat="1" applyFont="1" applyBorder="1" applyAlignment="1">
      <alignment horizontal="center" vertical="center"/>
    </xf>
    <xf numFmtId="4" fontId="26" fillId="3" borderId="7" xfId="8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4" fontId="26" fillId="2" borderId="7" xfId="0" applyNumberFormat="1" applyFont="1" applyFill="1" applyBorder="1" applyAlignment="1">
      <alignment horizontal="center" vertical="center"/>
    </xf>
    <xf numFmtId="4" fontId="48" fillId="2" borderId="7" xfId="0" applyNumberFormat="1" applyFont="1" applyFill="1" applyBorder="1" applyAlignment="1">
      <alignment horizontal="center" vertical="center"/>
    </xf>
    <xf numFmtId="4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4" fontId="10" fillId="5" borderId="8" xfId="0" applyNumberFormat="1" applyFont="1" applyFill="1" applyBorder="1" applyAlignment="1">
      <alignment horizontal="center" vertical="center" wrapText="1"/>
    </xf>
    <xf numFmtId="4" fontId="10" fillId="2" borderId="9" xfId="0" applyNumberFormat="1" applyFont="1" applyFill="1" applyBorder="1" applyAlignment="1">
      <alignment horizontal="center" vertical="center" wrapText="1"/>
    </xf>
    <xf numFmtId="0" fontId="35" fillId="6" borderId="7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35" fillId="6" borderId="7" xfId="0" applyFont="1" applyFill="1" applyBorder="1" applyAlignment="1">
      <alignment horizontal="center" vertical="center"/>
    </xf>
    <xf numFmtId="0" fontId="33" fillId="6" borderId="7" xfId="0" applyFont="1" applyFill="1" applyBorder="1" applyAlignment="1">
      <alignment horizontal="center" vertical="center" wrapText="1"/>
    </xf>
    <xf numFmtId="172" fontId="35" fillId="6" borderId="7" xfId="0" applyNumberFormat="1" applyFont="1" applyFill="1" applyBorder="1" applyAlignment="1">
      <alignment horizontal="center" vertical="center"/>
    </xf>
    <xf numFmtId="3" fontId="35" fillId="6" borderId="7" xfId="0" applyNumberFormat="1" applyFont="1" applyFill="1" applyBorder="1" applyAlignment="1">
      <alignment horizontal="center" vertical="center"/>
    </xf>
    <xf numFmtId="4" fontId="33" fillId="6" borderId="7" xfId="8" applyNumberFormat="1" applyFont="1" applyFill="1" applyBorder="1" applyAlignment="1">
      <alignment vertical="center"/>
    </xf>
    <xf numFmtId="4" fontId="35" fillId="6" borderId="7" xfId="0" applyNumberFormat="1" applyFont="1" applyFill="1" applyBorder="1" applyAlignment="1">
      <alignment horizontal="center" vertical="center"/>
    </xf>
    <xf numFmtId="14" fontId="35" fillId="6" borderId="7" xfId="0" applyNumberFormat="1" applyFont="1" applyFill="1" applyBorder="1" applyAlignment="1">
      <alignment horizontal="center" vertical="center"/>
    </xf>
    <xf numFmtId="4" fontId="33" fillId="2" borderId="7" xfId="8" applyNumberFormat="1" applyFont="1" applyFill="1" applyBorder="1" applyAlignment="1">
      <alignment horizontal="center" vertical="center"/>
    </xf>
    <xf numFmtId="0" fontId="35" fillId="7" borderId="7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35" fillId="7" borderId="7" xfId="0" applyFont="1" applyFill="1" applyBorder="1" applyAlignment="1">
      <alignment horizontal="center" vertical="center"/>
    </xf>
    <xf numFmtId="0" fontId="33" fillId="7" borderId="7" xfId="0" applyFont="1" applyFill="1" applyBorder="1" applyAlignment="1">
      <alignment horizontal="center" vertical="center" wrapText="1"/>
    </xf>
    <xf numFmtId="172" fontId="35" fillId="7" borderId="7" xfId="0" applyNumberFormat="1" applyFont="1" applyFill="1" applyBorder="1" applyAlignment="1">
      <alignment horizontal="center" vertical="center"/>
    </xf>
    <xf numFmtId="3" fontId="35" fillId="7" borderId="7" xfId="0" applyNumberFormat="1" applyFont="1" applyFill="1" applyBorder="1" applyAlignment="1">
      <alignment horizontal="center" vertical="center"/>
    </xf>
    <xf numFmtId="4" fontId="33" fillId="7" borderId="7" xfId="8" applyNumberFormat="1" applyFont="1" applyFill="1" applyBorder="1" applyAlignment="1">
      <alignment vertical="center"/>
    </xf>
    <xf numFmtId="4" fontId="35" fillId="7" borderId="7" xfId="0" applyNumberFormat="1" applyFont="1" applyFill="1" applyBorder="1" applyAlignment="1">
      <alignment horizontal="center" vertical="center"/>
    </xf>
    <xf numFmtId="14" fontId="35" fillId="7" borderId="7" xfId="0" applyNumberFormat="1" applyFont="1" applyFill="1" applyBorder="1" applyAlignment="1">
      <alignment horizontal="center" vertical="center"/>
    </xf>
    <xf numFmtId="0" fontId="35" fillId="8" borderId="7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35" fillId="8" borderId="7" xfId="0" applyFont="1" applyFill="1" applyBorder="1" applyAlignment="1">
      <alignment horizontal="center" vertical="center"/>
    </xf>
    <xf numFmtId="0" fontId="33" fillId="8" borderId="7" xfId="0" applyFont="1" applyFill="1" applyBorder="1" applyAlignment="1">
      <alignment horizontal="center" vertical="center" wrapText="1"/>
    </xf>
    <xf numFmtId="172" fontId="35" fillId="8" borderId="7" xfId="0" applyNumberFormat="1" applyFont="1" applyFill="1" applyBorder="1" applyAlignment="1">
      <alignment horizontal="center" vertical="center"/>
    </xf>
    <xf numFmtId="3" fontId="35" fillId="8" borderId="7" xfId="0" applyNumberFormat="1" applyFont="1" applyFill="1" applyBorder="1" applyAlignment="1">
      <alignment horizontal="center" vertical="center"/>
    </xf>
    <xf numFmtId="4" fontId="33" fillId="8" borderId="7" xfId="8" applyNumberFormat="1" applyFont="1" applyFill="1" applyBorder="1" applyAlignment="1">
      <alignment vertical="center"/>
    </xf>
    <xf numFmtId="4" fontId="35" fillId="8" borderId="7" xfId="0" applyNumberFormat="1" applyFont="1" applyFill="1" applyBorder="1" applyAlignment="1">
      <alignment horizontal="center" vertical="center"/>
    </xf>
    <xf numFmtId="14" fontId="35" fillId="8" borderId="7" xfId="0" applyNumberFormat="1" applyFont="1" applyFill="1" applyBorder="1" applyAlignment="1">
      <alignment horizontal="center" vertical="center"/>
    </xf>
    <xf numFmtId="0" fontId="35" fillId="7" borderId="7" xfId="0" applyFont="1" applyFill="1" applyBorder="1" applyAlignment="1">
      <alignment horizontal="left" vertical="center" wrapText="1"/>
    </xf>
    <xf numFmtId="0" fontId="35" fillId="6" borderId="7" xfId="0" applyFont="1" applyFill="1" applyBorder="1" applyAlignment="1">
      <alignment horizontal="left" vertical="center" wrapText="1"/>
    </xf>
    <xf numFmtId="0" fontId="35" fillId="8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center" vertical="center"/>
    </xf>
    <xf numFmtId="172" fontId="4" fillId="7" borderId="7" xfId="0" applyNumberFormat="1" applyFont="1" applyFill="1" applyBorder="1" applyAlignment="1">
      <alignment horizontal="center" vertical="center"/>
    </xf>
    <xf numFmtId="3" fontId="4" fillId="7" borderId="7" xfId="0" applyNumberFormat="1" applyFont="1" applyFill="1" applyBorder="1" applyAlignment="1">
      <alignment horizontal="center" vertical="center"/>
    </xf>
    <xf numFmtId="4" fontId="4" fillId="7" borderId="7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left" vertical="center"/>
    </xf>
    <xf numFmtId="0" fontId="4" fillId="6" borderId="7" xfId="0" applyFont="1" applyFill="1" applyBorder="1" applyAlignment="1">
      <alignment horizontal="center" vertical="center"/>
    </xf>
    <xf numFmtId="172" fontId="4" fillId="6" borderId="7" xfId="0" applyNumberFormat="1" applyFont="1" applyFill="1" applyBorder="1" applyAlignment="1">
      <alignment horizontal="center" vertical="center"/>
    </xf>
    <xf numFmtId="3" fontId="4" fillId="6" borderId="7" xfId="0" applyNumberFormat="1" applyFont="1" applyFill="1" applyBorder="1" applyAlignment="1">
      <alignment horizontal="center" vertical="center"/>
    </xf>
    <xf numFmtId="4" fontId="4" fillId="6" borderId="7" xfId="0" applyNumberFormat="1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left" vertical="center"/>
    </xf>
    <xf numFmtId="0" fontId="4" fillId="8" borderId="7" xfId="0" applyFont="1" applyFill="1" applyBorder="1" applyAlignment="1">
      <alignment horizontal="center" vertical="center"/>
    </xf>
    <xf numFmtId="172" fontId="4" fillId="8" borderId="7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0" fontId="36" fillId="8" borderId="7" xfId="10" applyFont="1" applyFill="1" applyBorder="1" applyAlignment="1">
      <alignment horizontal="center" vertical="center" wrapText="1"/>
    </xf>
    <xf numFmtId="167" fontId="35" fillId="8" borderId="7" xfId="0" applyNumberFormat="1" applyFont="1" applyFill="1" applyBorder="1" applyAlignment="1">
      <alignment horizontal="center" vertical="center"/>
    </xf>
    <xf numFmtId="0" fontId="36" fillId="7" borderId="7" xfId="10" applyFont="1" applyFill="1" applyBorder="1" applyAlignment="1">
      <alignment horizontal="center" vertical="center" wrapText="1"/>
    </xf>
    <xf numFmtId="167" fontId="35" fillId="7" borderId="7" xfId="0" applyNumberFormat="1" applyFont="1" applyFill="1" applyBorder="1" applyAlignment="1">
      <alignment horizontal="center" vertical="center"/>
    </xf>
    <xf numFmtId="0" fontId="36" fillId="6" borderId="7" xfId="10" applyFont="1" applyFill="1" applyBorder="1" applyAlignment="1">
      <alignment horizontal="center" vertical="center" wrapText="1"/>
    </xf>
    <xf numFmtId="167" fontId="35" fillId="6" borderId="7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/>
    </xf>
    <xf numFmtId="0" fontId="4" fillId="8" borderId="7" xfId="0" applyFont="1" applyFill="1" applyBorder="1" applyAlignment="1">
      <alignment vertical="center"/>
    </xf>
    <xf numFmtId="172" fontId="4" fillId="2" borderId="7" xfId="0" applyNumberFormat="1" applyFont="1" applyFill="1" applyBorder="1" applyAlignment="1">
      <alignment horizontal="right" vertical="center"/>
    </xf>
    <xf numFmtId="0" fontId="4" fillId="8" borderId="7" xfId="0" applyFont="1" applyFill="1" applyBorder="1" applyAlignment="1">
      <alignment horizontal="center" vertical="center" wrapText="1"/>
    </xf>
    <xf numFmtId="172" fontId="4" fillId="8" borderId="7" xfId="0" applyNumberFormat="1" applyFont="1" applyFill="1" applyBorder="1" applyAlignment="1">
      <alignment horizontal="center" vertical="center" wrapText="1"/>
    </xf>
    <xf numFmtId="2" fontId="4" fillId="8" borderId="7" xfId="0" applyNumberFormat="1" applyFont="1" applyFill="1" applyBorder="1" applyAlignment="1">
      <alignment horizontal="center" vertical="center" wrapText="1"/>
    </xf>
    <xf numFmtId="3" fontId="4" fillId="8" borderId="7" xfId="0" applyNumberFormat="1" applyFont="1" applyFill="1" applyBorder="1" applyAlignment="1">
      <alignment horizontal="center" vertical="center" wrapText="1"/>
    </xf>
    <xf numFmtId="4" fontId="4" fillId="8" borderId="7" xfId="0" applyNumberFormat="1" applyFont="1" applyFill="1" applyBorder="1" applyAlignment="1">
      <alignment horizontal="center" vertical="center" wrapText="1"/>
    </xf>
    <xf numFmtId="2" fontId="4" fillId="8" borderId="7" xfId="0" applyNumberFormat="1" applyFont="1" applyFill="1" applyBorder="1" applyAlignment="1">
      <alignment horizontal="center" vertical="center"/>
    </xf>
    <xf numFmtId="0" fontId="4" fillId="7" borderId="7" xfId="0" applyFont="1" applyFill="1" applyBorder="1"/>
    <xf numFmtId="0" fontId="4" fillId="7" borderId="7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 vertical="center" wrapText="1"/>
    </xf>
    <xf numFmtId="165" fontId="4" fillId="7" borderId="7" xfId="0" applyNumberFormat="1" applyFont="1" applyFill="1" applyBorder="1"/>
    <xf numFmtId="2" fontId="4" fillId="7" borderId="7" xfId="0" applyNumberFormat="1" applyFont="1" applyFill="1" applyBorder="1" applyAlignment="1">
      <alignment horizontal="center" vertical="center" wrapText="1"/>
    </xf>
    <xf numFmtId="3" fontId="4" fillId="7" borderId="7" xfId="0" applyNumberFormat="1" applyFont="1" applyFill="1" applyBorder="1" applyAlignment="1">
      <alignment horizontal="center" vertical="center" wrapText="1"/>
    </xf>
    <xf numFmtId="4" fontId="4" fillId="7" borderId="7" xfId="0" applyNumberFormat="1" applyFont="1" applyFill="1" applyBorder="1" applyAlignment="1">
      <alignment horizontal="center" vertical="center" wrapText="1"/>
    </xf>
    <xf numFmtId="2" fontId="4" fillId="7" borderId="7" xfId="0" applyNumberFormat="1" applyFont="1" applyFill="1" applyBorder="1" applyAlignment="1">
      <alignment horizontal="center" vertical="center"/>
    </xf>
    <xf numFmtId="0" fontId="35" fillId="7" borderId="13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left" vertical="center"/>
    </xf>
    <xf numFmtId="0" fontId="4" fillId="7" borderId="13" xfId="0" applyFont="1" applyFill="1" applyBorder="1" applyAlignment="1">
      <alignment horizontal="center" vertical="center" wrapText="1"/>
    </xf>
    <xf numFmtId="0" fontId="33" fillId="7" borderId="13" xfId="0" applyFont="1" applyFill="1" applyBorder="1" applyAlignment="1">
      <alignment horizontal="center" vertical="center" wrapText="1"/>
    </xf>
    <xf numFmtId="172" fontId="4" fillId="7" borderId="13" xfId="0" applyNumberFormat="1" applyFont="1" applyFill="1" applyBorder="1" applyAlignment="1">
      <alignment horizontal="center" vertical="center" wrapText="1"/>
    </xf>
    <xf numFmtId="2" fontId="4" fillId="7" borderId="13" xfId="0" applyNumberFormat="1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172" fontId="4" fillId="6" borderId="7" xfId="0" applyNumberFormat="1" applyFont="1" applyFill="1" applyBorder="1" applyAlignment="1">
      <alignment horizontal="center" vertical="center" wrapText="1"/>
    </xf>
    <xf numFmtId="2" fontId="4" fillId="6" borderId="7" xfId="0" applyNumberFormat="1" applyFont="1" applyFill="1" applyBorder="1" applyAlignment="1">
      <alignment horizontal="center" vertical="center" wrapText="1"/>
    </xf>
    <xf numFmtId="3" fontId="4" fillId="6" borderId="7" xfId="0" applyNumberFormat="1" applyFont="1" applyFill="1" applyBorder="1" applyAlignment="1">
      <alignment horizontal="center" vertical="center" wrapText="1"/>
    </xf>
    <xf numFmtId="4" fontId="4" fillId="6" borderId="7" xfId="0" applyNumberFormat="1" applyFont="1" applyFill="1" applyBorder="1" applyAlignment="1">
      <alignment horizontal="center" vertical="center" wrapText="1"/>
    </xf>
    <xf numFmtId="2" fontId="4" fillId="6" borderId="7" xfId="0" applyNumberFormat="1" applyFont="1" applyFill="1" applyBorder="1" applyAlignment="1">
      <alignment horizontal="center" vertical="center"/>
    </xf>
    <xf numFmtId="0" fontId="4" fillId="8" borderId="7" xfId="0" applyFont="1" applyFill="1" applyBorder="1" applyAlignment="1">
      <alignment vertical="center" wrapText="1"/>
    </xf>
    <xf numFmtId="0" fontId="33" fillId="8" borderId="7" xfId="0" applyFont="1" applyFill="1" applyBorder="1" applyAlignment="1">
      <alignment horizontal="center" vertical="center"/>
    </xf>
    <xf numFmtId="4" fontId="33" fillId="8" borderId="7" xfId="0" applyNumberFormat="1" applyFont="1" applyFill="1" applyBorder="1" applyAlignment="1">
      <alignment horizontal="center" vertical="center"/>
    </xf>
    <xf numFmtId="168" fontId="33" fillId="8" borderId="7" xfId="0" applyNumberFormat="1" applyFont="1" applyFill="1" applyBorder="1" applyAlignment="1">
      <alignment horizontal="center" vertical="center"/>
    </xf>
    <xf numFmtId="3" fontId="33" fillId="8" borderId="7" xfId="0" applyNumberFormat="1" applyFont="1" applyFill="1" applyBorder="1" applyAlignment="1">
      <alignment horizontal="center" vertical="center" wrapText="1"/>
    </xf>
    <xf numFmtId="0" fontId="33" fillId="8" borderId="7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33" fillId="6" borderId="7" xfId="0" applyFont="1" applyFill="1" applyBorder="1" applyAlignment="1">
      <alignment horizontal="center" vertical="center"/>
    </xf>
    <xf numFmtId="4" fontId="33" fillId="6" borderId="7" xfId="0" applyNumberFormat="1" applyFont="1" applyFill="1" applyBorder="1" applyAlignment="1">
      <alignment horizontal="center" vertical="center"/>
    </xf>
    <xf numFmtId="168" fontId="33" fillId="6" borderId="7" xfId="0" applyNumberFormat="1" applyFont="1" applyFill="1" applyBorder="1" applyAlignment="1">
      <alignment horizontal="center" vertical="center"/>
    </xf>
    <xf numFmtId="3" fontId="33" fillId="6" borderId="7" xfId="0" applyNumberFormat="1" applyFont="1" applyFill="1" applyBorder="1" applyAlignment="1">
      <alignment horizontal="center" vertical="center" wrapText="1"/>
    </xf>
    <xf numFmtId="0" fontId="33" fillId="6" borderId="7" xfId="0" applyFont="1" applyFill="1" applyBorder="1" applyAlignment="1">
      <alignment vertical="center" wrapText="1"/>
    </xf>
    <xf numFmtId="0" fontId="35" fillId="2" borderId="14" xfId="0" applyFont="1" applyFill="1" applyBorder="1" applyAlignment="1">
      <alignment horizontal="center" vertical="center" wrapText="1"/>
    </xf>
    <xf numFmtId="4" fontId="4" fillId="2" borderId="14" xfId="0" applyNumberFormat="1" applyFont="1" applyFill="1" applyBorder="1" applyAlignment="1">
      <alignment horizontal="center" vertical="center"/>
    </xf>
    <xf numFmtId="0" fontId="33" fillId="6" borderId="7" xfId="0" applyFont="1" applyFill="1" applyBorder="1" applyAlignment="1">
      <alignment vertical="center"/>
    </xf>
    <xf numFmtId="0" fontId="33" fillId="6" borderId="7" xfId="0" applyFont="1" applyFill="1" applyBorder="1"/>
    <xf numFmtId="0" fontId="18" fillId="6" borderId="7" xfId="0" applyFont="1" applyFill="1" applyBorder="1" applyAlignment="1">
      <alignment horizontal="center"/>
    </xf>
    <xf numFmtId="168" fontId="18" fillId="6" borderId="7" xfId="0" applyNumberFormat="1" applyFont="1" applyFill="1" applyBorder="1" applyAlignment="1">
      <alignment horizontal="center"/>
    </xf>
    <xf numFmtId="4" fontId="18" fillId="6" borderId="7" xfId="0" applyNumberFormat="1" applyFont="1" applyFill="1" applyBorder="1" applyAlignment="1">
      <alignment horizontal="center"/>
    </xf>
    <xf numFmtId="4" fontId="4" fillId="2" borderId="14" xfId="0" applyNumberFormat="1" applyFont="1" applyFill="1" applyBorder="1" applyAlignment="1">
      <alignment horizontal="right" vertical="center"/>
    </xf>
    <xf numFmtId="0" fontId="4" fillId="7" borderId="7" xfId="0" applyFont="1" applyFill="1" applyBorder="1" applyAlignment="1">
      <alignment vertical="center" wrapText="1"/>
    </xf>
    <xf numFmtId="0" fontId="33" fillId="7" borderId="7" xfId="0" applyFont="1" applyFill="1" applyBorder="1" applyAlignment="1">
      <alignment horizontal="center" vertical="center"/>
    </xf>
    <xf numFmtId="4" fontId="33" fillId="7" borderId="7" xfId="0" applyNumberFormat="1" applyFont="1" applyFill="1" applyBorder="1" applyAlignment="1">
      <alignment horizontal="center" vertical="center"/>
    </xf>
    <xf numFmtId="168" fontId="33" fillId="7" borderId="7" xfId="0" applyNumberFormat="1" applyFont="1" applyFill="1" applyBorder="1" applyAlignment="1">
      <alignment horizontal="center" vertical="center"/>
    </xf>
    <xf numFmtId="3" fontId="33" fillId="7" borderId="7" xfId="0" applyNumberFormat="1" applyFont="1" applyFill="1" applyBorder="1" applyAlignment="1">
      <alignment horizontal="center" vertical="center" wrapText="1"/>
    </xf>
    <xf numFmtId="0" fontId="33" fillId="7" borderId="7" xfId="0" applyFont="1" applyFill="1" applyBorder="1" applyAlignment="1">
      <alignment vertical="center" wrapText="1"/>
    </xf>
    <xf numFmtId="0" fontId="4" fillId="7" borderId="13" xfId="0" applyFont="1" applyFill="1" applyBorder="1" applyAlignment="1">
      <alignment vertical="center" wrapText="1"/>
    </xf>
    <xf numFmtId="0" fontId="33" fillId="7" borderId="13" xfId="0" applyFont="1" applyFill="1" applyBorder="1" applyAlignment="1">
      <alignment horizontal="center" vertical="center"/>
    </xf>
    <xf numFmtId="4" fontId="33" fillId="7" borderId="13" xfId="0" applyNumberFormat="1" applyFont="1" applyFill="1" applyBorder="1" applyAlignment="1">
      <alignment horizontal="center" vertical="center"/>
    </xf>
    <xf numFmtId="3" fontId="33" fillId="7" borderId="13" xfId="0" applyNumberFormat="1" applyFont="1" applyFill="1" applyBorder="1" applyAlignment="1">
      <alignment horizontal="center" vertical="center" wrapText="1"/>
    </xf>
    <xf numFmtId="4" fontId="33" fillId="7" borderId="13" xfId="8" applyNumberFormat="1" applyFont="1" applyFill="1" applyBorder="1" applyAlignment="1">
      <alignment vertical="center"/>
    </xf>
    <xf numFmtId="0" fontId="33" fillId="7" borderId="7" xfId="0" applyFont="1" applyFill="1" applyBorder="1" applyAlignment="1">
      <alignment vertical="center"/>
    </xf>
    <xf numFmtId="0" fontId="18" fillId="7" borderId="7" xfId="0" applyFont="1" applyFill="1" applyBorder="1" applyAlignment="1">
      <alignment horizontal="center" vertical="center"/>
    </xf>
    <xf numFmtId="168" fontId="18" fillId="7" borderId="7" xfId="0" applyNumberFormat="1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left" vertical="center" wrapText="1"/>
    </xf>
    <xf numFmtId="4" fontId="18" fillId="6" borderId="7" xfId="0" applyNumberFormat="1" applyFont="1" applyFill="1" applyBorder="1" applyAlignment="1">
      <alignment horizontal="center" vertical="center" wrapText="1"/>
    </xf>
    <xf numFmtId="3" fontId="18" fillId="6" borderId="7" xfId="0" applyNumberFormat="1" applyFont="1" applyFill="1" applyBorder="1" applyAlignment="1">
      <alignment horizontal="center" vertical="center" wrapText="1"/>
    </xf>
    <xf numFmtId="4" fontId="26" fillId="6" borderId="7" xfId="0" applyNumberFormat="1" applyFont="1" applyFill="1" applyBorder="1" applyAlignment="1">
      <alignment horizontal="center" vertical="center" wrapText="1"/>
    </xf>
    <xf numFmtId="4" fontId="20" fillId="6" borderId="7" xfId="0" applyNumberFormat="1" applyFont="1" applyFill="1" applyBorder="1" applyAlignment="1">
      <alignment horizontal="center" vertical="center"/>
    </xf>
    <xf numFmtId="4" fontId="28" fillId="6" borderId="0" xfId="0" applyNumberFormat="1" applyFont="1" applyFill="1" applyAlignment="1">
      <alignment horizontal="center" vertical="center"/>
    </xf>
    <xf numFmtId="0" fontId="0" fillId="6" borderId="0" xfId="0" applyFill="1"/>
    <xf numFmtId="0" fontId="17" fillId="6" borderId="7" xfId="0" applyFont="1" applyFill="1" applyBorder="1" applyAlignment="1">
      <alignment vertical="center" wrapText="1"/>
    </xf>
    <xf numFmtId="4" fontId="17" fillId="6" borderId="7" xfId="0" applyNumberFormat="1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4" fontId="18" fillId="6" borderId="7" xfId="0" applyNumberFormat="1" applyFont="1" applyFill="1" applyBorder="1" applyAlignment="1">
      <alignment horizontal="center" vertical="center"/>
    </xf>
    <xf numFmtId="3" fontId="17" fillId="6" borderId="7" xfId="0" applyNumberFormat="1" applyFont="1" applyFill="1" applyBorder="1" applyAlignment="1">
      <alignment horizontal="center" vertical="center"/>
    </xf>
    <xf numFmtId="4" fontId="0" fillId="6" borderId="7" xfId="0" applyNumberForma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18" fillId="6" borderId="7" xfId="0" applyFont="1" applyFill="1" applyBorder="1" applyAlignment="1">
      <alignment vertical="center"/>
    </xf>
    <xf numFmtId="0" fontId="18" fillId="6" borderId="7" xfId="0" applyFont="1" applyFill="1" applyBorder="1"/>
    <xf numFmtId="0" fontId="18" fillId="6" borderId="7" xfId="0" applyFont="1" applyFill="1" applyBorder="1" applyAlignment="1">
      <alignment vertical="center" wrapText="1"/>
    </xf>
    <xf numFmtId="0" fontId="8" fillId="6" borderId="7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left" vertical="center" wrapText="1"/>
    </xf>
    <xf numFmtId="4" fontId="9" fillId="6" borderId="7" xfId="0" applyNumberFormat="1" applyFont="1" applyFill="1" applyBorder="1" applyAlignment="1">
      <alignment horizontal="center" vertical="center"/>
    </xf>
    <xf numFmtId="3" fontId="9" fillId="6" borderId="7" xfId="0" applyNumberFormat="1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4" fontId="9" fillId="6" borderId="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 wrapText="1"/>
    </xf>
    <xf numFmtId="0" fontId="17" fillId="6" borderId="7" xfId="0" applyFont="1" applyFill="1" applyBorder="1" applyAlignment="1">
      <alignment horizontal="left" vertical="center"/>
    </xf>
    <xf numFmtId="0" fontId="17" fillId="6" borderId="7" xfId="0" applyFont="1" applyFill="1" applyBorder="1"/>
    <xf numFmtId="0" fontId="4" fillId="6" borderId="7" xfId="0" applyFont="1" applyFill="1" applyBorder="1"/>
    <xf numFmtId="0" fontId="4" fillId="6" borderId="7" xfId="0" applyFont="1" applyFill="1" applyBorder="1" applyAlignment="1">
      <alignment horizontal="center"/>
    </xf>
    <xf numFmtId="165" fontId="4" fillId="6" borderId="7" xfId="0" applyNumberFormat="1" applyFont="1" applyFill="1" applyBorder="1"/>
    <xf numFmtId="0" fontId="17" fillId="6" borderId="7" xfId="0" applyFont="1" applyFill="1" applyBorder="1" applyAlignment="1">
      <alignment vertical="center"/>
    </xf>
    <xf numFmtId="0" fontId="17" fillId="6" borderId="7" xfId="0" applyFont="1" applyFill="1" applyBorder="1" applyAlignment="1">
      <alignment horizontal="left" vertical="center" wrapText="1"/>
    </xf>
    <xf numFmtId="0" fontId="16" fillId="6" borderId="7" xfId="0" applyFont="1" applyFill="1" applyBorder="1" applyAlignment="1">
      <alignment horizontal="left" vertical="center" wrapText="1"/>
    </xf>
    <xf numFmtId="4" fontId="16" fillId="6" borderId="7" xfId="0" applyNumberFormat="1" applyFont="1" applyFill="1" applyBorder="1" applyAlignment="1">
      <alignment horizontal="center" vertical="center"/>
    </xf>
    <xf numFmtId="3" fontId="16" fillId="6" borderId="7" xfId="0" applyNumberFormat="1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vertical="center"/>
    </xf>
    <xf numFmtId="4" fontId="18" fillId="8" borderId="7" xfId="0" applyNumberFormat="1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  <xf numFmtId="3" fontId="18" fillId="8" borderId="7" xfId="0" applyNumberFormat="1" applyFont="1" applyFill="1" applyBorder="1" applyAlignment="1">
      <alignment horizontal="center" vertical="center"/>
    </xf>
    <xf numFmtId="2" fontId="18" fillId="8" borderId="7" xfId="0" applyNumberFormat="1" applyFont="1" applyFill="1" applyBorder="1" applyAlignment="1">
      <alignment horizontal="center" vertical="center"/>
    </xf>
    <xf numFmtId="0" fontId="20" fillId="8" borderId="7" xfId="0" applyFont="1" applyFill="1" applyBorder="1" applyAlignment="1">
      <alignment horizontal="center" vertical="center"/>
    </xf>
    <xf numFmtId="4" fontId="47" fillId="8" borderId="7" xfId="0" applyNumberFormat="1" applyFont="1" applyFill="1" applyBorder="1" applyAlignment="1">
      <alignment horizontal="center" vertical="center"/>
    </xf>
    <xf numFmtId="0" fontId="18" fillId="8" borderId="7" xfId="0" applyFont="1" applyFill="1" applyBorder="1"/>
    <xf numFmtId="4" fontId="17" fillId="8" borderId="7" xfId="0" applyNumberFormat="1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vertical="center" wrapText="1"/>
    </xf>
    <xf numFmtId="0" fontId="18" fillId="8" borderId="7" xfId="0" applyFont="1" applyFill="1" applyBorder="1" applyAlignment="1">
      <alignment vertical="center" wrapText="1"/>
    </xf>
    <xf numFmtId="0" fontId="18" fillId="6" borderId="7" xfId="0" applyFont="1" applyFill="1" applyBorder="1" applyAlignment="1">
      <alignment horizontal="center" vertical="center"/>
    </xf>
    <xf numFmtId="3" fontId="18" fillId="6" borderId="7" xfId="0" applyNumberFormat="1" applyFont="1" applyFill="1" applyBorder="1" applyAlignment="1">
      <alignment horizontal="center" vertical="center"/>
    </xf>
    <xf numFmtId="2" fontId="18" fillId="6" borderId="7" xfId="0" applyNumberFormat="1" applyFont="1" applyFill="1" applyBorder="1" applyAlignment="1">
      <alignment horizontal="center" vertical="center"/>
    </xf>
    <xf numFmtId="0" fontId="20" fillId="6" borderId="7" xfId="0" applyFont="1" applyFill="1" applyBorder="1" applyAlignment="1">
      <alignment horizontal="center" vertical="center"/>
    </xf>
    <xf numFmtId="4" fontId="47" fillId="6" borderId="7" xfId="0" applyNumberFormat="1" applyFont="1" applyFill="1" applyBorder="1" applyAlignment="1">
      <alignment horizontal="center" vertical="center"/>
    </xf>
    <xf numFmtId="0" fontId="18" fillId="7" borderId="7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left" vertical="center" wrapText="1"/>
    </xf>
    <xf numFmtId="4" fontId="18" fillId="7" borderId="7" xfId="0" applyNumberFormat="1" applyFont="1" applyFill="1" applyBorder="1" applyAlignment="1">
      <alignment horizontal="center" vertical="center" wrapText="1"/>
    </xf>
    <xf numFmtId="3" fontId="18" fillId="7" borderId="7" xfId="0" applyNumberFormat="1" applyFont="1" applyFill="1" applyBorder="1" applyAlignment="1">
      <alignment horizontal="center" vertical="center" wrapText="1"/>
    </xf>
    <xf numFmtId="4" fontId="26" fillId="7" borderId="7" xfId="0" applyNumberFormat="1" applyFont="1" applyFill="1" applyBorder="1" applyAlignment="1">
      <alignment horizontal="center" vertical="center" wrapText="1"/>
    </xf>
    <xf numFmtId="4" fontId="18" fillId="7" borderId="7" xfId="0" applyNumberFormat="1" applyFont="1" applyFill="1" applyBorder="1" applyAlignment="1">
      <alignment horizontal="center" vertical="center"/>
    </xf>
    <xf numFmtId="3" fontId="18" fillId="7" borderId="7" xfId="0" applyNumberFormat="1" applyFont="1" applyFill="1" applyBorder="1" applyAlignment="1">
      <alignment horizontal="center" vertical="center"/>
    </xf>
    <xf numFmtId="2" fontId="18" fillId="7" borderId="7" xfId="0" applyNumberFormat="1" applyFont="1" applyFill="1" applyBorder="1" applyAlignment="1">
      <alignment horizontal="center" vertical="center"/>
    </xf>
    <xf numFmtId="0" fontId="20" fillId="7" borderId="7" xfId="0" applyFont="1" applyFill="1" applyBorder="1" applyAlignment="1">
      <alignment horizontal="center" vertical="center"/>
    </xf>
    <xf numFmtId="4" fontId="47" fillId="7" borderId="7" xfId="0" applyNumberFormat="1" applyFont="1" applyFill="1" applyBorder="1" applyAlignment="1">
      <alignment horizontal="center" vertical="center"/>
    </xf>
    <xf numFmtId="4" fontId="17" fillId="7" borderId="7" xfId="0" applyNumberFormat="1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vertical="center" wrapText="1"/>
    </xf>
    <xf numFmtId="0" fontId="17" fillId="7" borderId="7" xfId="0" applyFont="1" applyFill="1" applyBorder="1" applyAlignment="1">
      <alignment vertical="center"/>
    </xf>
    <xf numFmtId="0" fontId="17" fillId="7" borderId="7" xfId="0" applyFont="1" applyFill="1" applyBorder="1" applyAlignment="1">
      <alignment horizontal="center" vertical="center"/>
    </xf>
    <xf numFmtId="3" fontId="17" fillId="7" borderId="7" xfId="0" applyNumberFormat="1" applyFont="1" applyFill="1" applyBorder="1" applyAlignment="1">
      <alignment horizontal="center" vertical="center"/>
    </xf>
    <xf numFmtId="4" fontId="0" fillId="7" borderId="7" xfId="0" applyNumberForma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left" vertical="center" wrapText="1"/>
    </xf>
    <xf numFmtId="0" fontId="16" fillId="7" borderId="7" xfId="0" applyFont="1" applyFill="1" applyBorder="1" applyAlignment="1">
      <alignment horizontal="left" vertical="center" wrapText="1"/>
    </xf>
    <xf numFmtId="4" fontId="16" fillId="7" borderId="7" xfId="0" applyNumberFormat="1" applyFont="1" applyFill="1" applyBorder="1" applyAlignment="1">
      <alignment horizontal="center" vertical="center"/>
    </xf>
    <xf numFmtId="3" fontId="16" fillId="7" borderId="7" xfId="0" applyNumberFormat="1" applyFont="1" applyFill="1" applyBorder="1" applyAlignment="1">
      <alignment horizontal="center" vertical="center"/>
    </xf>
    <xf numFmtId="0" fontId="17" fillId="7" borderId="7" xfId="0" applyFont="1" applyFill="1" applyBorder="1"/>
    <xf numFmtId="4" fontId="20" fillId="7" borderId="7" xfId="0" applyNumberFormat="1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left" vertical="center" wrapText="1"/>
    </xf>
    <xf numFmtId="4" fontId="18" fillId="8" borderId="7" xfId="0" applyNumberFormat="1" applyFont="1" applyFill="1" applyBorder="1" applyAlignment="1">
      <alignment horizontal="center" vertical="center" wrapText="1"/>
    </xf>
    <xf numFmtId="3" fontId="18" fillId="8" borderId="7" xfId="0" applyNumberFormat="1" applyFont="1" applyFill="1" applyBorder="1" applyAlignment="1">
      <alignment horizontal="center" vertical="center" wrapText="1"/>
    </xf>
    <xf numFmtId="4" fontId="26" fillId="8" borderId="7" xfId="0" applyNumberFormat="1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/>
    </xf>
    <xf numFmtId="3" fontId="17" fillId="8" borderId="7" xfId="0" applyNumberFormat="1" applyFont="1" applyFill="1" applyBorder="1" applyAlignment="1">
      <alignment horizontal="center" vertical="center"/>
    </xf>
    <xf numFmtId="4" fontId="0" fillId="8" borderId="7" xfId="0" applyNumberFormat="1" applyFill="1" applyBorder="1" applyAlignment="1">
      <alignment horizontal="center" vertical="center"/>
    </xf>
    <xf numFmtId="4" fontId="20" fillId="8" borderId="7" xfId="0" applyNumberFormat="1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horizontal="left" vertical="center"/>
    </xf>
    <xf numFmtId="0" fontId="16" fillId="8" borderId="7" xfId="0" applyFont="1" applyFill="1" applyBorder="1" applyAlignment="1">
      <alignment horizontal="left" vertical="center" wrapText="1"/>
    </xf>
    <xf numFmtId="4" fontId="16" fillId="8" borderId="7" xfId="0" applyNumberFormat="1" applyFont="1" applyFill="1" applyBorder="1" applyAlignment="1">
      <alignment horizontal="center" vertical="center"/>
    </xf>
    <xf numFmtId="3" fontId="16" fillId="8" borderId="7" xfId="0" applyNumberFormat="1" applyFont="1" applyFill="1" applyBorder="1" applyAlignment="1">
      <alignment horizontal="center" vertical="center"/>
    </xf>
    <xf numFmtId="0" fontId="17" fillId="8" borderId="7" xfId="0" applyFont="1" applyFill="1" applyBorder="1" applyAlignment="1">
      <alignment horizontal="left" vertical="center" wrapText="1"/>
    </xf>
    <xf numFmtId="0" fontId="17" fillId="8" borderId="7" xfId="0" applyFont="1" applyFill="1" applyBorder="1" applyAlignment="1">
      <alignment vertical="center"/>
    </xf>
    <xf numFmtId="4" fontId="49" fillId="2" borderId="0" xfId="0" applyNumberFormat="1" applyFont="1" applyFill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left" vertical="center" wrapText="1"/>
    </xf>
    <xf numFmtId="4" fontId="9" fillId="7" borderId="7" xfId="0" applyNumberFormat="1" applyFont="1" applyFill="1" applyBorder="1" applyAlignment="1">
      <alignment horizontal="center" vertical="center"/>
    </xf>
    <xf numFmtId="3" fontId="9" fillId="7" borderId="7" xfId="0" applyNumberFormat="1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4" fontId="9" fillId="7" borderId="7" xfId="0" applyNumberFormat="1" applyFont="1" applyFill="1" applyBorder="1" applyAlignment="1">
      <alignment horizontal="right" vertical="center"/>
    </xf>
    <xf numFmtId="0" fontId="9" fillId="8" borderId="7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vertical="center" wrapText="1"/>
    </xf>
    <xf numFmtId="0" fontId="8" fillId="8" borderId="7" xfId="0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left" vertical="center" wrapText="1"/>
    </xf>
    <xf numFmtId="4" fontId="9" fillId="8" borderId="7" xfId="0" applyNumberFormat="1" applyFont="1" applyFill="1" applyBorder="1" applyAlignment="1">
      <alignment horizontal="center" vertical="center"/>
    </xf>
    <xf numFmtId="3" fontId="9" fillId="8" borderId="7" xfId="0" applyNumberFormat="1" applyFont="1" applyFill="1" applyBorder="1" applyAlignment="1">
      <alignment horizontal="center" vertical="center"/>
    </xf>
    <xf numFmtId="4" fontId="9" fillId="8" borderId="7" xfId="0" applyNumberFormat="1" applyFont="1" applyFill="1" applyBorder="1" applyAlignment="1">
      <alignment horizontal="right" vertical="center"/>
    </xf>
    <xf numFmtId="0" fontId="9" fillId="8" borderId="7" xfId="0" applyFont="1" applyFill="1" applyBorder="1" applyAlignment="1">
      <alignment vertical="center" wrapText="1"/>
    </xf>
    <xf numFmtId="0" fontId="9" fillId="6" borderId="7" xfId="0" applyFont="1" applyFill="1" applyBorder="1" applyAlignment="1">
      <alignment vertical="center"/>
    </xf>
    <xf numFmtId="0" fontId="9" fillId="7" borderId="7" xfId="0" applyFont="1" applyFill="1" applyBorder="1" applyAlignment="1">
      <alignment vertical="center"/>
    </xf>
    <xf numFmtId="0" fontId="9" fillId="8" borderId="7" xfId="0" applyFont="1" applyFill="1" applyBorder="1" applyAlignment="1">
      <alignment vertical="center"/>
    </xf>
    <xf numFmtId="0" fontId="17" fillId="7" borderId="13" xfId="0" applyFont="1" applyFill="1" applyBorder="1" applyAlignment="1">
      <alignment horizontal="left" vertical="center"/>
    </xf>
    <xf numFmtId="0" fontId="33" fillId="6" borderId="7" xfId="0" applyFont="1" applyFill="1" applyBorder="1" applyAlignment="1">
      <alignment horizontal="justify" vertical="center" wrapText="1"/>
    </xf>
    <xf numFmtId="172" fontId="33" fillId="6" borderId="7" xfId="0" applyNumberFormat="1" applyFont="1" applyFill="1" applyBorder="1" applyAlignment="1">
      <alignment horizontal="center" vertical="center"/>
    </xf>
    <xf numFmtId="3" fontId="33" fillId="6" borderId="7" xfId="0" applyNumberFormat="1" applyFont="1" applyFill="1" applyBorder="1" applyAlignment="1">
      <alignment horizontal="center" vertical="center"/>
    </xf>
    <xf numFmtId="4" fontId="28" fillId="8" borderId="0" xfId="0" applyNumberFormat="1" applyFont="1" applyFill="1" applyAlignment="1">
      <alignment horizontal="center" vertical="center"/>
    </xf>
    <xf numFmtId="49" fontId="35" fillId="6" borderId="7" xfId="0" applyNumberFormat="1" applyFont="1" applyFill="1" applyBorder="1" applyAlignment="1">
      <alignment horizontal="center" vertical="center"/>
    </xf>
    <xf numFmtId="49" fontId="35" fillId="7" borderId="7" xfId="0" applyNumberFormat="1" applyFont="1" applyFill="1" applyBorder="1" applyAlignment="1">
      <alignment horizontal="center" vertical="center"/>
    </xf>
    <xf numFmtId="49" fontId="35" fillId="8" borderId="7" xfId="0" applyNumberFormat="1" applyFont="1" applyFill="1" applyBorder="1" applyAlignment="1">
      <alignment horizontal="center" vertical="center"/>
    </xf>
    <xf numFmtId="4" fontId="17" fillId="6" borderId="7" xfId="0" applyNumberFormat="1" applyFont="1" applyFill="1" applyBorder="1" applyAlignment="1">
      <alignment horizontal="center" vertical="center" wrapText="1"/>
    </xf>
    <xf numFmtId="4" fontId="17" fillId="7" borderId="7" xfId="0" applyNumberFormat="1" applyFont="1" applyFill="1" applyBorder="1" applyAlignment="1">
      <alignment horizontal="center" vertical="center" wrapText="1"/>
    </xf>
    <xf numFmtId="4" fontId="17" fillId="8" borderId="7" xfId="0" applyNumberFormat="1" applyFont="1" applyFill="1" applyBorder="1" applyAlignment="1">
      <alignment horizontal="center" vertical="center" wrapText="1"/>
    </xf>
    <xf numFmtId="2" fontId="18" fillId="7" borderId="7" xfId="0" applyNumberFormat="1" applyFont="1" applyFill="1" applyBorder="1" applyAlignment="1">
      <alignment horizontal="center" vertical="center" wrapText="1"/>
    </xf>
    <xf numFmtId="2" fontId="26" fillId="7" borderId="7" xfId="0" applyNumberFormat="1" applyFont="1" applyFill="1" applyBorder="1" applyAlignment="1">
      <alignment horizontal="center" vertical="center" wrapText="1"/>
    </xf>
    <xf numFmtId="2" fontId="18" fillId="8" borderId="7" xfId="0" applyNumberFormat="1" applyFont="1" applyFill="1" applyBorder="1" applyAlignment="1">
      <alignment horizontal="center" vertical="center" wrapText="1"/>
    </xf>
    <xf numFmtId="2" fontId="26" fillId="8" borderId="7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right" vertical="center"/>
    </xf>
    <xf numFmtId="172" fontId="35" fillId="2" borderId="7" xfId="0" applyNumberFormat="1" applyFont="1" applyFill="1" applyBorder="1" applyAlignment="1">
      <alignment horizontal="right" vertical="center"/>
    </xf>
    <xf numFmtId="0" fontId="33" fillId="5" borderId="7" xfId="0" applyFont="1" applyFill="1" applyBorder="1" applyAlignment="1">
      <alignment horizontal="center" vertical="center" wrapText="1"/>
    </xf>
    <xf numFmtId="2" fontId="35" fillId="0" borderId="7" xfId="0" applyNumberFormat="1" applyFont="1" applyBorder="1" applyAlignment="1">
      <alignment horizontal="right" vertical="center"/>
    </xf>
    <xf numFmtId="3" fontId="20" fillId="8" borderId="7" xfId="0" applyNumberFormat="1" applyFont="1" applyFill="1" applyBorder="1" applyAlignment="1">
      <alignment horizontal="center" vertical="center"/>
    </xf>
    <xf numFmtId="3" fontId="20" fillId="7" borderId="7" xfId="0" applyNumberFormat="1" applyFont="1" applyFill="1" applyBorder="1" applyAlignment="1">
      <alignment horizontal="center" vertical="center"/>
    </xf>
    <xf numFmtId="3" fontId="20" fillId="6" borderId="7" xfId="0" applyNumberFormat="1" applyFont="1" applyFill="1" applyBorder="1" applyAlignment="1">
      <alignment horizontal="center" vertical="center"/>
    </xf>
    <xf numFmtId="172" fontId="33" fillId="8" borderId="7" xfId="0" applyNumberFormat="1" applyFont="1" applyFill="1" applyBorder="1" applyAlignment="1">
      <alignment horizontal="center" vertical="center"/>
    </xf>
    <xf numFmtId="4" fontId="33" fillId="8" borderId="7" xfId="0" applyNumberFormat="1" applyFont="1" applyFill="1" applyBorder="1" applyAlignment="1">
      <alignment horizontal="right" vertical="center"/>
    </xf>
    <xf numFmtId="0" fontId="36" fillId="8" borderId="7" xfId="0" applyFont="1" applyFill="1" applyBorder="1" applyAlignment="1">
      <alignment horizontal="left" vertical="center" wrapText="1"/>
    </xf>
    <xf numFmtId="4" fontId="33" fillId="8" borderId="7" xfId="0" applyNumberFormat="1" applyFont="1" applyFill="1" applyBorder="1" applyAlignment="1">
      <alignment horizontal="center" vertical="center" wrapText="1"/>
    </xf>
    <xf numFmtId="4" fontId="35" fillId="8" borderId="7" xfId="9" applyNumberFormat="1" applyFont="1" applyFill="1" applyBorder="1" applyAlignment="1">
      <alignment horizontal="center" vertical="center"/>
    </xf>
    <xf numFmtId="3" fontId="35" fillId="8" borderId="7" xfId="0" applyNumberFormat="1" applyFont="1" applyFill="1" applyBorder="1" applyAlignment="1">
      <alignment horizontal="center" vertical="center" wrapText="1"/>
    </xf>
    <xf numFmtId="4" fontId="33" fillId="6" borderId="7" xfId="0" applyNumberFormat="1" applyFont="1" applyFill="1" applyBorder="1" applyAlignment="1">
      <alignment horizontal="right" vertical="center"/>
    </xf>
    <xf numFmtId="0" fontId="36" fillId="6" borderId="7" xfId="0" applyFont="1" applyFill="1" applyBorder="1" applyAlignment="1">
      <alignment horizontal="left" vertical="center" wrapText="1"/>
    </xf>
    <xf numFmtId="4" fontId="33" fillId="6" borderId="7" xfId="0" applyNumberFormat="1" applyFont="1" applyFill="1" applyBorder="1" applyAlignment="1">
      <alignment horizontal="center" vertical="center" wrapText="1"/>
    </xf>
    <xf numFmtId="4" fontId="35" fillId="6" borderId="7" xfId="9" applyNumberFormat="1" applyFont="1" applyFill="1" applyBorder="1" applyAlignment="1">
      <alignment horizontal="center" vertical="center"/>
    </xf>
    <xf numFmtId="3" fontId="35" fillId="6" borderId="7" xfId="0" applyNumberFormat="1" applyFont="1" applyFill="1" applyBorder="1" applyAlignment="1">
      <alignment horizontal="center" vertical="center" wrapText="1"/>
    </xf>
    <xf numFmtId="172" fontId="33" fillId="7" borderId="7" xfId="0" applyNumberFormat="1" applyFont="1" applyFill="1" applyBorder="1" applyAlignment="1">
      <alignment horizontal="center" vertical="center"/>
    </xf>
    <xf numFmtId="4" fontId="33" fillId="7" borderId="7" xfId="0" applyNumberFormat="1" applyFont="1" applyFill="1" applyBorder="1" applyAlignment="1">
      <alignment horizontal="center" vertical="center" wrapText="1"/>
    </xf>
    <xf numFmtId="4" fontId="35" fillId="7" borderId="7" xfId="9" applyNumberFormat="1" applyFont="1" applyFill="1" applyBorder="1" applyAlignment="1">
      <alignment horizontal="center" vertical="center"/>
    </xf>
    <xf numFmtId="3" fontId="35" fillId="7" borderId="7" xfId="0" applyNumberFormat="1" applyFont="1" applyFill="1" applyBorder="1" applyAlignment="1">
      <alignment horizontal="center" vertical="center" wrapText="1"/>
    </xf>
    <xf numFmtId="0" fontId="36" fillId="7" borderId="7" xfId="0" applyFont="1" applyFill="1" applyBorder="1" applyAlignment="1">
      <alignment horizontal="left" vertical="center" wrapText="1"/>
    </xf>
    <xf numFmtId="0" fontId="9" fillId="6" borderId="7" xfId="0" applyFont="1" applyFill="1" applyBorder="1" applyAlignment="1">
      <alignment horizontal="left" vertical="center" wrapText="1"/>
    </xf>
    <xf numFmtId="0" fontId="9" fillId="7" borderId="7" xfId="0" applyFont="1" applyFill="1" applyBorder="1" applyAlignment="1">
      <alignment horizontal="left" vertical="center" wrapText="1"/>
    </xf>
    <xf numFmtId="0" fontId="9" fillId="8" borderId="7" xfId="0" applyFont="1" applyFill="1" applyBorder="1" applyAlignment="1">
      <alignment horizontal="left" vertical="center" wrapText="1"/>
    </xf>
    <xf numFmtId="3" fontId="33" fillId="7" borderId="7" xfId="0" applyNumberFormat="1" applyFont="1" applyFill="1" applyBorder="1" applyAlignment="1">
      <alignment horizontal="center" vertical="center"/>
    </xf>
    <xf numFmtId="3" fontId="33" fillId="8" borderId="7" xfId="0" applyNumberFormat="1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vertical="center" wrapText="1"/>
    </xf>
    <xf numFmtId="4" fontId="10" fillId="6" borderId="7" xfId="0" applyNumberFormat="1" applyFont="1" applyFill="1" applyBorder="1" applyAlignment="1">
      <alignment horizontal="center" vertical="center"/>
    </xf>
    <xf numFmtId="3" fontId="10" fillId="6" borderId="7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right" vertical="center"/>
    </xf>
    <xf numFmtId="4" fontId="33" fillId="2" borderId="7" xfId="0" applyNumberFormat="1" applyFont="1" applyFill="1" applyBorder="1" applyAlignment="1">
      <alignment horizontal="right" vertical="center"/>
    </xf>
    <xf numFmtId="0" fontId="35" fillId="6" borderId="7" xfId="0" applyFont="1" applyFill="1" applyBorder="1" applyAlignment="1">
      <alignment vertical="center"/>
    </xf>
    <xf numFmtId="4" fontId="35" fillId="6" borderId="7" xfId="0" applyNumberFormat="1" applyFont="1" applyFill="1" applyBorder="1" applyAlignment="1">
      <alignment horizontal="center" vertical="center" wrapText="1"/>
    </xf>
    <xf numFmtId="2" fontId="35" fillId="6" borderId="7" xfId="0" applyNumberFormat="1" applyFont="1" applyFill="1" applyBorder="1" applyAlignment="1">
      <alignment horizontal="center" vertical="center" wrapText="1"/>
    </xf>
    <xf numFmtId="0" fontId="35" fillId="6" borderId="7" xfId="0" applyFont="1" applyFill="1" applyBorder="1" applyAlignment="1">
      <alignment vertical="center" wrapText="1"/>
    </xf>
    <xf numFmtId="0" fontId="33" fillId="0" borderId="10" xfId="0" applyFont="1" applyBorder="1" applyAlignment="1">
      <alignment horizontal="center" vertical="center" wrapText="1"/>
    </xf>
    <xf numFmtId="14" fontId="35" fillId="6" borderId="12" xfId="0" applyNumberFormat="1" applyFont="1" applyFill="1" applyBorder="1" applyAlignment="1">
      <alignment horizontal="center" vertical="center"/>
    </xf>
    <xf numFmtId="172" fontId="4" fillId="2" borderId="14" xfId="0" applyNumberFormat="1" applyFont="1" applyFill="1" applyBorder="1" applyAlignment="1">
      <alignment horizontal="center" vertical="center"/>
    </xf>
    <xf numFmtId="4" fontId="33" fillId="6" borderId="13" xfId="8" applyNumberFormat="1" applyFont="1" applyFill="1" applyBorder="1" applyAlignment="1">
      <alignment vertical="center"/>
    </xf>
    <xf numFmtId="4" fontId="35" fillId="6" borderId="13" xfId="0" applyNumberFormat="1" applyFont="1" applyFill="1" applyBorder="1" applyAlignment="1">
      <alignment horizontal="center" vertical="center"/>
    </xf>
    <xf numFmtId="0" fontId="35" fillId="7" borderId="7" xfId="0" applyFont="1" applyFill="1" applyBorder="1" applyAlignment="1">
      <alignment vertical="center"/>
    </xf>
    <xf numFmtId="4" fontId="35" fillId="7" borderId="7" xfId="0" applyNumberFormat="1" applyFont="1" applyFill="1" applyBorder="1" applyAlignment="1">
      <alignment horizontal="center" vertical="center" wrapText="1"/>
    </xf>
    <xf numFmtId="0" fontId="35" fillId="7" borderId="7" xfId="0" applyFont="1" applyFill="1" applyBorder="1" applyAlignment="1">
      <alignment vertical="center" wrapText="1"/>
    </xf>
    <xf numFmtId="0" fontId="35" fillId="8" borderId="7" xfId="0" applyFont="1" applyFill="1" applyBorder="1" applyAlignment="1">
      <alignment vertical="center"/>
    </xf>
    <xf numFmtId="4" fontId="35" fillId="8" borderId="7" xfId="0" applyNumberFormat="1" applyFont="1" applyFill="1" applyBorder="1" applyAlignment="1">
      <alignment horizontal="center" vertical="center" wrapText="1"/>
    </xf>
    <xf numFmtId="0" fontId="35" fillId="8" borderId="7" xfId="0" applyFont="1" applyFill="1" applyBorder="1" applyAlignment="1">
      <alignment vertical="center" wrapText="1"/>
    </xf>
    <xf numFmtId="14" fontId="35" fillId="7" borderId="12" xfId="0" applyNumberFormat="1" applyFont="1" applyFill="1" applyBorder="1" applyAlignment="1">
      <alignment horizontal="center" vertical="center"/>
    </xf>
    <xf numFmtId="4" fontId="35" fillId="7" borderId="13" xfId="0" applyNumberFormat="1" applyFont="1" applyFill="1" applyBorder="1" applyAlignment="1">
      <alignment horizontal="center" vertical="center"/>
    </xf>
    <xf numFmtId="14" fontId="35" fillId="8" borderId="12" xfId="0" applyNumberFormat="1" applyFont="1" applyFill="1" applyBorder="1" applyAlignment="1">
      <alignment horizontal="center" vertical="center"/>
    </xf>
    <xf numFmtId="4" fontId="33" fillId="8" borderId="13" xfId="8" applyNumberFormat="1" applyFont="1" applyFill="1" applyBorder="1" applyAlignment="1">
      <alignment vertical="center"/>
    </xf>
    <xf numFmtId="4" fontId="35" fillId="8" borderId="13" xfId="0" applyNumberFormat="1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172" fontId="35" fillId="2" borderId="14" xfId="0" applyNumberFormat="1" applyFont="1" applyFill="1" applyBorder="1" applyAlignment="1">
      <alignment horizontal="center" vertical="center"/>
    </xf>
    <xf numFmtId="0" fontId="35" fillId="6" borderId="13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35" fillId="2" borderId="10" xfId="0" applyFont="1" applyFill="1" applyBorder="1" applyAlignment="1">
      <alignment horizontal="center" vertical="center" wrapText="1"/>
    </xf>
    <xf numFmtId="0" fontId="35" fillId="7" borderId="13" xfId="0" applyFont="1" applyFill="1" applyBorder="1" applyAlignment="1">
      <alignment horizontal="left" vertical="center" wrapText="1"/>
    </xf>
    <xf numFmtId="0" fontId="35" fillId="7" borderId="13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4" fontId="35" fillId="2" borderId="14" xfId="0" applyNumberFormat="1" applyFont="1" applyFill="1" applyBorder="1" applyAlignment="1">
      <alignment horizontal="right" vertical="center"/>
    </xf>
    <xf numFmtId="0" fontId="35" fillId="8" borderId="13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4" fontId="48" fillId="6" borderId="7" xfId="0" applyNumberFormat="1" applyFont="1" applyFill="1" applyBorder="1" applyAlignment="1">
      <alignment horizontal="center" vertical="center"/>
    </xf>
    <xf numFmtId="0" fontId="16" fillId="7" borderId="7" xfId="0" applyFont="1" applyFill="1" applyBorder="1" applyAlignment="1">
      <alignment horizontal="center" vertical="center"/>
    </xf>
    <xf numFmtId="4" fontId="48" fillId="7" borderId="7" xfId="0" applyNumberFormat="1" applyFont="1" applyFill="1" applyBorder="1" applyAlignment="1">
      <alignment horizontal="center" vertical="center"/>
    </xf>
    <xf numFmtId="0" fontId="16" fillId="8" borderId="7" xfId="0" applyFont="1" applyFill="1" applyBorder="1" applyAlignment="1">
      <alignment horizontal="center" vertical="center"/>
    </xf>
    <xf numFmtId="4" fontId="48" fillId="8" borderId="7" xfId="0" applyNumberFormat="1" applyFont="1" applyFill="1" applyBorder="1" applyAlignment="1">
      <alignment horizontal="center" vertical="center"/>
    </xf>
    <xf numFmtId="49" fontId="4" fillId="6" borderId="7" xfId="0" applyNumberFormat="1" applyFont="1" applyFill="1" applyBorder="1" applyAlignment="1">
      <alignment horizontal="center" vertical="center" wrapText="1"/>
    </xf>
    <xf numFmtId="49" fontId="4" fillId="7" borderId="7" xfId="0" applyNumberFormat="1" applyFont="1" applyFill="1" applyBorder="1" applyAlignment="1">
      <alignment horizontal="center" vertical="center" wrapText="1"/>
    </xf>
    <xf numFmtId="49" fontId="4" fillId="8" borderId="7" xfId="0" applyNumberFormat="1" applyFont="1" applyFill="1" applyBorder="1" applyAlignment="1">
      <alignment horizontal="center" vertical="center" wrapText="1"/>
    </xf>
    <xf numFmtId="0" fontId="20" fillId="6" borderId="7" xfId="0" applyFont="1" applyFill="1" applyBorder="1" applyAlignment="1">
      <alignment horizontal="center" vertical="center" wrapText="1"/>
    </xf>
    <xf numFmtId="3" fontId="20" fillId="6" borderId="7" xfId="0" applyNumberFormat="1" applyFont="1" applyFill="1" applyBorder="1" applyAlignment="1">
      <alignment horizontal="center" vertical="center" wrapText="1"/>
    </xf>
    <xf numFmtId="0" fontId="20" fillId="7" borderId="7" xfId="0" applyFont="1" applyFill="1" applyBorder="1" applyAlignment="1">
      <alignment horizontal="center" vertical="center" wrapText="1"/>
    </xf>
    <xf numFmtId="3" fontId="20" fillId="7" borderId="7" xfId="0" applyNumberFormat="1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 wrapText="1"/>
    </xf>
    <xf numFmtId="3" fontId="20" fillId="8" borderId="7" xfId="0" applyNumberFormat="1" applyFont="1" applyFill="1" applyBorder="1" applyAlignment="1">
      <alignment horizontal="center" vertical="center" wrapText="1"/>
    </xf>
    <xf numFmtId="167" fontId="33" fillId="6" borderId="7" xfId="0" applyNumberFormat="1" applyFont="1" applyFill="1" applyBorder="1" applyAlignment="1">
      <alignment horizontal="center" vertical="center"/>
    </xf>
    <xf numFmtId="0" fontId="33" fillId="6" borderId="7" xfId="0" applyFont="1" applyFill="1" applyBorder="1" applyAlignment="1">
      <alignment horizontal="left" vertical="center" wrapText="1"/>
    </xf>
    <xf numFmtId="4" fontId="33" fillId="2" borderId="12" xfId="8" applyNumberFormat="1" applyFont="1" applyFill="1" applyBorder="1" applyAlignment="1">
      <alignment vertical="center"/>
    </xf>
    <xf numFmtId="3" fontId="4" fillId="2" borderId="14" xfId="0" applyNumberFormat="1" applyFont="1" applyFill="1" applyBorder="1" applyAlignment="1">
      <alignment horizontal="center" vertical="center"/>
    </xf>
    <xf numFmtId="4" fontId="33" fillId="2" borderId="14" xfId="8" applyNumberFormat="1" applyFont="1" applyFill="1" applyBorder="1" applyAlignment="1">
      <alignment vertical="center"/>
    </xf>
    <xf numFmtId="166" fontId="17" fillId="8" borderId="7" xfId="0" applyNumberFormat="1" applyFont="1" applyFill="1" applyBorder="1" applyAlignment="1">
      <alignment vertical="center" wrapText="1"/>
    </xf>
    <xf numFmtId="0" fontId="18" fillId="7" borderId="7" xfId="0" applyFont="1" applyFill="1" applyBorder="1" applyAlignment="1">
      <alignment vertical="center" wrapText="1"/>
    </xf>
    <xf numFmtId="166" fontId="17" fillId="7" borderId="7" xfId="0" applyNumberFormat="1" applyFont="1" applyFill="1" applyBorder="1" applyAlignment="1">
      <alignment vertical="center" wrapText="1"/>
    </xf>
    <xf numFmtId="166" fontId="17" fillId="6" borderId="7" xfId="0" applyNumberFormat="1" applyFont="1" applyFill="1" applyBorder="1" applyAlignment="1">
      <alignment vertical="center" wrapText="1"/>
    </xf>
    <xf numFmtId="2" fontId="35" fillId="7" borderId="7" xfId="0" applyNumberFormat="1" applyFont="1" applyFill="1" applyBorder="1" applyAlignment="1">
      <alignment horizontal="center" vertical="center"/>
    </xf>
    <xf numFmtId="2" fontId="35" fillId="8" borderId="7" xfId="0" applyNumberFormat="1" applyFont="1" applyFill="1" applyBorder="1" applyAlignment="1">
      <alignment horizontal="center" vertical="center"/>
    </xf>
    <xf numFmtId="0" fontId="36" fillId="6" borderId="7" xfId="0" applyFont="1" applyFill="1" applyBorder="1" applyAlignment="1">
      <alignment horizontal="left" vertical="center"/>
    </xf>
    <xf numFmtId="0" fontId="36" fillId="6" borderId="7" xfId="0" applyFont="1" applyFill="1" applyBorder="1" applyAlignment="1">
      <alignment horizontal="center" vertical="center"/>
    </xf>
    <xf numFmtId="172" fontId="36" fillId="6" borderId="7" xfId="0" applyNumberFormat="1" applyFont="1" applyFill="1" applyBorder="1" applyAlignment="1">
      <alignment horizontal="center" vertical="center"/>
    </xf>
    <xf numFmtId="4" fontId="36" fillId="6" borderId="7" xfId="0" applyNumberFormat="1" applyFont="1" applyFill="1" applyBorder="1" applyAlignment="1">
      <alignment horizontal="center" vertical="center"/>
    </xf>
    <xf numFmtId="3" fontId="36" fillId="6" borderId="7" xfId="0" applyNumberFormat="1" applyFont="1" applyFill="1" applyBorder="1" applyAlignment="1">
      <alignment horizontal="center" vertical="center"/>
    </xf>
    <xf numFmtId="4" fontId="4" fillId="6" borderId="7" xfId="0" applyNumberFormat="1" applyFont="1" applyFill="1" applyBorder="1" applyAlignment="1">
      <alignment horizontal="right" vertical="center"/>
    </xf>
    <xf numFmtId="0" fontId="36" fillId="7" borderId="7" xfId="0" applyFont="1" applyFill="1" applyBorder="1" applyAlignment="1">
      <alignment horizontal="center" vertical="center"/>
    </xf>
    <xf numFmtId="172" fontId="36" fillId="7" borderId="7" xfId="0" applyNumberFormat="1" applyFont="1" applyFill="1" applyBorder="1" applyAlignment="1">
      <alignment horizontal="center" vertical="center"/>
    </xf>
    <xf numFmtId="4" fontId="36" fillId="7" borderId="7" xfId="0" applyNumberFormat="1" applyFont="1" applyFill="1" applyBorder="1" applyAlignment="1">
      <alignment horizontal="center" vertical="center"/>
    </xf>
    <xf numFmtId="3" fontId="36" fillId="7" borderId="7" xfId="0" applyNumberFormat="1" applyFont="1" applyFill="1" applyBorder="1" applyAlignment="1">
      <alignment horizontal="center" vertical="center"/>
    </xf>
    <xf numFmtId="4" fontId="4" fillId="7" borderId="7" xfId="0" applyNumberFormat="1" applyFont="1" applyFill="1" applyBorder="1" applyAlignment="1">
      <alignment horizontal="right" vertical="center"/>
    </xf>
    <xf numFmtId="0" fontId="36" fillId="8" borderId="7" xfId="0" applyFont="1" applyFill="1" applyBorder="1" applyAlignment="1">
      <alignment horizontal="center" vertical="center"/>
    </xf>
    <xf numFmtId="172" fontId="36" fillId="8" borderId="7" xfId="0" applyNumberFormat="1" applyFont="1" applyFill="1" applyBorder="1" applyAlignment="1">
      <alignment horizontal="center" vertical="center"/>
    </xf>
    <xf numFmtId="4" fontId="36" fillId="8" borderId="7" xfId="0" applyNumberFormat="1" applyFont="1" applyFill="1" applyBorder="1" applyAlignment="1">
      <alignment horizontal="center" vertical="center"/>
    </xf>
    <xf numFmtId="3" fontId="36" fillId="8" borderId="7" xfId="0" applyNumberFormat="1" applyFont="1" applyFill="1" applyBorder="1" applyAlignment="1">
      <alignment horizontal="center" vertical="center"/>
    </xf>
    <xf numFmtId="172" fontId="4" fillId="8" borderId="7" xfId="0" applyNumberFormat="1" applyFont="1" applyFill="1" applyBorder="1" applyAlignment="1">
      <alignment horizontal="right" vertical="center"/>
    </xf>
    <xf numFmtId="172" fontId="4" fillId="6" borderId="14" xfId="0" applyNumberFormat="1" applyFont="1" applyFill="1" applyBorder="1" applyAlignment="1">
      <alignment horizontal="center" vertical="center" wrapText="1"/>
    </xf>
    <xf numFmtId="0" fontId="35" fillId="6" borderId="10" xfId="0" applyFont="1" applyFill="1" applyBorder="1" applyAlignment="1">
      <alignment horizontal="center" vertical="center" wrapText="1"/>
    </xf>
    <xf numFmtId="0" fontId="18" fillId="6" borderId="7" xfId="11" applyFont="1" applyFill="1" applyBorder="1" applyAlignment="1">
      <alignment horizontal="left" vertical="center" wrapText="1"/>
    </xf>
    <xf numFmtId="0" fontId="4" fillId="6" borderId="12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 wrapText="1"/>
    </xf>
    <xf numFmtId="4" fontId="18" fillId="6" borderId="7" xfId="0" applyNumberFormat="1" applyFont="1" applyFill="1" applyBorder="1" applyAlignment="1">
      <alignment horizontal="right" vertical="center" wrapText="1"/>
    </xf>
    <xf numFmtId="4" fontId="33" fillId="6" borderId="12" xfId="8" applyNumberFormat="1" applyFont="1" applyFill="1" applyBorder="1" applyAlignment="1">
      <alignment vertical="center"/>
    </xf>
    <xf numFmtId="0" fontId="33" fillId="6" borderId="13" xfId="11" applyFont="1" applyFill="1" applyBorder="1" applyAlignment="1">
      <alignment horizontal="left" vertical="center" wrapText="1"/>
    </xf>
    <xf numFmtId="3" fontId="4" fillId="6" borderId="13" xfId="0" applyNumberFormat="1" applyFont="1" applyFill="1" applyBorder="1" applyAlignment="1">
      <alignment horizontal="center" vertical="center"/>
    </xf>
    <xf numFmtId="172" fontId="33" fillId="6" borderId="13" xfId="0" applyNumberFormat="1" applyFont="1" applyFill="1" applyBorder="1" applyAlignment="1">
      <alignment horizontal="center" vertical="center"/>
    </xf>
    <xf numFmtId="172" fontId="4" fillId="6" borderId="13" xfId="0" applyNumberFormat="1" applyFont="1" applyFill="1" applyBorder="1" applyAlignment="1">
      <alignment horizontal="center" vertical="center"/>
    </xf>
    <xf numFmtId="0" fontId="33" fillId="6" borderId="7" xfId="11" applyFont="1" applyFill="1" applyBorder="1" applyAlignment="1">
      <alignment horizontal="left" vertical="center" wrapText="1"/>
    </xf>
    <xf numFmtId="4" fontId="4" fillId="6" borderId="14" xfId="0" applyNumberFormat="1" applyFont="1" applyFill="1" applyBorder="1" applyAlignment="1">
      <alignment horizontal="right" vertical="center" wrapText="1"/>
    </xf>
    <xf numFmtId="172" fontId="4" fillId="7" borderId="7" xfId="0" applyNumberFormat="1" applyFont="1" applyFill="1" applyBorder="1" applyAlignment="1">
      <alignment horizontal="center" vertical="center" wrapText="1"/>
    </xf>
    <xf numFmtId="0" fontId="33" fillId="7" borderId="7" xfId="11" applyFont="1" applyFill="1" applyBorder="1" applyAlignment="1">
      <alignment horizontal="left" vertical="center" wrapText="1"/>
    </xf>
    <xf numFmtId="4" fontId="4" fillId="7" borderId="7" xfId="0" applyNumberFormat="1" applyFont="1" applyFill="1" applyBorder="1" applyAlignment="1">
      <alignment horizontal="right" vertical="center" wrapText="1"/>
    </xf>
    <xf numFmtId="4" fontId="4" fillId="8" borderId="7" xfId="0" applyNumberFormat="1" applyFont="1" applyFill="1" applyBorder="1" applyAlignment="1">
      <alignment horizontal="right" vertical="center" wrapText="1"/>
    </xf>
    <xf numFmtId="0" fontId="33" fillId="8" borderId="7" xfId="11" applyFont="1" applyFill="1" applyBorder="1" applyAlignment="1">
      <alignment horizontal="left" vertical="center" wrapText="1"/>
    </xf>
    <xf numFmtId="0" fontId="18" fillId="8" borderId="7" xfId="11" applyFont="1" applyFill="1" applyBorder="1" applyAlignment="1">
      <alignment horizontal="left" vertical="center" wrapText="1"/>
    </xf>
    <xf numFmtId="0" fontId="18" fillId="7" borderId="7" xfId="11" applyFont="1" applyFill="1" applyBorder="1" applyAlignment="1">
      <alignment horizontal="left" vertical="center" wrapText="1"/>
    </xf>
    <xf numFmtId="4" fontId="17" fillId="6" borderId="0" xfId="0" applyNumberFormat="1" applyFont="1" applyFill="1"/>
    <xf numFmtId="4" fontId="17" fillId="7" borderId="0" xfId="0" applyNumberFormat="1" applyFont="1" applyFill="1"/>
    <xf numFmtId="4" fontId="17" fillId="8" borderId="7" xfId="0" applyNumberFormat="1" applyFont="1" applyFill="1" applyBorder="1" applyAlignment="1">
      <alignment horizontal="right" vertical="center"/>
    </xf>
    <xf numFmtId="4" fontId="17" fillId="8" borderId="0" xfId="0" applyNumberFormat="1" applyFont="1" applyFill="1"/>
    <xf numFmtId="4" fontId="4" fillId="8" borderId="7" xfId="0" applyNumberFormat="1" applyFont="1" applyFill="1" applyBorder="1" applyAlignment="1">
      <alignment horizontal="right" vertical="center"/>
    </xf>
    <xf numFmtId="4" fontId="35" fillId="6" borderId="7" xfId="0" applyNumberFormat="1" applyFont="1" applyFill="1" applyBorder="1" applyAlignment="1">
      <alignment horizontal="right" vertical="center"/>
    </xf>
    <xf numFmtId="0" fontId="35" fillId="6" borderId="10" xfId="0" applyFont="1" applyFill="1" applyBorder="1" applyAlignment="1">
      <alignment horizontal="left" vertical="center" wrapText="1"/>
    </xf>
    <xf numFmtId="167" fontId="4" fillId="6" borderId="7" xfId="0" applyNumberFormat="1" applyFont="1" applyFill="1" applyBorder="1" applyAlignment="1">
      <alignment horizontal="center" vertical="center" wrapText="1"/>
    </xf>
    <xf numFmtId="167" fontId="4" fillId="7" borderId="7" xfId="0" applyNumberFormat="1" applyFont="1" applyFill="1" applyBorder="1" applyAlignment="1">
      <alignment horizontal="center" vertical="center" wrapText="1"/>
    </xf>
    <xf numFmtId="167" fontId="4" fillId="8" borderId="7" xfId="0" applyNumberFormat="1" applyFont="1" applyFill="1" applyBorder="1" applyAlignment="1">
      <alignment horizontal="center" vertical="center" wrapText="1"/>
    </xf>
    <xf numFmtId="172" fontId="35" fillId="6" borderId="7" xfId="0" applyNumberFormat="1" applyFont="1" applyFill="1" applyBorder="1" applyAlignment="1">
      <alignment horizontal="right" vertical="center"/>
    </xf>
    <xf numFmtId="1" fontId="4" fillId="6" borderId="7" xfId="0" applyNumberFormat="1" applyFont="1" applyFill="1" applyBorder="1" applyAlignment="1">
      <alignment vertical="center" wrapText="1"/>
    </xf>
    <xf numFmtId="1" fontId="4" fillId="6" borderId="7" xfId="0" applyNumberFormat="1" applyFont="1" applyFill="1" applyBorder="1" applyAlignment="1">
      <alignment horizontal="center" vertical="center" wrapText="1"/>
    </xf>
    <xf numFmtId="1" fontId="4" fillId="6" borderId="7" xfId="0" applyNumberFormat="1" applyFont="1" applyFill="1" applyBorder="1" applyAlignment="1">
      <alignment horizontal="center" vertical="center"/>
    </xf>
    <xf numFmtId="1" fontId="4" fillId="6" borderId="7" xfId="0" applyNumberFormat="1" applyFont="1" applyFill="1" applyBorder="1" applyAlignment="1">
      <alignment vertical="center"/>
    </xf>
    <xf numFmtId="1" fontId="4" fillId="7" borderId="7" xfId="0" applyNumberFormat="1" applyFont="1" applyFill="1" applyBorder="1" applyAlignment="1">
      <alignment vertical="center" wrapText="1"/>
    </xf>
    <xf numFmtId="1" fontId="4" fillId="7" borderId="7" xfId="0" applyNumberFormat="1" applyFont="1" applyFill="1" applyBorder="1" applyAlignment="1">
      <alignment horizontal="center" vertical="center" wrapText="1"/>
    </xf>
    <xf numFmtId="1" fontId="4" fillId="7" borderId="7" xfId="0" applyNumberFormat="1" applyFont="1" applyFill="1" applyBorder="1" applyAlignment="1">
      <alignment horizontal="center" vertical="center"/>
    </xf>
    <xf numFmtId="1" fontId="4" fillId="7" borderId="7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 wrapText="1"/>
    </xf>
    <xf numFmtId="1" fontId="4" fillId="8" borderId="7" xfId="0" applyNumberFormat="1" applyFont="1" applyFill="1" applyBorder="1" applyAlignment="1">
      <alignment horizontal="center" vertical="center"/>
    </xf>
    <xf numFmtId="1" fontId="4" fillId="8" borderId="7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horizontal="center" vertical="center" wrapText="1"/>
    </xf>
    <xf numFmtId="172" fontId="4" fillId="6" borderId="14" xfId="0" applyNumberFormat="1" applyFont="1" applyFill="1" applyBorder="1" applyAlignment="1">
      <alignment horizontal="center" vertical="center"/>
    </xf>
    <xf numFmtId="4" fontId="4" fillId="6" borderId="14" xfId="0" applyNumberFormat="1" applyFont="1" applyFill="1" applyBorder="1" applyAlignment="1">
      <alignment horizontal="right" vertical="center"/>
    </xf>
    <xf numFmtId="4" fontId="4" fillId="6" borderId="14" xfId="0" applyNumberFormat="1" applyFont="1" applyFill="1" applyBorder="1" applyAlignment="1">
      <alignment horizontal="center" vertical="center"/>
    </xf>
    <xf numFmtId="4" fontId="35" fillId="6" borderId="14" xfId="0" applyNumberFormat="1" applyFont="1" applyFill="1" applyBorder="1" applyAlignment="1">
      <alignment horizontal="center" vertical="center"/>
    </xf>
    <xf numFmtId="4" fontId="35" fillId="6" borderId="7" xfId="0" applyNumberFormat="1" applyFont="1" applyFill="1" applyBorder="1" applyAlignment="1">
      <alignment horizontal="right" vertical="center" wrapText="1"/>
    </xf>
    <xf numFmtId="0" fontId="35" fillId="6" borderId="7" xfId="0" applyFont="1" applyFill="1" applyBorder="1" applyAlignment="1">
      <alignment horizontal="justify" vertical="center" wrapText="1"/>
    </xf>
    <xf numFmtId="172" fontId="4" fillId="7" borderId="14" xfId="0" applyNumberFormat="1" applyFont="1" applyFill="1" applyBorder="1" applyAlignment="1">
      <alignment horizontal="center" vertical="center"/>
    </xf>
    <xf numFmtId="4" fontId="4" fillId="7" borderId="14" xfId="0" applyNumberFormat="1" applyFont="1" applyFill="1" applyBorder="1" applyAlignment="1">
      <alignment horizontal="right" vertical="center"/>
    </xf>
    <xf numFmtId="4" fontId="4" fillId="7" borderId="14" xfId="0" applyNumberFormat="1" applyFont="1" applyFill="1" applyBorder="1" applyAlignment="1">
      <alignment horizontal="center" vertical="center"/>
    </xf>
    <xf numFmtId="4" fontId="35" fillId="7" borderId="14" xfId="0" applyNumberFormat="1" applyFont="1" applyFill="1" applyBorder="1" applyAlignment="1">
      <alignment horizontal="center" vertical="center"/>
    </xf>
    <xf numFmtId="0" fontId="33" fillId="7" borderId="10" xfId="0" applyFont="1" applyFill="1" applyBorder="1" applyAlignment="1">
      <alignment horizontal="center" vertical="center" wrapText="1"/>
    </xf>
    <xf numFmtId="4" fontId="35" fillId="7" borderId="7" xfId="0" applyNumberFormat="1" applyFont="1" applyFill="1" applyBorder="1" applyAlignment="1">
      <alignment horizontal="right" vertical="center" wrapText="1"/>
    </xf>
    <xf numFmtId="0" fontId="35" fillId="7" borderId="7" xfId="0" applyFont="1" applyFill="1" applyBorder="1" applyAlignment="1">
      <alignment horizontal="justify" vertical="center" wrapText="1"/>
    </xf>
    <xf numFmtId="172" fontId="4" fillId="8" borderId="14" xfId="0" applyNumberFormat="1" applyFont="1" applyFill="1" applyBorder="1" applyAlignment="1">
      <alignment horizontal="center" vertical="center"/>
    </xf>
    <xf numFmtId="4" fontId="4" fillId="8" borderId="14" xfId="0" applyNumberFormat="1" applyFont="1" applyFill="1" applyBorder="1" applyAlignment="1">
      <alignment horizontal="right" vertical="center"/>
    </xf>
    <xf numFmtId="4" fontId="4" fillId="8" borderId="14" xfId="0" applyNumberFormat="1" applyFont="1" applyFill="1" applyBorder="1" applyAlignment="1">
      <alignment horizontal="center" vertical="center"/>
    </xf>
    <xf numFmtId="4" fontId="35" fillId="8" borderId="14" xfId="0" applyNumberFormat="1" applyFont="1" applyFill="1" applyBorder="1" applyAlignment="1">
      <alignment horizontal="center" vertical="center"/>
    </xf>
    <xf numFmtId="0" fontId="33" fillId="8" borderId="10" xfId="0" applyFont="1" applyFill="1" applyBorder="1" applyAlignment="1">
      <alignment horizontal="center" vertical="center" wrapText="1"/>
    </xf>
    <xf numFmtId="4" fontId="35" fillId="8" borderId="7" xfId="0" applyNumberFormat="1" applyFont="1" applyFill="1" applyBorder="1" applyAlignment="1">
      <alignment horizontal="right" vertical="center"/>
    </xf>
    <xf numFmtId="0" fontId="35" fillId="8" borderId="7" xfId="0" applyFont="1" applyFill="1" applyBorder="1" applyAlignment="1">
      <alignment horizontal="justify" vertical="center" wrapText="1"/>
    </xf>
    <xf numFmtId="0" fontId="16" fillId="6" borderId="7" xfId="0" applyFont="1" applyFill="1" applyBorder="1" applyAlignment="1">
      <alignment vertical="center" wrapText="1"/>
    </xf>
    <xf numFmtId="172" fontId="17" fillId="6" borderId="7" xfId="0" applyNumberFormat="1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justify" vertical="center" wrapText="1"/>
    </xf>
    <xf numFmtId="0" fontId="16" fillId="6" borderId="7" xfId="0" applyFont="1" applyFill="1" applyBorder="1" applyAlignment="1">
      <alignment vertical="center"/>
    </xf>
    <xf numFmtId="0" fontId="16" fillId="7" borderId="7" xfId="0" applyFont="1" applyFill="1" applyBorder="1" applyAlignment="1">
      <alignment vertical="center" wrapText="1"/>
    </xf>
    <xf numFmtId="0" fontId="16" fillId="7" borderId="7" xfId="0" applyFont="1" applyFill="1" applyBorder="1" applyAlignment="1">
      <alignment horizontal="justify" vertical="center" wrapText="1"/>
    </xf>
    <xf numFmtId="0" fontId="16" fillId="7" borderId="7" xfId="0" applyFont="1" applyFill="1" applyBorder="1" applyAlignment="1">
      <alignment vertical="center"/>
    </xf>
    <xf numFmtId="0" fontId="16" fillId="8" borderId="7" xfId="0" applyFont="1" applyFill="1" applyBorder="1" applyAlignment="1">
      <alignment vertical="center" wrapText="1"/>
    </xf>
    <xf numFmtId="0" fontId="16" fillId="8" borderId="7" xfId="0" applyFont="1" applyFill="1" applyBorder="1" applyAlignment="1">
      <alignment horizontal="justify" vertical="center" wrapText="1"/>
    </xf>
    <xf numFmtId="0" fontId="16" fillId="8" borderId="7" xfId="0" applyFont="1" applyFill="1" applyBorder="1" applyAlignment="1">
      <alignment vertical="center"/>
    </xf>
    <xf numFmtId="172" fontId="35" fillId="8" borderId="7" xfId="0" applyNumberFormat="1" applyFont="1" applyFill="1" applyBorder="1" applyAlignment="1">
      <alignment horizontal="center" vertical="center" wrapText="1"/>
    </xf>
    <xf numFmtId="172" fontId="35" fillId="6" borderId="7" xfId="0" applyNumberFormat="1" applyFont="1" applyFill="1" applyBorder="1" applyAlignment="1">
      <alignment horizontal="center" vertical="center" wrapText="1"/>
    </xf>
    <xf numFmtId="172" fontId="35" fillId="7" borderId="7" xfId="0" applyNumberFormat="1" applyFont="1" applyFill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/>
    </xf>
    <xf numFmtId="0" fontId="17" fillId="0" borderId="7" xfId="0" applyFont="1" applyBorder="1" applyAlignment="1">
      <alignment wrapText="1"/>
    </xf>
    <xf numFmtId="0" fontId="17" fillId="0" borderId="7" xfId="0" applyFont="1" applyBorder="1" applyAlignment="1">
      <alignment horizontal="center"/>
    </xf>
    <xf numFmtId="172" fontId="4" fillId="2" borderId="13" xfId="0" applyNumberFormat="1" applyFont="1" applyFill="1" applyBorder="1" applyAlignment="1">
      <alignment horizontal="center" vertical="center"/>
    </xf>
    <xf numFmtId="4" fontId="4" fillId="2" borderId="13" xfId="0" applyNumberFormat="1" applyFont="1" applyFill="1" applyBorder="1" applyAlignment="1">
      <alignment horizontal="center" vertical="center"/>
    </xf>
    <xf numFmtId="0" fontId="4" fillId="0" borderId="7" xfId="0" applyFont="1" applyBorder="1"/>
    <xf numFmtId="0" fontId="35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center"/>
    </xf>
    <xf numFmtId="3" fontId="35" fillId="2" borderId="11" xfId="0" applyNumberFormat="1" applyFont="1" applyFill="1" applyBorder="1" applyAlignment="1">
      <alignment horizontal="center" vertical="center"/>
    </xf>
    <xf numFmtId="4" fontId="33" fillId="2" borderId="13" xfId="8" applyNumberFormat="1" applyFont="1" applyFill="1" applyBorder="1" applyAlignment="1">
      <alignment vertical="center"/>
    </xf>
    <xf numFmtId="168" fontId="35" fillId="0" borderId="7" xfId="0" applyNumberFormat="1" applyFont="1" applyBorder="1" applyAlignment="1">
      <alignment horizontal="right" vertical="center"/>
    </xf>
    <xf numFmtId="168" fontId="4" fillId="0" borderId="7" xfId="0" applyNumberFormat="1" applyFont="1" applyBorder="1" applyAlignment="1">
      <alignment horizontal="right"/>
    </xf>
    <xf numFmtId="0" fontId="4" fillId="0" borderId="7" xfId="0" applyFont="1" applyBorder="1" applyAlignment="1">
      <alignment horizontal="left" wrapText="1"/>
    </xf>
    <xf numFmtId="0" fontId="4" fillId="0" borderId="7" xfId="0" applyFont="1" applyBorder="1" applyAlignment="1">
      <alignment wrapText="1"/>
    </xf>
    <xf numFmtId="3" fontId="35" fillId="2" borderId="14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0" fontId="35" fillId="2" borderId="13" xfId="0" applyFont="1" applyFill="1" applyBorder="1" applyAlignment="1">
      <alignment horizontal="left" vertical="center" wrapText="1"/>
    </xf>
    <xf numFmtId="0" fontId="35" fillId="2" borderId="1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3" fontId="35" fillId="2" borderId="13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168" fontId="4" fillId="0" borderId="7" xfId="0" applyNumberFormat="1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wrapText="1"/>
    </xf>
    <xf numFmtId="0" fontId="9" fillId="0" borderId="7" xfId="0" applyFont="1" applyBorder="1" applyAlignment="1">
      <alignment wrapText="1"/>
    </xf>
    <xf numFmtId="4" fontId="4" fillId="6" borderId="7" xfId="0" applyNumberFormat="1" applyFont="1" applyFill="1" applyBorder="1" applyAlignment="1">
      <alignment horizontal="right" vertical="center" wrapText="1"/>
    </xf>
    <xf numFmtId="170" fontId="35" fillId="2" borderId="10" xfId="8" applyNumberFormat="1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/>
    </xf>
    <xf numFmtId="170" fontId="35" fillId="2" borderId="10" xfId="8" applyNumberFormat="1" applyFont="1" applyFill="1" applyBorder="1" applyAlignment="1" applyProtection="1">
      <alignment vertical="center"/>
    </xf>
    <xf numFmtId="0" fontId="38" fillId="0" borderId="7" xfId="8" applyNumberFormat="1" applyFont="1" applyFill="1" applyBorder="1" applyAlignment="1" applyProtection="1">
      <alignment horizontal="center" vertical="center"/>
    </xf>
    <xf numFmtId="0" fontId="35" fillId="0" borderId="7" xfId="8" applyNumberFormat="1" applyFont="1" applyFill="1" applyBorder="1" applyAlignment="1" applyProtection="1">
      <alignment horizontal="center" vertical="center"/>
    </xf>
    <xf numFmtId="172" fontId="35" fillId="6" borderId="14" xfId="0" applyNumberFormat="1" applyFont="1" applyFill="1" applyBorder="1" applyAlignment="1">
      <alignment horizontal="center" vertical="center"/>
    </xf>
    <xf numFmtId="4" fontId="35" fillId="6" borderId="14" xfId="0" applyNumberFormat="1" applyFont="1" applyFill="1" applyBorder="1" applyAlignment="1">
      <alignment horizontal="right" vertical="center"/>
    </xf>
    <xf numFmtId="172" fontId="17" fillId="6" borderId="7" xfId="0" applyNumberFormat="1" applyFont="1" applyFill="1" applyBorder="1" applyAlignment="1">
      <alignment horizontal="center" vertical="center" wrapText="1"/>
    </xf>
    <xf numFmtId="4" fontId="20" fillId="6" borderId="7" xfId="0" applyNumberFormat="1" applyFont="1" applyFill="1" applyBorder="1" applyAlignment="1">
      <alignment horizontal="right" vertical="center" wrapText="1"/>
    </xf>
    <xf numFmtId="172" fontId="35" fillId="7" borderId="14" xfId="0" applyNumberFormat="1" applyFont="1" applyFill="1" applyBorder="1" applyAlignment="1">
      <alignment horizontal="center" vertical="center"/>
    </xf>
    <xf numFmtId="4" fontId="35" fillId="7" borderId="14" xfId="0" applyNumberFormat="1" applyFont="1" applyFill="1" applyBorder="1" applyAlignment="1">
      <alignment horizontal="right" vertical="center"/>
    </xf>
    <xf numFmtId="0" fontId="35" fillId="7" borderId="10" xfId="0" applyFont="1" applyFill="1" applyBorder="1" applyAlignment="1">
      <alignment horizontal="center" vertical="center" wrapText="1"/>
    </xf>
    <xf numFmtId="0" fontId="20" fillId="7" borderId="7" xfId="0" applyFont="1" applyFill="1" applyBorder="1" applyAlignment="1">
      <alignment vertical="center" wrapText="1"/>
    </xf>
    <xf numFmtId="0" fontId="35" fillId="7" borderId="12" xfId="0" applyFont="1" applyFill="1" applyBorder="1" applyAlignment="1">
      <alignment horizontal="center" vertical="center"/>
    </xf>
    <xf numFmtId="172" fontId="17" fillId="7" borderId="7" xfId="0" applyNumberFormat="1" applyFont="1" applyFill="1" applyBorder="1" applyAlignment="1">
      <alignment horizontal="center" vertical="center" wrapText="1"/>
    </xf>
    <xf numFmtId="172" fontId="20" fillId="7" borderId="7" xfId="0" applyNumberFormat="1" applyFont="1" applyFill="1" applyBorder="1" applyAlignment="1">
      <alignment horizontal="center" vertical="center" wrapText="1"/>
    </xf>
    <xf numFmtId="4" fontId="20" fillId="7" borderId="7" xfId="0" applyNumberFormat="1" applyFont="1" applyFill="1" applyBorder="1" applyAlignment="1">
      <alignment horizontal="right" vertical="center" wrapText="1"/>
    </xf>
    <xf numFmtId="4" fontId="20" fillId="7" borderId="7" xfId="0" applyNumberFormat="1" applyFont="1" applyFill="1" applyBorder="1" applyAlignment="1">
      <alignment horizontal="center" vertical="center" wrapText="1"/>
    </xf>
    <xf numFmtId="172" fontId="35" fillId="8" borderId="14" xfId="0" applyNumberFormat="1" applyFont="1" applyFill="1" applyBorder="1" applyAlignment="1">
      <alignment horizontal="center" vertical="center"/>
    </xf>
    <xf numFmtId="4" fontId="35" fillId="8" borderId="14" xfId="0" applyNumberFormat="1" applyFont="1" applyFill="1" applyBorder="1" applyAlignment="1">
      <alignment horizontal="right" vertical="center"/>
    </xf>
    <xf numFmtId="172" fontId="17" fillId="8" borderId="7" xfId="0" applyNumberFormat="1" applyFont="1" applyFill="1" applyBorder="1" applyAlignment="1">
      <alignment horizontal="center" vertical="center" wrapText="1"/>
    </xf>
    <xf numFmtId="172" fontId="20" fillId="8" borderId="7" xfId="0" applyNumberFormat="1" applyFont="1" applyFill="1" applyBorder="1" applyAlignment="1">
      <alignment horizontal="center" vertical="center" wrapText="1"/>
    </xf>
    <xf numFmtId="4" fontId="20" fillId="8" borderId="7" xfId="0" applyNumberFormat="1" applyFont="1" applyFill="1" applyBorder="1" applyAlignment="1">
      <alignment horizontal="right" vertical="center" wrapText="1"/>
    </xf>
    <xf numFmtId="4" fontId="20" fillId="8" borderId="7" xfId="0" applyNumberFormat="1" applyFont="1" applyFill="1" applyBorder="1" applyAlignment="1">
      <alignment horizontal="center" vertical="center" wrapText="1"/>
    </xf>
    <xf numFmtId="4" fontId="35" fillId="8" borderId="12" xfId="0" applyNumberFormat="1" applyFont="1" applyFill="1" applyBorder="1" applyAlignment="1">
      <alignment horizontal="center" vertical="center"/>
    </xf>
    <xf numFmtId="172" fontId="17" fillId="7" borderId="7" xfId="0" applyNumberFormat="1" applyFont="1" applyFill="1" applyBorder="1" applyAlignment="1">
      <alignment horizontal="center" vertical="center"/>
    </xf>
    <xf numFmtId="172" fontId="4" fillId="6" borderId="7" xfId="0" applyNumberFormat="1" applyFont="1" applyFill="1" applyBorder="1" applyAlignment="1">
      <alignment horizontal="right" vertical="center"/>
    </xf>
    <xf numFmtId="172" fontId="4" fillId="7" borderId="7" xfId="0" applyNumberFormat="1" applyFont="1" applyFill="1" applyBorder="1" applyAlignment="1">
      <alignment horizontal="right" vertical="center"/>
    </xf>
    <xf numFmtId="2" fontId="18" fillId="6" borderId="7" xfId="0" applyNumberFormat="1" applyFont="1" applyFill="1" applyBorder="1" applyAlignment="1">
      <alignment horizontal="center" vertical="center" wrapText="1"/>
    </xf>
    <xf numFmtId="2" fontId="26" fillId="6" borderId="7" xfId="0" applyNumberFormat="1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vertical="center"/>
    </xf>
    <xf numFmtId="0" fontId="8" fillId="6" borderId="7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left" vertical="center" wrapText="1"/>
    </xf>
    <xf numFmtId="4" fontId="8" fillId="6" borderId="7" xfId="0" applyNumberFormat="1" applyFont="1" applyFill="1" applyBorder="1" applyAlignment="1">
      <alignment horizontal="center" vertical="center"/>
    </xf>
    <xf numFmtId="4" fontId="8" fillId="6" borderId="7" xfId="0" applyNumberFormat="1" applyFont="1" applyFill="1" applyBorder="1" applyAlignment="1">
      <alignment horizontal="right" vertical="center"/>
    </xf>
    <xf numFmtId="3" fontId="8" fillId="6" borderId="7" xfId="0" applyNumberFormat="1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left" vertical="center" wrapText="1"/>
    </xf>
    <xf numFmtId="4" fontId="8" fillId="7" borderId="7" xfId="0" applyNumberFormat="1" applyFont="1" applyFill="1" applyBorder="1" applyAlignment="1">
      <alignment horizontal="center" vertical="center"/>
    </xf>
    <xf numFmtId="3" fontId="8" fillId="7" borderId="7" xfId="0" applyNumberFormat="1" applyFont="1" applyFill="1" applyBorder="1" applyAlignment="1">
      <alignment horizontal="center" vertical="center"/>
    </xf>
    <xf numFmtId="4" fontId="8" fillId="7" borderId="7" xfId="0" applyNumberFormat="1" applyFont="1" applyFill="1" applyBorder="1" applyAlignment="1">
      <alignment horizontal="right" vertical="center"/>
    </xf>
    <xf numFmtId="0" fontId="8" fillId="8" borderId="7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left" vertical="center" wrapText="1"/>
    </xf>
    <xf numFmtId="4" fontId="8" fillId="8" borderId="7" xfId="0" applyNumberFormat="1" applyFont="1" applyFill="1" applyBorder="1" applyAlignment="1">
      <alignment horizontal="center" vertical="center"/>
    </xf>
    <xf numFmtId="3" fontId="8" fillId="8" borderId="7" xfId="0" applyNumberFormat="1" applyFont="1" applyFill="1" applyBorder="1" applyAlignment="1">
      <alignment horizontal="center" vertical="center"/>
    </xf>
    <xf numFmtId="4" fontId="8" fillId="8" borderId="7" xfId="0" applyNumberFormat="1" applyFont="1" applyFill="1" applyBorder="1" applyAlignment="1">
      <alignment horizontal="right" vertical="center"/>
    </xf>
    <xf numFmtId="0" fontId="33" fillId="7" borderId="7" xfId="0" applyFont="1" applyFill="1" applyBorder="1" applyAlignment="1">
      <alignment horizontal="left" vertical="center" wrapText="1"/>
    </xf>
    <xf numFmtId="0" fontId="33" fillId="8" borderId="7" xfId="0" applyFont="1" applyFill="1" applyBorder="1" applyAlignment="1">
      <alignment horizontal="justify" vertical="center" wrapText="1"/>
    </xf>
    <xf numFmtId="0" fontId="33" fillId="6" borderId="10" xfId="0" applyFont="1" applyFill="1" applyBorder="1" applyAlignment="1">
      <alignment horizontal="center" vertical="center"/>
    </xf>
    <xf numFmtId="4" fontId="16" fillId="6" borderId="7" xfId="0" applyNumberFormat="1" applyFont="1" applyFill="1" applyBorder="1" applyAlignment="1">
      <alignment horizontal="right" vertical="center"/>
    </xf>
    <xf numFmtId="4" fontId="33" fillId="6" borderId="12" xfId="8" applyNumberFormat="1" applyFont="1" applyFill="1" applyBorder="1" applyAlignment="1">
      <alignment horizontal="right" vertical="center"/>
    </xf>
    <xf numFmtId="4" fontId="33" fillId="6" borderId="7" xfId="8" applyNumberFormat="1" applyFont="1" applyFill="1" applyBorder="1" applyAlignment="1">
      <alignment horizontal="right" vertical="center"/>
    </xf>
    <xf numFmtId="0" fontId="0" fillId="6" borderId="7" xfId="0" applyFill="1" applyBorder="1" applyAlignment="1">
      <alignment horizontal="center" wrapText="1"/>
    </xf>
    <xf numFmtId="0" fontId="33" fillId="7" borderId="7" xfId="0" applyFont="1" applyFill="1" applyBorder="1" applyAlignment="1">
      <alignment horizontal="justify" vertical="center" wrapText="1"/>
    </xf>
    <xf numFmtId="0" fontId="33" fillId="7" borderId="10" xfId="0" applyFont="1" applyFill="1" applyBorder="1" applyAlignment="1">
      <alignment horizontal="center" vertical="center"/>
    </xf>
    <xf numFmtId="4" fontId="4" fillId="7" borderId="7" xfId="0" applyNumberFormat="1" applyFont="1" applyFill="1" applyBorder="1" applyAlignment="1">
      <alignment horizontal="center" wrapText="1"/>
    </xf>
    <xf numFmtId="4" fontId="33" fillId="7" borderId="12" xfId="8" applyNumberFormat="1" applyFont="1" applyFill="1" applyBorder="1" applyAlignment="1">
      <alignment vertical="center"/>
    </xf>
    <xf numFmtId="4" fontId="35" fillId="7" borderId="7" xfId="0" applyNumberFormat="1" applyFont="1" applyFill="1" applyBorder="1" applyAlignment="1">
      <alignment horizontal="center"/>
    </xf>
    <xf numFmtId="4" fontId="39" fillId="7" borderId="7" xfId="0" applyNumberFormat="1" applyFont="1" applyFill="1" applyBorder="1" applyAlignment="1">
      <alignment horizontal="center" wrapText="1"/>
    </xf>
    <xf numFmtId="4" fontId="37" fillId="7" borderId="7" xfId="0" applyNumberFormat="1" applyFont="1" applyFill="1" applyBorder="1" applyAlignment="1">
      <alignment horizontal="center" wrapText="1"/>
    </xf>
    <xf numFmtId="4" fontId="4" fillId="8" borderId="7" xfId="0" applyNumberFormat="1" applyFont="1" applyFill="1" applyBorder="1" applyAlignment="1">
      <alignment horizontal="center" wrapText="1"/>
    </xf>
    <xf numFmtId="4" fontId="33" fillId="8" borderId="12" xfId="8" applyNumberFormat="1" applyFont="1" applyFill="1" applyBorder="1" applyAlignment="1">
      <alignment vertical="center"/>
    </xf>
    <xf numFmtId="4" fontId="16" fillId="8" borderId="7" xfId="0" applyNumberFormat="1" applyFont="1" applyFill="1" applyBorder="1" applyAlignment="1">
      <alignment horizontal="center" vertical="center" wrapText="1"/>
    </xf>
    <xf numFmtId="4" fontId="16" fillId="7" borderId="7" xfId="0" applyNumberFormat="1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justify" vertical="center" wrapText="1"/>
    </xf>
    <xf numFmtId="4" fontId="16" fillId="6" borderId="7" xfId="0" applyNumberFormat="1" applyFont="1" applyFill="1" applyBorder="1" applyAlignment="1">
      <alignment horizontal="center" vertical="center" wrapText="1"/>
    </xf>
    <xf numFmtId="4" fontId="18" fillId="2" borderId="0" xfId="0" applyNumberFormat="1" applyFont="1" applyFill="1" applyAlignment="1">
      <alignment horizontal="center" vertical="center"/>
    </xf>
    <xf numFmtId="4" fontId="35" fillId="8" borderId="7" xfId="0" applyNumberFormat="1" applyFont="1" applyFill="1" applyBorder="1" applyAlignment="1">
      <alignment horizontal="right" vertical="center" wrapText="1"/>
    </xf>
    <xf numFmtId="172" fontId="33" fillId="7" borderId="7" xfId="0" applyNumberFormat="1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2" fillId="8" borderId="7" xfId="0" applyFont="1" applyFill="1" applyBorder="1" applyAlignment="1">
      <alignment horizontal="center" vertical="center"/>
    </xf>
    <xf numFmtId="0" fontId="29" fillId="9" borderId="6" xfId="0" applyFont="1" applyFill="1" applyBorder="1" applyAlignment="1">
      <alignment horizontal="left" vertical="center" indent="1"/>
    </xf>
    <xf numFmtId="0" fontId="29" fillId="9" borderId="5" xfId="0" applyFont="1" applyFill="1" applyBorder="1" applyAlignment="1">
      <alignment horizontal="left" vertical="center" indent="1"/>
    </xf>
    <xf numFmtId="172" fontId="35" fillId="2" borderId="13" xfId="0" applyNumberFormat="1" applyFont="1" applyFill="1" applyBorder="1" applyAlignment="1">
      <alignment horizontal="right" vertical="center"/>
    </xf>
    <xf numFmtId="0" fontId="35" fillId="2" borderId="13" xfId="0" applyFont="1" applyFill="1" applyBorder="1" applyAlignment="1">
      <alignment horizontal="right" vertical="center"/>
    </xf>
    <xf numFmtId="167" fontId="35" fillId="2" borderId="13" xfId="0" applyNumberFormat="1" applyFont="1" applyFill="1" applyBorder="1" applyAlignment="1">
      <alignment horizontal="right" vertical="center"/>
    </xf>
    <xf numFmtId="4" fontId="4" fillId="2" borderId="14" xfId="0" applyNumberFormat="1" applyFont="1" applyFill="1" applyBorder="1" applyAlignment="1">
      <alignment horizontal="center" vertical="center" wrapText="1"/>
    </xf>
    <xf numFmtId="3" fontId="4" fillId="2" borderId="14" xfId="0" applyNumberFormat="1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72" fontId="35" fillId="7" borderId="13" xfId="0" applyNumberFormat="1" applyFont="1" applyFill="1" applyBorder="1" applyAlignment="1">
      <alignment horizontal="center" vertical="center"/>
    </xf>
    <xf numFmtId="172" fontId="35" fillId="7" borderId="7" xfId="0" applyNumberFormat="1" applyFont="1" applyFill="1" applyBorder="1" applyAlignment="1">
      <alignment horizontal="right" vertical="center"/>
    </xf>
    <xf numFmtId="172" fontId="35" fillId="8" borderId="13" xfId="0" applyNumberFormat="1" applyFont="1" applyFill="1" applyBorder="1" applyAlignment="1">
      <alignment horizontal="center" vertical="center"/>
    </xf>
    <xf numFmtId="172" fontId="35" fillId="8" borderId="7" xfId="0" applyNumberFormat="1" applyFont="1" applyFill="1" applyBorder="1" applyAlignment="1">
      <alignment horizontal="right" vertical="center"/>
    </xf>
    <xf numFmtId="172" fontId="35" fillId="6" borderId="13" xfId="0" applyNumberFormat="1" applyFont="1" applyFill="1" applyBorder="1" applyAlignment="1">
      <alignment horizontal="center" vertical="center"/>
    </xf>
    <xf numFmtId="167" fontId="35" fillId="6" borderId="13" xfId="0" applyNumberFormat="1" applyFont="1" applyFill="1" applyBorder="1" applyAlignment="1">
      <alignment horizontal="center" vertical="center"/>
    </xf>
    <xf numFmtId="3" fontId="35" fillId="6" borderId="13" xfId="0" applyNumberFormat="1" applyFont="1" applyFill="1" applyBorder="1" applyAlignment="1">
      <alignment horizontal="center" vertical="center"/>
    </xf>
    <xf numFmtId="2" fontId="35" fillId="6" borderId="7" xfId="0" applyNumberFormat="1" applyFont="1" applyFill="1" applyBorder="1" applyAlignment="1">
      <alignment horizontal="center" vertical="center"/>
    </xf>
    <xf numFmtId="2" fontId="26" fillId="6" borderId="7" xfId="0" applyNumberFormat="1" applyFont="1" applyFill="1" applyBorder="1" applyAlignment="1">
      <alignment horizontal="center" vertical="center"/>
    </xf>
    <xf numFmtId="2" fontId="26" fillId="7" borderId="7" xfId="0" applyNumberFormat="1" applyFont="1" applyFill="1" applyBorder="1" applyAlignment="1">
      <alignment horizontal="center" vertical="center"/>
    </xf>
    <xf numFmtId="2" fontId="26" fillId="8" borderId="7" xfId="0" applyNumberFormat="1" applyFont="1" applyFill="1" applyBorder="1" applyAlignment="1">
      <alignment horizontal="center" vertical="center"/>
    </xf>
    <xf numFmtId="0" fontId="33" fillId="10" borderId="7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3" fontId="17" fillId="6" borderId="7" xfId="0" applyNumberFormat="1" applyFont="1" applyFill="1" applyBorder="1" applyAlignment="1">
      <alignment horizontal="center" vertical="center" wrapText="1"/>
    </xf>
    <xf numFmtId="2" fontId="0" fillId="6" borderId="7" xfId="0" applyNumberFormat="1" applyFill="1" applyBorder="1" applyAlignment="1">
      <alignment horizontal="center" vertical="center" wrapText="1"/>
    </xf>
    <xf numFmtId="4" fontId="20" fillId="6" borderId="7" xfId="0" applyNumberFormat="1" applyFont="1" applyFill="1" applyBorder="1" applyAlignment="1">
      <alignment horizontal="center" vertical="center" wrapText="1"/>
    </xf>
    <xf numFmtId="2" fontId="17" fillId="6" borderId="7" xfId="0" applyNumberFormat="1" applyFont="1" applyFill="1" applyBorder="1" applyAlignment="1">
      <alignment horizontal="center" vertical="center" wrapText="1"/>
    </xf>
    <xf numFmtId="4" fontId="0" fillId="6" borderId="7" xfId="0" applyNumberFormat="1" applyFill="1" applyBorder="1" applyAlignment="1">
      <alignment horizontal="center" vertical="center" wrapText="1"/>
    </xf>
    <xf numFmtId="2" fontId="20" fillId="6" borderId="7" xfId="0" applyNumberFormat="1" applyFont="1" applyFill="1" applyBorder="1" applyAlignment="1">
      <alignment horizontal="center" vertical="center" wrapText="1"/>
    </xf>
    <xf numFmtId="172" fontId="20" fillId="6" borderId="7" xfId="0" applyNumberFormat="1" applyFont="1" applyFill="1" applyBorder="1" applyAlignment="1">
      <alignment horizontal="center" vertical="center" wrapText="1"/>
    </xf>
    <xf numFmtId="4" fontId="35" fillId="7" borderId="7" xfId="0" applyNumberFormat="1" applyFont="1" applyFill="1" applyBorder="1" applyAlignment="1">
      <alignment horizontal="right" vertical="center"/>
    </xf>
    <xf numFmtId="0" fontId="17" fillId="7" borderId="7" xfId="0" applyFont="1" applyFill="1" applyBorder="1" applyAlignment="1">
      <alignment horizontal="center" vertical="center" wrapText="1"/>
    </xf>
    <xf numFmtId="3" fontId="17" fillId="7" borderId="7" xfId="0" applyNumberFormat="1" applyFont="1" applyFill="1" applyBorder="1" applyAlignment="1">
      <alignment horizontal="center" vertical="center" wrapText="1"/>
    </xf>
    <xf numFmtId="4" fontId="0" fillId="7" borderId="7" xfId="0" applyNumberFormat="1" applyFill="1" applyBorder="1" applyAlignment="1">
      <alignment horizontal="center" vertical="center" wrapText="1"/>
    </xf>
    <xf numFmtId="2" fontId="17" fillId="7" borderId="7" xfId="0" applyNumberFormat="1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3" fontId="17" fillId="8" borderId="7" xfId="0" applyNumberFormat="1" applyFont="1" applyFill="1" applyBorder="1" applyAlignment="1">
      <alignment horizontal="center" vertical="center" wrapText="1"/>
    </xf>
    <xf numFmtId="4" fontId="0" fillId="8" borderId="7" xfId="0" applyNumberFormat="1" applyFill="1" applyBorder="1" applyAlignment="1">
      <alignment horizontal="center" vertical="center" wrapText="1"/>
    </xf>
    <xf numFmtId="2" fontId="17" fillId="8" borderId="7" xfId="0" applyNumberFormat="1" applyFont="1" applyFill="1" applyBorder="1" applyAlignment="1">
      <alignment horizontal="center" vertical="center" wrapText="1"/>
    </xf>
    <xf numFmtId="4" fontId="17" fillId="5" borderId="7" xfId="0" applyNumberFormat="1" applyFont="1" applyFill="1" applyBorder="1" applyAlignment="1">
      <alignment horizontal="center" vertical="center"/>
    </xf>
    <xf numFmtId="3" fontId="17" fillId="5" borderId="7" xfId="0" applyNumberFormat="1" applyFont="1" applyFill="1" applyBorder="1" applyAlignment="1">
      <alignment horizontal="center" vertical="center"/>
    </xf>
    <xf numFmtId="4" fontId="33" fillId="7" borderId="7" xfId="0" applyNumberFormat="1" applyFont="1" applyFill="1" applyBorder="1" applyAlignment="1">
      <alignment horizontal="right" vertical="center"/>
    </xf>
    <xf numFmtId="4" fontId="37" fillId="7" borderId="7" xfId="0" applyNumberFormat="1" applyFont="1" applyFill="1" applyBorder="1" applyAlignment="1">
      <alignment horizontal="center" vertical="center"/>
    </xf>
    <xf numFmtId="4" fontId="45" fillId="2" borderId="0" xfId="0" applyNumberFormat="1" applyFont="1" applyFill="1" applyAlignment="1">
      <alignment horizontal="center" vertical="center"/>
    </xf>
    <xf numFmtId="0" fontId="37" fillId="2" borderId="0" xfId="0" applyFont="1" applyFill="1"/>
    <xf numFmtId="0" fontId="4" fillId="2" borderId="14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7" fontId="12" fillId="0" borderId="7" xfId="0" applyNumberFormat="1" applyFont="1" applyBorder="1" applyAlignment="1">
      <alignment horizontal="center" vertical="center"/>
    </xf>
    <xf numFmtId="167" fontId="13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67" fontId="4" fillId="0" borderId="7" xfId="0" applyNumberFormat="1" applyFont="1" applyBorder="1" applyAlignment="1">
      <alignment horizontal="center" vertical="center"/>
    </xf>
    <xf numFmtId="172" fontId="35" fillId="6" borderId="13" xfId="0" applyNumberFormat="1" applyFont="1" applyFill="1" applyBorder="1" applyAlignment="1">
      <alignment horizontal="center" vertical="center" wrapText="1" shrinkToFit="1"/>
    </xf>
    <xf numFmtId="4" fontId="35" fillId="6" borderId="7" xfId="0" applyNumberFormat="1" applyFont="1" applyFill="1" applyBorder="1" applyAlignment="1">
      <alignment horizontal="right" vertical="center" wrapText="1" shrinkToFit="1"/>
    </xf>
    <xf numFmtId="0" fontId="35" fillId="6" borderId="7" xfId="0" applyFont="1" applyFill="1" applyBorder="1" applyAlignment="1">
      <alignment horizontal="left" vertical="center" wrapText="1" shrinkToFit="1"/>
    </xf>
    <xf numFmtId="0" fontId="35" fillId="6" borderId="7" xfId="0" applyFont="1" applyFill="1" applyBorder="1" applyAlignment="1">
      <alignment horizontal="center" vertical="center" wrapText="1" shrinkToFit="1"/>
    </xf>
    <xf numFmtId="172" fontId="35" fillId="6" borderId="7" xfId="0" applyNumberFormat="1" applyFont="1" applyFill="1" applyBorder="1" applyAlignment="1">
      <alignment horizontal="center" vertical="center" wrapText="1" shrinkToFit="1"/>
    </xf>
    <xf numFmtId="3" fontId="35" fillId="6" borderId="7" xfId="0" applyNumberFormat="1" applyFont="1" applyFill="1" applyBorder="1" applyAlignment="1">
      <alignment horizontal="center" vertical="center" wrapText="1" shrinkToFit="1"/>
    </xf>
    <xf numFmtId="4" fontId="35" fillId="6" borderId="7" xfId="0" applyNumberFormat="1" applyFont="1" applyFill="1" applyBorder="1" applyAlignment="1">
      <alignment horizontal="center" vertical="center" wrapText="1" shrinkToFit="1"/>
    </xf>
    <xf numFmtId="172" fontId="35" fillId="7" borderId="13" xfId="0" applyNumberFormat="1" applyFont="1" applyFill="1" applyBorder="1" applyAlignment="1">
      <alignment horizontal="center" vertical="center" wrapText="1" shrinkToFit="1"/>
    </xf>
    <xf numFmtId="4" fontId="35" fillId="7" borderId="7" xfId="0" applyNumberFormat="1" applyFont="1" applyFill="1" applyBorder="1" applyAlignment="1">
      <alignment horizontal="right" vertical="center" wrapText="1" shrinkToFit="1"/>
    </xf>
    <xf numFmtId="0" fontId="35" fillId="7" borderId="7" xfId="0" applyFont="1" applyFill="1" applyBorder="1" applyAlignment="1">
      <alignment horizontal="left" vertical="center" wrapText="1" shrinkToFit="1"/>
    </xf>
    <xf numFmtId="0" fontId="35" fillId="7" borderId="7" xfId="0" applyFont="1" applyFill="1" applyBorder="1" applyAlignment="1">
      <alignment horizontal="center" vertical="center" wrapText="1" shrinkToFit="1"/>
    </xf>
    <xf numFmtId="172" fontId="35" fillId="7" borderId="7" xfId="0" applyNumberFormat="1" applyFont="1" applyFill="1" applyBorder="1" applyAlignment="1">
      <alignment horizontal="center" vertical="center" wrapText="1" shrinkToFit="1"/>
    </xf>
    <xf numFmtId="3" fontId="35" fillId="7" borderId="7" xfId="0" applyNumberFormat="1" applyFont="1" applyFill="1" applyBorder="1" applyAlignment="1">
      <alignment horizontal="center" vertical="center" wrapText="1" shrinkToFit="1"/>
    </xf>
    <xf numFmtId="4" fontId="35" fillId="7" borderId="7" xfId="0" applyNumberFormat="1" applyFont="1" applyFill="1" applyBorder="1" applyAlignment="1">
      <alignment horizontal="center" vertical="center" wrapText="1" shrinkToFit="1"/>
    </xf>
    <xf numFmtId="172" fontId="35" fillId="8" borderId="13" xfId="0" applyNumberFormat="1" applyFont="1" applyFill="1" applyBorder="1" applyAlignment="1">
      <alignment horizontal="center" vertical="center" wrapText="1" shrinkToFit="1"/>
    </xf>
    <xf numFmtId="1" fontId="35" fillId="8" borderId="13" xfId="0" applyNumberFormat="1" applyFont="1" applyFill="1" applyBorder="1" applyAlignment="1">
      <alignment horizontal="center" vertical="center" wrapText="1" shrinkToFit="1"/>
    </xf>
    <xf numFmtId="4" fontId="35" fillId="8" borderId="7" xfId="0" applyNumberFormat="1" applyFont="1" applyFill="1" applyBorder="1" applyAlignment="1">
      <alignment horizontal="right" vertical="center" wrapText="1" shrinkToFit="1"/>
    </xf>
    <xf numFmtId="0" fontId="35" fillId="8" borderId="7" xfId="0" applyFont="1" applyFill="1" applyBorder="1" applyAlignment="1">
      <alignment horizontal="left" vertical="center" wrapText="1" shrinkToFit="1"/>
    </xf>
    <xf numFmtId="0" fontId="35" fillId="8" borderId="7" xfId="0" applyFont="1" applyFill="1" applyBorder="1" applyAlignment="1">
      <alignment horizontal="center" vertical="center" wrapText="1" shrinkToFit="1"/>
    </xf>
    <xf numFmtId="172" fontId="35" fillId="8" borderId="7" xfId="0" applyNumberFormat="1" applyFont="1" applyFill="1" applyBorder="1" applyAlignment="1">
      <alignment horizontal="center" vertical="center" wrapText="1" shrinkToFit="1"/>
    </xf>
    <xf numFmtId="3" fontId="35" fillId="8" borderId="7" xfId="0" applyNumberFormat="1" applyFont="1" applyFill="1" applyBorder="1" applyAlignment="1">
      <alignment horizontal="center" vertical="center" wrapText="1" shrinkToFit="1"/>
    </xf>
    <xf numFmtId="4" fontId="35" fillId="8" borderId="7" xfId="0" applyNumberFormat="1" applyFont="1" applyFill="1" applyBorder="1" applyAlignment="1">
      <alignment horizontal="center" vertical="center" wrapText="1" shrinkToFit="1"/>
    </xf>
    <xf numFmtId="0" fontId="29" fillId="2" borderId="6" xfId="0" applyFont="1" applyFill="1" applyBorder="1"/>
    <xf numFmtId="0" fontId="10" fillId="2" borderId="0" xfId="0" applyFont="1" applyFill="1"/>
    <xf numFmtId="172" fontId="26" fillId="2" borderId="0" xfId="0" applyNumberFormat="1" applyFont="1" applyFill="1"/>
    <xf numFmtId="3" fontId="26" fillId="2" borderId="0" xfId="0" applyNumberFormat="1" applyFont="1" applyFill="1"/>
    <xf numFmtId="1" fontId="26" fillId="2" borderId="0" xfId="0" applyNumberFormat="1" applyFont="1" applyFill="1"/>
    <xf numFmtId="4" fontId="10" fillId="2" borderId="0" xfId="0" applyNumberFormat="1" applyFont="1" applyFill="1"/>
    <xf numFmtId="0" fontId="10" fillId="2" borderId="0" xfId="0" applyFont="1" applyFill="1" applyAlignment="1">
      <alignment vertical="center"/>
    </xf>
    <xf numFmtId="4" fontId="56" fillId="2" borderId="0" xfId="8" applyNumberFormat="1" applyFont="1" applyFill="1" applyAlignment="1">
      <alignment horizontal="right" vertical="center"/>
    </xf>
    <xf numFmtId="4" fontId="56" fillId="2" borderId="1" xfId="8" applyNumberFormat="1" applyFont="1" applyFill="1" applyBorder="1" applyAlignment="1">
      <alignment horizontal="right" vertical="center"/>
    </xf>
    <xf numFmtId="3" fontId="56" fillId="2" borderId="1" xfId="8" applyNumberFormat="1" applyFont="1" applyFill="1" applyBorder="1" applyAlignment="1">
      <alignment horizontal="center" vertical="center" wrapText="1"/>
    </xf>
    <xf numFmtId="3" fontId="56" fillId="2" borderId="1" xfId="8" applyNumberFormat="1" applyFont="1" applyFill="1" applyBorder="1" applyAlignment="1">
      <alignment horizontal="center" vertical="center"/>
    </xf>
    <xf numFmtId="4" fontId="56" fillId="2" borderId="1" xfId="8" applyNumberFormat="1" applyFont="1" applyFill="1" applyBorder="1" applyAlignment="1">
      <alignment vertical="center" wrapText="1"/>
    </xf>
    <xf numFmtId="4" fontId="56" fillId="2" borderId="8" xfId="8" applyNumberFormat="1" applyFont="1" applyFill="1" applyBorder="1" applyAlignment="1">
      <alignment horizontal="center" vertical="center"/>
    </xf>
    <xf numFmtId="3" fontId="56" fillId="2" borderId="8" xfId="8" applyNumberFormat="1" applyFont="1" applyFill="1" applyBorder="1" applyAlignment="1">
      <alignment horizontal="center" vertical="center"/>
    </xf>
    <xf numFmtId="3" fontId="56" fillId="2" borderId="0" xfId="8" applyNumberFormat="1" applyFont="1" applyFill="1" applyAlignment="1">
      <alignment horizontal="center" vertical="center"/>
    </xf>
    <xf numFmtId="4" fontId="56" fillId="2" borderId="0" xfId="8" applyNumberFormat="1" applyFont="1" applyFill="1" applyAlignment="1">
      <alignment vertical="center" wrapText="1"/>
    </xf>
    <xf numFmtId="4" fontId="56" fillId="2" borderId="1" xfId="8" applyNumberFormat="1" applyFont="1" applyFill="1" applyBorder="1" applyAlignment="1">
      <alignment horizontal="left" vertical="center" wrapText="1"/>
    </xf>
    <xf numFmtId="4" fontId="56" fillId="2" borderId="21" xfId="8" applyNumberFormat="1" applyFont="1" applyFill="1" applyBorder="1" applyAlignment="1">
      <alignment horizontal="center" vertical="center"/>
    </xf>
    <xf numFmtId="4" fontId="56" fillId="2" borderId="0" xfId="8" applyNumberFormat="1" applyFont="1" applyFill="1" applyAlignment="1">
      <alignment wrapText="1"/>
    </xf>
    <xf numFmtId="4" fontId="56" fillId="2" borderId="8" xfId="8" applyNumberFormat="1" applyFont="1" applyFill="1" applyBorder="1" applyAlignment="1">
      <alignment horizontal="center"/>
    </xf>
    <xf numFmtId="4" fontId="59" fillId="2" borderId="8" xfId="8" applyNumberFormat="1" applyFont="1" applyFill="1" applyBorder="1" applyAlignment="1">
      <alignment horizontal="center"/>
    </xf>
    <xf numFmtId="4" fontId="56" fillId="2" borderId="1" xfId="8" applyNumberFormat="1" applyFont="1" applyFill="1" applyBorder="1" applyAlignment="1">
      <alignment horizontal="center" wrapText="1"/>
    </xf>
    <xf numFmtId="4" fontId="56" fillId="2" borderId="1" xfId="8" applyNumberFormat="1" applyFont="1" applyFill="1" applyBorder="1" applyAlignment="1">
      <alignment horizontal="justify" vertical="center" wrapText="1"/>
    </xf>
    <xf numFmtId="4" fontId="56" fillId="2" borderId="0" xfId="8" applyNumberFormat="1" applyFont="1" applyFill="1" applyAlignment="1">
      <alignment horizontal="center" vertical="center" wrapText="1"/>
    </xf>
    <xf numFmtId="4" fontId="61" fillId="2" borderId="1" xfId="8" applyNumberFormat="1" applyFont="1" applyFill="1" applyBorder="1" applyAlignment="1">
      <alignment horizontal="center" vertical="center"/>
    </xf>
    <xf numFmtId="3" fontId="61" fillId="2" borderId="1" xfId="8" applyNumberFormat="1" applyFont="1" applyFill="1" applyBorder="1" applyAlignment="1">
      <alignment horizontal="center" vertical="center"/>
    </xf>
    <xf numFmtId="4" fontId="56" fillId="2" borderId="0" xfId="8" applyNumberFormat="1" applyFont="1" applyFill="1" applyBorder="1" applyAlignment="1">
      <alignment horizontal="center" vertical="center" wrapText="1"/>
    </xf>
    <xf numFmtId="4" fontId="56" fillId="2" borderId="1" xfId="8" applyNumberFormat="1" applyFont="1" applyFill="1" applyBorder="1" applyAlignment="1">
      <alignment horizontal="center"/>
    </xf>
    <xf numFmtId="4" fontId="56" fillId="2" borderId="1" xfId="8" applyNumberFormat="1" applyFont="1" applyFill="1" applyBorder="1" applyAlignment="1" applyProtection="1">
      <alignment horizontal="center" vertical="center" wrapText="1"/>
    </xf>
    <xf numFmtId="4" fontId="58" fillId="2" borderId="1" xfId="8" applyNumberFormat="1" applyFont="1" applyFill="1" applyBorder="1" applyAlignment="1" applyProtection="1">
      <alignment horizontal="center" vertical="center" wrapText="1"/>
    </xf>
    <xf numFmtId="4" fontId="56" fillId="2" borderId="18" xfId="8" applyNumberFormat="1" applyFont="1" applyFill="1" applyBorder="1" applyAlignment="1">
      <alignment horizontal="center" vertical="center"/>
    </xf>
    <xf numFmtId="4" fontId="56" fillId="2" borderId="0" xfId="8" applyNumberFormat="1" applyFont="1" applyFill="1" applyAlignment="1">
      <alignment horizontal="left" vertical="center" wrapText="1"/>
    </xf>
    <xf numFmtId="4" fontId="56" fillId="2" borderId="19" xfId="8" applyNumberFormat="1" applyFont="1" applyFill="1" applyBorder="1" applyAlignment="1">
      <alignment horizontal="center" vertical="center"/>
    </xf>
    <xf numFmtId="3" fontId="56" fillId="2" borderId="1" xfId="8" applyNumberFormat="1" applyFont="1" applyFill="1" applyBorder="1" applyAlignment="1">
      <alignment horizontal="center" vertical="center" wrapText="1" readingOrder="1"/>
    </xf>
    <xf numFmtId="4" fontId="56" fillId="2" borderId="1" xfId="8" applyNumberFormat="1" applyFont="1" applyFill="1" applyBorder="1" applyAlignment="1">
      <alignment horizontal="center" vertical="center" wrapText="1" readingOrder="1"/>
    </xf>
    <xf numFmtId="4" fontId="62" fillId="2" borderId="1" xfId="8" applyNumberFormat="1" applyFont="1" applyFill="1" applyBorder="1" applyAlignment="1">
      <alignment horizontal="center" vertical="center"/>
    </xf>
    <xf numFmtId="3" fontId="56" fillId="2" borderId="18" xfId="8" applyNumberFormat="1" applyFont="1" applyFill="1" applyBorder="1" applyAlignment="1">
      <alignment horizontal="center" vertical="center"/>
    </xf>
    <xf numFmtId="4" fontId="56" fillId="2" borderId="1" xfId="8" applyNumberFormat="1" applyFont="1" applyFill="1" applyBorder="1" applyAlignment="1" applyProtection="1">
      <alignment vertical="center" wrapText="1"/>
    </xf>
    <xf numFmtId="4" fontId="56" fillId="2" borderId="1" xfId="8" applyNumberFormat="1" applyFont="1" applyFill="1" applyBorder="1" applyAlignment="1">
      <alignment horizontal="left" vertical="center" wrapText="1" shrinkToFit="1"/>
    </xf>
    <xf numFmtId="4" fontId="56" fillId="2" borderId="1" xfId="8" applyNumberFormat="1" applyFont="1" applyFill="1" applyBorder="1" applyAlignment="1">
      <alignment horizontal="justify" vertical="center"/>
    </xf>
    <xf numFmtId="4" fontId="56" fillId="2" borderId="15" xfId="8" applyNumberFormat="1" applyFont="1" applyFill="1" applyBorder="1" applyAlignment="1">
      <alignment vertical="center" wrapText="1"/>
    </xf>
    <xf numFmtId="4" fontId="62" fillId="2" borderId="0" xfId="8" applyNumberFormat="1" applyFont="1" applyFill="1"/>
    <xf numFmtId="4" fontId="56" fillId="2" borderId="21" xfId="8" applyNumberFormat="1" applyFont="1" applyFill="1" applyBorder="1" applyAlignment="1">
      <alignment horizontal="right" vertical="center"/>
    </xf>
    <xf numFmtId="4" fontId="56" fillId="2" borderId="0" xfId="8" applyNumberFormat="1" applyFont="1" applyFill="1" applyBorder="1" applyAlignment="1">
      <alignment horizontal="right" vertical="center"/>
    </xf>
    <xf numFmtId="3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3" fontId="52" fillId="2" borderId="1" xfId="0" applyNumberFormat="1" applyFont="1" applyFill="1" applyBorder="1" applyAlignment="1">
      <alignment horizontal="center" vertical="center"/>
    </xf>
    <xf numFmtId="1" fontId="52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right"/>
    </xf>
    <xf numFmtId="3" fontId="56" fillId="0" borderId="0" xfId="8" applyNumberFormat="1" applyFont="1" applyFill="1" applyAlignment="1">
      <alignment horizontal="center" vertical="center"/>
    </xf>
    <xf numFmtId="0" fontId="56" fillId="2" borderId="1" xfId="0" applyFont="1" applyFill="1" applyBorder="1" applyAlignment="1">
      <alignment vertical="center" wrapText="1"/>
    </xf>
    <xf numFmtId="4" fontId="56" fillId="2" borderId="1" xfId="0" applyNumberFormat="1" applyFont="1" applyFill="1" applyBorder="1" applyAlignment="1">
      <alignment horizontal="right" vertical="center" wrapText="1"/>
    </xf>
    <xf numFmtId="4" fontId="56" fillId="2" borderId="1" xfId="0" applyNumberFormat="1" applyFont="1" applyFill="1" applyBorder="1" applyAlignment="1">
      <alignment vertical="center" wrapText="1"/>
    </xf>
    <xf numFmtId="1" fontId="56" fillId="2" borderId="1" xfId="0" applyNumberFormat="1" applyFont="1" applyFill="1" applyBorder="1" applyAlignment="1">
      <alignment horizontal="right" vertical="center" wrapText="1"/>
    </xf>
    <xf numFmtId="2" fontId="56" fillId="2" borderId="1" xfId="0" applyNumberFormat="1" applyFont="1" applyFill="1" applyBorder="1" applyAlignment="1">
      <alignment vertical="center" wrapText="1"/>
    </xf>
    <xf numFmtId="2" fontId="56" fillId="2" borderId="1" xfId="0" applyNumberFormat="1" applyFont="1" applyFill="1" applyBorder="1" applyAlignment="1">
      <alignment horizontal="right" vertical="center" wrapText="1"/>
    </xf>
    <xf numFmtId="49" fontId="56" fillId="2" borderId="1" xfId="0" applyNumberFormat="1" applyFont="1" applyFill="1" applyBorder="1" applyAlignment="1">
      <alignment horizontal="right" vertical="center" wrapText="1"/>
    </xf>
    <xf numFmtId="0" fontId="56" fillId="2" borderId="1" xfId="0" applyFont="1" applyFill="1" applyBorder="1" applyAlignment="1">
      <alignment horizontal="left" vertical="center" wrapText="1"/>
    </xf>
    <xf numFmtId="1" fontId="56" fillId="2" borderId="1" xfId="0" applyNumberFormat="1" applyFont="1" applyFill="1" applyBorder="1" applyAlignment="1">
      <alignment vertical="center" wrapText="1"/>
    </xf>
    <xf numFmtId="4" fontId="56" fillId="2" borderId="1" xfId="0" applyNumberFormat="1" applyFont="1" applyFill="1" applyBorder="1" applyAlignment="1">
      <alignment vertical="center"/>
    </xf>
    <xf numFmtId="4" fontId="63" fillId="2" borderId="1" xfId="0" applyNumberFormat="1" applyFont="1" applyFill="1" applyBorder="1" applyAlignment="1">
      <alignment vertical="center"/>
    </xf>
    <xf numFmtId="4" fontId="64" fillId="2" borderId="1" xfId="0" applyNumberFormat="1" applyFont="1" applyFill="1" applyBorder="1" applyAlignment="1">
      <alignment vertical="center"/>
    </xf>
    <xf numFmtId="4" fontId="56" fillId="2" borderId="1" xfId="12" applyNumberFormat="1" applyFont="1" applyFill="1" applyBorder="1" applyAlignment="1">
      <alignment vertical="center" wrapText="1"/>
    </xf>
    <xf numFmtId="4" fontId="56" fillId="2" borderId="1" xfId="0" applyNumberFormat="1" applyFont="1" applyFill="1" applyBorder="1" applyAlignment="1">
      <alignment horizontal="center" vertical="center" wrapText="1"/>
    </xf>
    <xf numFmtId="4" fontId="56" fillId="2" borderId="8" xfId="8" applyNumberFormat="1" applyFont="1" applyFill="1" applyBorder="1" applyAlignment="1">
      <alignment horizontal="center" vertical="center" wrapText="1"/>
    </xf>
    <xf numFmtId="4" fontId="56" fillId="2" borderId="15" xfId="8" applyNumberFormat="1" applyFont="1" applyFill="1" applyBorder="1" applyAlignment="1">
      <alignment horizontal="center" vertical="center" wrapText="1"/>
    </xf>
    <xf numFmtId="4" fontId="56" fillId="2" borderId="8" xfId="8" applyNumberFormat="1" applyFont="1" applyFill="1" applyBorder="1" applyAlignment="1">
      <alignment horizontal="left" vertical="center" wrapText="1"/>
    </xf>
    <xf numFmtId="4" fontId="56" fillId="2" borderId="15" xfId="8" applyNumberFormat="1" applyFont="1" applyFill="1" applyBorder="1" applyAlignment="1">
      <alignment horizontal="left" vertical="center" wrapText="1"/>
    </xf>
    <xf numFmtId="4" fontId="56" fillId="2" borderId="1" xfId="8" applyNumberFormat="1" applyFont="1" applyFill="1" applyBorder="1" applyAlignment="1">
      <alignment horizontal="center" vertical="center" wrapText="1"/>
    </xf>
    <xf numFmtId="4" fontId="56" fillId="2" borderId="0" xfId="8" applyNumberFormat="1" applyFont="1" applyFill="1" applyAlignment="1">
      <alignment horizontal="center" vertical="center"/>
    </xf>
    <xf numFmtId="3" fontId="56" fillId="0" borderId="1" xfId="8" applyNumberFormat="1" applyFont="1" applyFill="1" applyBorder="1" applyAlignment="1">
      <alignment horizontal="center" vertical="center" wrapText="1"/>
    </xf>
    <xf numFmtId="3" fontId="56" fillId="0" borderId="1" xfId="8" applyNumberFormat="1" applyFont="1" applyFill="1" applyBorder="1" applyAlignment="1">
      <alignment horizontal="center" vertical="center"/>
    </xf>
    <xf numFmtId="4" fontId="56" fillId="2" borderId="1" xfId="8" applyNumberFormat="1" applyFont="1" applyFill="1" applyBorder="1" applyAlignment="1">
      <alignment horizontal="center" vertical="center"/>
    </xf>
    <xf numFmtId="4" fontId="56" fillId="2" borderId="0" xfId="8" applyNumberFormat="1" applyFont="1" applyFill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52" fillId="2" borderId="1" xfId="0" applyFont="1" applyFill="1" applyBorder="1" applyAlignment="1">
      <alignment horizontal="center" vertical="center"/>
    </xf>
    <xf numFmtId="4" fontId="65" fillId="2" borderId="0" xfId="8" applyNumberFormat="1" applyFont="1" applyFill="1"/>
    <xf numFmtId="172" fontId="10" fillId="2" borderId="1" xfId="0" applyNumberFormat="1" applyFont="1" applyFill="1" applyBorder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center" vertical="top"/>
    </xf>
    <xf numFmtId="1" fontId="10" fillId="2" borderId="1" xfId="0" applyNumberFormat="1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/>
    </xf>
    <xf numFmtId="4" fontId="56" fillId="2" borderId="1" xfId="8" applyNumberFormat="1" applyFont="1" applyFill="1" applyBorder="1" applyAlignment="1">
      <alignment horizontal="center" vertical="top"/>
    </xf>
    <xf numFmtId="4" fontId="56" fillId="2" borderId="1" xfId="8" applyNumberFormat="1" applyFont="1" applyFill="1" applyBorder="1" applyAlignment="1">
      <alignment vertical="top" wrapText="1"/>
    </xf>
    <xf numFmtId="3" fontId="56" fillId="2" borderId="1" xfId="8" applyNumberFormat="1" applyFont="1" applyFill="1" applyBorder="1" applyAlignment="1">
      <alignment horizontal="center" vertical="top"/>
    </xf>
    <xf numFmtId="4" fontId="56" fillId="2" borderId="1" xfId="8" applyNumberFormat="1" applyFont="1" applyFill="1" applyBorder="1" applyAlignment="1">
      <alignment horizontal="right" vertical="top"/>
    </xf>
    <xf numFmtId="4" fontId="56" fillId="2" borderId="8" xfId="8" applyNumberFormat="1" applyFont="1" applyFill="1" applyBorder="1" applyAlignment="1">
      <alignment horizontal="center" vertical="top"/>
    </xf>
    <xf numFmtId="0" fontId="51" fillId="0" borderId="0" xfId="0" applyFont="1" applyAlignment="1">
      <alignment horizontal="center" vertical="center" wrapText="1"/>
    </xf>
    <xf numFmtId="0" fontId="50" fillId="0" borderId="0" xfId="0" applyFont="1" applyAlignment="1">
      <alignment vertical="center" wrapText="1"/>
    </xf>
    <xf numFmtId="0" fontId="50" fillId="0" borderId="0" xfId="0" applyFont="1" applyAlignment="1">
      <alignment vertical="center"/>
    </xf>
    <xf numFmtId="0" fontId="50" fillId="0" borderId="0" xfId="0" applyFont="1" applyAlignment="1">
      <alignment horizontal="center" vertical="center"/>
    </xf>
    <xf numFmtId="4" fontId="50" fillId="0" borderId="0" xfId="0" applyNumberFormat="1" applyFont="1" applyAlignment="1">
      <alignment horizontal="right" vertical="center"/>
    </xf>
    <xf numFmtId="1" fontId="50" fillId="0" borderId="0" xfId="0" applyNumberFormat="1" applyFont="1" applyAlignment="1">
      <alignment horizontal="center" vertical="center"/>
    </xf>
    <xf numFmtId="165" fontId="50" fillId="0" borderId="0" xfId="8" applyFont="1" applyFill="1" applyAlignment="1">
      <alignment horizontal="center" vertical="center"/>
    </xf>
    <xf numFmtId="4" fontId="51" fillId="0" borderId="0" xfId="0" applyNumberFormat="1" applyFont="1" applyAlignment="1">
      <alignment horizontal="center" vertical="center" wrapText="1"/>
    </xf>
    <xf numFmtId="4" fontId="51" fillId="0" borderId="0" xfId="0" applyNumberFormat="1" applyFont="1" applyAlignment="1">
      <alignment vertical="center" wrapText="1"/>
    </xf>
    <xf numFmtId="4" fontId="51" fillId="0" borderId="1" xfId="0" applyNumberFormat="1" applyFont="1" applyBorder="1" applyAlignment="1">
      <alignment horizontal="center" vertical="center" textRotation="90" wrapText="1"/>
    </xf>
    <xf numFmtId="4" fontId="51" fillId="0" borderId="1" xfId="0" applyNumberFormat="1" applyFont="1" applyBorder="1" applyAlignment="1">
      <alignment horizontal="center" vertical="top" wrapText="1"/>
    </xf>
    <xf numFmtId="1" fontId="51" fillId="0" borderId="1" xfId="0" applyNumberFormat="1" applyFont="1" applyBorder="1" applyAlignment="1">
      <alignment horizontal="center" vertical="top" wrapText="1"/>
    </xf>
    <xf numFmtId="165" fontId="51" fillId="0" borderId="1" xfId="8" applyFont="1" applyFill="1" applyBorder="1" applyAlignment="1">
      <alignment horizontal="center" vertical="top" wrapText="1"/>
    </xf>
    <xf numFmtId="0" fontId="51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/>
    </xf>
    <xf numFmtId="3" fontId="51" fillId="0" borderId="1" xfId="0" applyNumberFormat="1" applyFont="1" applyBorder="1" applyAlignment="1">
      <alignment horizontal="center" vertical="center"/>
    </xf>
    <xf numFmtId="1" fontId="51" fillId="0" borderId="1" xfId="0" applyNumberFormat="1" applyFont="1" applyBorder="1" applyAlignment="1">
      <alignment horizontal="center" vertical="center"/>
    </xf>
    <xf numFmtId="173" fontId="51" fillId="0" borderId="1" xfId="8" applyNumberFormat="1" applyFont="1" applyFill="1" applyBorder="1" applyAlignment="1">
      <alignment horizontal="center" vertical="center"/>
    </xf>
    <xf numFmtId="0" fontId="51" fillId="0" borderId="22" xfId="0" applyFont="1" applyBorder="1" applyAlignment="1">
      <alignment horizontal="center" vertical="center" wrapText="1"/>
    </xf>
    <xf numFmtId="0" fontId="51" fillId="0" borderId="15" xfId="0" applyFont="1" applyBorder="1" applyAlignment="1">
      <alignment horizontal="center" vertical="center" wrapText="1"/>
    </xf>
    <xf numFmtId="4" fontId="51" fillId="0" borderId="1" xfId="0" applyNumberFormat="1" applyFont="1" applyBorder="1" applyAlignment="1">
      <alignment horizontal="center" vertical="center" wrapText="1"/>
    </xf>
    <xf numFmtId="1" fontId="51" fillId="0" borderId="1" xfId="0" applyNumberFormat="1" applyFont="1" applyBorder="1" applyAlignment="1">
      <alignment horizontal="center" vertical="center" wrapText="1"/>
    </xf>
    <xf numFmtId="165" fontId="51" fillId="0" borderId="1" xfId="8" applyFont="1" applyFill="1" applyBorder="1" applyAlignment="1">
      <alignment horizontal="center" vertical="center" wrapText="1"/>
    </xf>
    <xf numFmtId="0" fontId="51" fillId="0" borderId="0" xfId="0" applyFont="1" applyAlignment="1">
      <alignment vertical="center"/>
    </xf>
    <xf numFmtId="4" fontId="51" fillId="0" borderId="0" xfId="0" applyNumberFormat="1" applyFont="1" applyAlignment="1">
      <alignment vertical="center"/>
    </xf>
    <xf numFmtId="4" fontId="51" fillId="0" borderId="1" xfId="0" applyNumberFormat="1" applyFont="1" applyBorder="1" applyAlignment="1">
      <alignment horizontal="center" vertical="center"/>
    </xf>
    <xf numFmtId="0" fontId="51" fillId="0" borderId="8" xfId="0" applyFont="1" applyBorder="1" applyAlignment="1">
      <alignment horizontal="left" vertical="center" wrapText="1"/>
    </xf>
    <xf numFmtId="0" fontId="51" fillId="0" borderId="15" xfId="0" applyFont="1" applyBorder="1" applyAlignment="1">
      <alignment horizontal="left" vertical="center" wrapText="1"/>
    </xf>
    <xf numFmtId="165" fontId="51" fillId="0" borderId="1" xfId="8" applyFont="1" applyFill="1" applyBorder="1" applyAlignment="1">
      <alignment horizontal="center" vertical="center"/>
    </xf>
    <xf numFmtId="0" fontId="51" fillId="0" borderId="1" xfId="0" applyFont="1" applyBorder="1" applyAlignment="1">
      <alignment horizontal="left" vertical="center"/>
    </xf>
    <xf numFmtId="2" fontId="51" fillId="0" borderId="1" xfId="0" applyNumberFormat="1" applyFont="1" applyBorder="1" applyAlignment="1">
      <alignment horizontal="center" vertical="center"/>
    </xf>
    <xf numFmtId="39" fontId="51" fillId="0" borderId="1" xfId="12" applyNumberFormat="1" applyFont="1" applyFill="1" applyBorder="1" applyAlignment="1">
      <alignment horizontal="center" vertical="center"/>
    </xf>
    <xf numFmtId="165" fontId="51" fillId="0" borderId="1" xfId="12" applyFont="1" applyFill="1" applyBorder="1" applyAlignment="1">
      <alignment horizontal="center" vertical="center"/>
    </xf>
    <xf numFmtId="0" fontId="51" fillId="0" borderId="1" xfId="0" applyFont="1" applyBorder="1" applyAlignment="1">
      <alignment horizontal="left" vertical="center" wrapText="1"/>
    </xf>
    <xf numFmtId="3" fontId="51" fillId="0" borderId="1" xfId="0" applyNumberFormat="1" applyFont="1" applyBorder="1" applyAlignment="1">
      <alignment horizontal="center" vertical="center" wrapText="1"/>
    </xf>
    <xf numFmtId="2" fontId="51" fillId="0" borderId="1" xfId="0" applyNumberFormat="1" applyFont="1" applyBorder="1" applyAlignment="1">
      <alignment horizontal="center" vertical="center" wrapText="1"/>
    </xf>
    <xf numFmtId="0" fontId="50" fillId="0" borderId="0" xfId="0" applyFont="1"/>
    <xf numFmtId="0" fontId="51" fillId="0" borderId="8" xfId="0" applyFont="1" applyBorder="1" applyAlignment="1">
      <alignment horizontal="left" vertical="center"/>
    </xf>
    <xf numFmtId="0" fontId="51" fillId="0" borderId="0" xfId="9" applyFont="1" applyAlignment="1">
      <alignment horizontal="center" vertical="center"/>
    </xf>
    <xf numFmtId="0" fontId="51" fillId="0" borderId="0" xfId="0" applyFont="1"/>
    <xf numFmtId="2" fontId="51" fillId="0" borderId="1" xfId="0" applyNumberFormat="1" applyFont="1" applyBorder="1" applyAlignment="1">
      <alignment horizontal="left" vertical="center"/>
    </xf>
    <xf numFmtId="0" fontId="51" fillId="0" borderId="1" xfId="0" applyFont="1" applyBorder="1" applyAlignment="1">
      <alignment vertical="center"/>
    </xf>
    <xf numFmtId="4" fontId="51" fillId="0" borderId="1" xfId="8" applyNumberFormat="1" applyFont="1" applyFill="1" applyBorder="1" applyAlignment="1">
      <alignment horizontal="center" vertical="center"/>
    </xf>
    <xf numFmtId="0" fontId="51" fillId="0" borderId="1" xfId="0" applyFont="1" applyBorder="1" applyAlignment="1">
      <alignment vertical="center" wrapText="1"/>
    </xf>
    <xf numFmtId="0" fontId="50" fillId="0" borderId="1" xfId="0" applyFont="1" applyBorder="1" applyAlignment="1">
      <alignment horizontal="center" vertical="center"/>
    </xf>
    <xf numFmtId="1" fontId="51" fillId="0" borderId="20" xfId="0" applyNumberFormat="1" applyFont="1" applyBorder="1" applyAlignment="1">
      <alignment horizontal="center" vertical="center" wrapText="1"/>
    </xf>
    <xf numFmtId="0" fontId="51" fillId="0" borderId="1" xfId="0" applyFont="1" applyBorder="1" applyAlignment="1">
      <alignment horizontal="justify" vertical="center" wrapText="1"/>
    </xf>
    <xf numFmtId="4" fontId="51" fillId="0" borderId="1" xfId="0" applyNumberFormat="1" applyFont="1" applyBorder="1" applyAlignment="1">
      <alignment horizontal="center"/>
    </xf>
    <xf numFmtId="49" fontId="5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" fontId="51" fillId="0" borderId="1" xfId="0" applyNumberFormat="1" applyFont="1" applyBorder="1" applyAlignment="1">
      <alignment vertical="center" wrapText="1"/>
    </xf>
    <xf numFmtId="1" fontId="51" fillId="0" borderId="1" xfId="0" applyNumberFormat="1" applyFont="1" applyBorder="1" applyAlignment="1">
      <alignment vertical="center"/>
    </xf>
    <xf numFmtId="2" fontId="51" fillId="0" borderId="0" xfId="0" applyNumberFormat="1" applyFont="1" applyAlignment="1">
      <alignment vertical="center"/>
    </xf>
    <xf numFmtId="0" fontId="51" fillId="0" borderId="1" xfId="0" applyFont="1" applyBorder="1" applyAlignment="1">
      <alignment horizontal="center"/>
    </xf>
    <xf numFmtId="164" fontId="51" fillId="0" borderId="1" xfId="0" applyNumberFormat="1" applyFont="1" applyBorder="1" applyAlignment="1">
      <alignment vertical="center"/>
    </xf>
    <xf numFmtId="0" fontId="51" fillId="0" borderId="1" xfId="8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4" fontId="51" fillId="0" borderId="1" xfId="0" applyNumberFormat="1" applyFont="1" applyBorder="1" applyAlignment="1">
      <alignment horizontal="right" vertical="center"/>
    </xf>
    <xf numFmtId="2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49" fontId="51" fillId="0" borderId="1" xfId="0" applyNumberFormat="1" applyFont="1" applyBorder="1" applyAlignment="1">
      <alignment horizontal="center" vertical="center" wrapText="1"/>
    </xf>
    <xf numFmtId="4" fontId="51" fillId="0" borderId="1" xfId="12" applyNumberFormat="1" applyFont="1" applyFill="1" applyBorder="1" applyAlignment="1">
      <alignment horizontal="center" vertical="center"/>
    </xf>
    <xf numFmtId="0" fontId="33" fillId="0" borderId="0" xfId="0" applyFont="1"/>
    <xf numFmtId="0" fontId="51" fillId="0" borderId="22" xfId="0" applyFont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4" fontId="51" fillId="0" borderId="1" xfId="13" applyNumberFormat="1" applyFont="1" applyBorder="1" applyAlignment="1">
      <alignment horizontal="center" vertical="center" wrapText="1"/>
    </xf>
    <xf numFmtId="4" fontId="51" fillId="0" borderId="0" xfId="0" applyNumberFormat="1" applyFont="1" applyAlignment="1">
      <alignment horizontal="center" vertical="center"/>
    </xf>
    <xf numFmtId="3" fontId="51" fillId="0" borderId="1" xfId="8" applyNumberFormat="1" applyFont="1" applyFill="1" applyBorder="1" applyAlignment="1">
      <alignment horizontal="center" vertical="center"/>
    </xf>
    <xf numFmtId="0" fontId="51" fillId="0" borderId="0" xfId="0" applyFont="1" applyAlignment="1">
      <alignment vertical="center" wrapText="1"/>
    </xf>
    <xf numFmtId="170" fontId="51" fillId="0" borderId="1" xfId="8" applyNumberFormat="1" applyFont="1" applyFill="1" applyBorder="1" applyAlignment="1" applyProtection="1">
      <alignment horizontal="center" vertical="center"/>
    </xf>
    <xf numFmtId="0" fontId="51" fillId="0" borderId="1" xfId="8" applyNumberFormat="1" applyFont="1" applyFill="1" applyBorder="1" applyAlignment="1" applyProtection="1">
      <alignment horizontal="center" vertical="center"/>
    </xf>
    <xf numFmtId="1" fontId="51" fillId="0" borderId="1" xfId="8" applyNumberFormat="1" applyFont="1" applyFill="1" applyBorder="1" applyAlignment="1" applyProtection="1">
      <alignment horizontal="center" vertical="center"/>
    </xf>
    <xf numFmtId="165" fontId="51" fillId="0" borderId="1" xfId="8" applyFont="1" applyFill="1" applyBorder="1" applyAlignment="1" applyProtection="1">
      <alignment horizontal="center" vertical="center"/>
    </xf>
    <xf numFmtId="0" fontId="51" fillId="0" borderId="1" xfId="0" applyFont="1" applyBorder="1" applyAlignment="1">
      <alignment horizontal="justify" vertical="center"/>
    </xf>
    <xf numFmtId="0" fontId="60" fillId="0" borderId="1" xfId="8" applyNumberFormat="1" applyFont="1" applyFill="1" applyBorder="1" applyAlignment="1" applyProtection="1">
      <alignment horizontal="center" vertical="center"/>
    </xf>
    <xf numFmtId="1" fontId="60" fillId="0" borderId="1" xfId="8" applyNumberFormat="1" applyFont="1" applyFill="1" applyBorder="1" applyAlignment="1" applyProtection="1">
      <alignment horizontal="center" vertical="center"/>
    </xf>
    <xf numFmtId="165" fontId="60" fillId="0" borderId="1" xfId="8" applyFont="1" applyFill="1" applyBorder="1" applyAlignment="1" applyProtection="1">
      <alignment horizontal="center" vertical="center"/>
    </xf>
    <xf numFmtId="1" fontId="51" fillId="0" borderId="8" xfId="0" applyNumberFormat="1" applyFont="1" applyBorder="1" applyAlignment="1">
      <alignment horizontal="center" vertical="center" wrapText="1"/>
    </xf>
    <xf numFmtId="2" fontId="51" fillId="0" borderId="1" xfId="8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51" fillId="0" borderId="1" xfId="10" applyFont="1" applyBorder="1" applyAlignment="1">
      <alignment horizontal="center" vertical="center" wrapText="1"/>
    </xf>
    <xf numFmtId="4" fontId="60" fillId="0" borderId="1" xfId="8" applyNumberFormat="1" applyFont="1" applyFill="1" applyBorder="1" applyAlignment="1" applyProtection="1">
      <alignment horizontal="center" vertical="center"/>
    </xf>
    <xf numFmtId="0" fontId="51" fillId="0" borderId="16" xfId="0" applyFont="1" applyBorder="1" applyAlignment="1">
      <alignment vertical="center" wrapText="1"/>
    </xf>
    <xf numFmtId="172" fontId="51" fillId="0" borderId="1" xfId="0" applyNumberFormat="1" applyFont="1" applyBorder="1" applyAlignment="1">
      <alignment horizontal="center" vertical="center"/>
    </xf>
    <xf numFmtId="0" fontId="51" fillId="0" borderId="0" xfId="9" applyFont="1" applyAlignment="1">
      <alignment horizontal="center" vertical="center" wrapText="1"/>
    </xf>
    <xf numFmtId="0" fontId="51" fillId="0" borderId="0" xfId="0" applyFont="1" applyAlignment="1">
      <alignment horizontal="left" vertical="center" wrapText="1"/>
    </xf>
    <xf numFmtId="165" fontId="51" fillId="0" borderId="1" xfId="0" applyNumberFormat="1" applyFont="1" applyBorder="1" applyAlignment="1">
      <alignment horizontal="center" vertical="center" wrapText="1"/>
    </xf>
    <xf numFmtId="172" fontId="51" fillId="0" borderId="1" xfId="0" applyNumberFormat="1" applyFont="1" applyBorder="1" applyAlignment="1">
      <alignment horizontal="center" vertical="center" wrapText="1"/>
    </xf>
    <xf numFmtId="4" fontId="51" fillId="0" borderId="1" xfId="0" applyNumberFormat="1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39" fontId="7" fillId="0" borderId="1" xfId="12" applyNumberFormat="1" applyFont="1" applyFill="1" applyBorder="1" applyAlignment="1">
      <alignment horizontal="right" vertical="center"/>
    </xf>
    <xf numFmtId="2" fontId="51" fillId="0" borderId="1" xfId="0" applyNumberFormat="1" applyFont="1" applyBorder="1" applyAlignment="1">
      <alignment horizontal="left" vertical="center" wrapText="1"/>
    </xf>
    <xf numFmtId="0" fontId="51" fillId="0" borderId="1" xfId="11" applyFont="1" applyBorder="1" applyAlignment="1">
      <alignment vertical="center" wrapText="1"/>
    </xf>
    <xf numFmtId="168" fontId="51" fillId="0" borderId="1" xfId="0" applyNumberFormat="1" applyFont="1" applyBorder="1" applyAlignment="1">
      <alignment horizontal="center" vertical="center"/>
    </xf>
    <xf numFmtId="169" fontId="60" fillId="0" borderId="1" xfId="8" applyNumberFormat="1" applyFont="1" applyFill="1" applyBorder="1" applyAlignment="1" applyProtection="1">
      <alignment vertical="center"/>
    </xf>
    <xf numFmtId="0" fontId="50" fillId="0" borderId="1" xfId="8" applyNumberFormat="1" applyFont="1" applyFill="1" applyBorder="1" applyAlignment="1" applyProtection="1">
      <alignment horizontal="center" vertical="center"/>
    </xf>
    <xf numFmtId="0" fontId="51" fillId="0" borderId="1" xfId="0" applyFont="1" applyBorder="1" applyAlignment="1">
      <alignment horizontal="left" vertical="center" wrapText="1" shrinkToFit="1"/>
    </xf>
    <xf numFmtId="0" fontId="51" fillId="0" borderId="1" xfId="0" applyFont="1" applyBorder="1" applyAlignment="1">
      <alignment vertical="center" wrapText="1" shrinkToFit="1"/>
    </xf>
    <xf numFmtId="0" fontId="51" fillId="0" borderId="1" xfId="0" applyFont="1" applyBorder="1" applyAlignment="1">
      <alignment horizontal="center" vertical="center" wrapText="1" shrinkToFit="1"/>
    </xf>
    <xf numFmtId="4" fontId="51" fillId="0" borderId="1" xfId="0" applyNumberFormat="1" applyFont="1" applyBorder="1" applyAlignment="1">
      <alignment horizontal="center" vertical="center" wrapText="1" shrinkToFit="1"/>
    </xf>
    <xf numFmtId="1" fontId="51" fillId="0" borderId="1" xfId="0" applyNumberFormat="1" applyFont="1" applyBorder="1" applyAlignment="1">
      <alignment horizontal="center" vertical="center" wrapText="1" shrinkToFit="1"/>
    </xf>
    <xf numFmtId="0" fontId="51" fillId="0" borderId="1" xfId="0" applyFont="1" applyBorder="1"/>
    <xf numFmtId="166" fontId="51" fillId="0" borderId="1" xfId="0" applyNumberFormat="1" applyFont="1" applyBorder="1" applyAlignment="1">
      <alignment vertical="center" wrapText="1"/>
    </xf>
    <xf numFmtId="0" fontId="51" fillId="0" borderId="1" xfId="0" applyFont="1" applyBorder="1" applyAlignment="1">
      <alignment horizontal="right" vertical="center"/>
    </xf>
    <xf numFmtId="0" fontId="53" fillId="0" borderId="1" xfId="0" applyFont="1" applyBorder="1" applyAlignment="1">
      <alignment horizontal="center" vertical="center"/>
    </xf>
    <xf numFmtId="4" fontId="51" fillId="0" borderId="1" xfId="8" applyNumberFormat="1" applyFont="1" applyFill="1" applyBorder="1" applyAlignment="1">
      <alignment horizontal="center" vertical="center" wrapText="1"/>
    </xf>
    <xf numFmtId="165" fontId="51" fillId="0" borderId="18" xfId="8" applyFont="1" applyFill="1" applyBorder="1" applyAlignment="1">
      <alignment horizontal="center" vertical="center" wrapText="1"/>
    </xf>
    <xf numFmtId="4" fontId="51" fillId="0" borderId="18" xfId="0" applyNumberFormat="1" applyFont="1" applyBorder="1" applyAlignment="1">
      <alignment horizontal="center" vertical="center" wrapText="1"/>
    </xf>
    <xf numFmtId="1" fontId="51" fillId="0" borderId="1" xfId="0" applyNumberFormat="1" applyFont="1" applyBorder="1" applyAlignment="1">
      <alignment horizontal="left" vertical="center" wrapText="1"/>
    </xf>
    <xf numFmtId="17" fontId="51" fillId="0" borderId="1" xfId="0" applyNumberFormat="1" applyFont="1" applyBorder="1" applyAlignment="1">
      <alignment horizontal="center" vertical="center"/>
    </xf>
    <xf numFmtId="164" fontId="51" fillId="0" borderId="1" xfId="0" applyNumberFormat="1" applyFont="1" applyBorder="1" applyAlignment="1">
      <alignment horizontal="left" vertical="center" wrapText="1"/>
    </xf>
    <xf numFmtId="164" fontId="51" fillId="0" borderId="1" xfId="0" applyNumberFormat="1" applyFont="1" applyBorder="1" applyAlignment="1">
      <alignment horizontal="center" vertical="center"/>
    </xf>
    <xf numFmtId="171" fontId="51" fillId="0" borderId="1" xfId="0" applyNumberFormat="1" applyFont="1" applyBorder="1" applyAlignment="1">
      <alignment horizontal="center" vertical="center"/>
    </xf>
    <xf numFmtId="4" fontId="50" fillId="0" borderId="0" xfId="0" applyNumberFormat="1" applyFont="1" applyAlignment="1">
      <alignment horizontal="center" vertical="center"/>
    </xf>
    <xf numFmtId="4" fontId="51" fillId="0" borderId="1" xfId="0" applyNumberFormat="1" applyFont="1" applyBorder="1" applyAlignment="1">
      <alignment horizontal="center" vertical="center" textRotation="90" wrapText="1"/>
    </xf>
    <xf numFmtId="4" fontId="51" fillId="0" borderId="1" xfId="0" applyNumberFormat="1" applyFont="1" applyBorder="1" applyAlignment="1">
      <alignment horizontal="center" vertical="top" wrapText="1"/>
    </xf>
    <xf numFmtId="39" fontId="7" fillId="0" borderId="1" xfId="12" applyNumberFormat="1" applyFont="1" applyFill="1" applyBorder="1" applyAlignment="1">
      <alignment horizontal="center" vertical="center"/>
    </xf>
    <xf numFmtId="4" fontId="56" fillId="2" borderId="23" xfId="8" applyNumberFormat="1" applyFont="1" applyFill="1" applyBorder="1" applyAlignment="1">
      <alignment horizontal="right" vertical="center"/>
    </xf>
    <xf numFmtId="4" fontId="56" fillId="2" borderId="0" xfId="8" applyNumberFormat="1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left" vertical="center" wrapText="1"/>
    </xf>
    <xf numFmtId="0" fontId="4" fillId="6" borderId="12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1" fontId="4" fillId="6" borderId="10" xfId="0" applyNumberFormat="1" applyFont="1" applyFill="1" applyBorder="1" applyAlignment="1">
      <alignment horizontal="left" vertical="center" wrapText="1"/>
    </xf>
    <xf numFmtId="1" fontId="4" fillId="6" borderId="11" xfId="0" applyNumberFormat="1" applyFont="1" applyFill="1" applyBorder="1" applyAlignment="1">
      <alignment horizontal="left" vertical="center" wrapText="1"/>
    </xf>
    <xf numFmtId="1" fontId="4" fillId="6" borderId="12" xfId="0" applyNumberFormat="1" applyFont="1" applyFill="1" applyBorder="1" applyAlignment="1">
      <alignment horizontal="left" vertical="center" wrapText="1"/>
    </xf>
    <xf numFmtId="0" fontId="33" fillId="2" borderId="7" xfId="0" applyFont="1" applyFill="1" applyBorder="1" applyAlignment="1">
      <alignment horizontal="justify" vertical="center" wrapText="1"/>
    </xf>
    <xf numFmtId="0" fontId="35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vertical="center" wrapText="1"/>
    </xf>
    <xf numFmtId="0" fontId="4" fillId="6" borderId="14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horizontal="center" vertical="center" textRotation="90"/>
    </xf>
    <xf numFmtId="0" fontId="14" fillId="2" borderId="7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 textRotation="90" wrapText="1"/>
    </xf>
    <xf numFmtId="0" fontId="14" fillId="2" borderId="7" xfId="0" applyFont="1" applyFill="1" applyBorder="1" applyAlignment="1">
      <alignment horizontal="center" vertical="center" wrapText="1"/>
    </xf>
    <xf numFmtId="0" fontId="36" fillId="6" borderId="7" xfId="0" applyFont="1" applyFill="1" applyBorder="1" applyAlignment="1">
      <alignment vertical="center" wrapText="1"/>
    </xf>
    <xf numFmtId="0" fontId="35" fillId="6" borderId="7" xfId="0" applyFont="1" applyFill="1" applyBorder="1" applyAlignment="1">
      <alignment horizontal="left" vertical="center" wrapText="1"/>
    </xf>
    <xf numFmtId="0" fontId="35" fillId="6" borderId="13" xfId="0" applyFont="1" applyFill="1" applyBorder="1" applyAlignment="1">
      <alignment horizontal="left" vertical="center" wrapText="1"/>
    </xf>
    <xf numFmtId="4" fontId="14" fillId="2" borderId="7" xfId="0" applyNumberFormat="1" applyFont="1" applyFill="1" applyBorder="1" applyAlignment="1">
      <alignment horizontal="center" vertical="center" textRotation="90" wrapText="1"/>
    </xf>
    <xf numFmtId="3" fontId="14" fillId="2" borderId="7" xfId="0" applyNumberFormat="1" applyFont="1" applyFill="1" applyBorder="1" applyAlignment="1">
      <alignment horizontal="center" vertical="center" textRotation="90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14" xfId="0" applyFont="1" applyFill="1" applyBorder="1" applyAlignment="1">
      <alignment horizontal="left" vertical="center" wrapText="1"/>
    </xf>
    <xf numFmtId="4" fontId="7" fillId="2" borderId="0" xfId="0" applyNumberFormat="1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4" fontId="7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4" fontId="14" fillId="2" borderId="7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4" fontId="7" fillId="2" borderId="0" xfId="0" applyNumberFormat="1" applyFont="1" applyFill="1" applyAlignment="1">
      <alignment horizontal="center" wrapText="1"/>
    </xf>
    <xf numFmtId="172" fontId="14" fillId="2" borderId="7" xfId="0" applyNumberFormat="1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4" fontId="6" fillId="2" borderId="0" xfId="0" applyNumberFormat="1" applyFont="1" applyFill="1" applyAlignment="1">
      <alignment horizontal="center" vertical="center" wrapText="1"/>
    </xf>
    <xf numFmtId="0" fontId="35" fillId="2" borderId="7" xfId="0" applyFont="1" applyFill="1" applyBorder="1" applyAlignment="1">
      <alignment vertical="center" wrapText="1"/>
    </xf>
    <xf numFmtId="0" fontId="35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/>
    </xf>
    <xf numFmtId="0" fontId="33" fillId="2" borderId="7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vertical="center"/>
    </xf>
    <xf numFmtId="0" fontId="35" fillId="6" borderId="10" xfId="0" applyFont="1" applyFill="1" applyBorder="1" applyAlignment="1">
      <alignment horizontal="left" vertical="center" wrapText="1"/>
    </xf>
    <xf numFmtId="0" fontId="35" fillId="6" borderId="11" xfId="0" applyFont="1" applyFill="1" applyBorder="1" applyAlignment="1">
      <alignment horizontal="left" vertical="center" wrapText="1"/>
    </xf>
    <xf numFmtId="0" fontId="35" fillId="6" borderId="12" xfId="0" applyFont="1" applyFill="1" applyBorder="1" applyAlignment="1">
      <alignment horizontal="left" vertical="center" wrapText="1"/>
    </xf>
    <xf numFmtId="0" fontId="4" fillId="6" borderId="13" xfId="0" applyFont="1" applyFill="1" applyBorder="1" applyAlignment="1">
      <alignment vertical="center"/>
    </xf>
    <xf numFmtId="0" fontId="4" fillId="6" borderId="7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left" vertical="center" wrapText="1"/>
    </xf>
    <xf numFmtId="0" fontId="35" fillId="7" borderId="13" xfId="0" applyFont="1" applyFill="1" applyBorder="1" applyAlignment="1">
      <alignment horizontal="left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vertical="center"/>
    </xf>
    <xf numFmtId="0" fontId="36" fillId="7" borderId="7" xfId="0" applyFont="1" applyFill="1" applyBorder="1" applyAlignment="1">
      <alignment vertical="center" wrapText="1"/>
    </xf>
    <xf numFmtId="0" fontId="33" fillId="7" borderId="7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vertical="center" wrapText="1"/>
    </xf>
    <xf numFmtId="0" fontId="33" fillId="2" borderId="7" xfId="0" applyFont="1" applyFill="1" applyBorder="1" applyAlignment="1">
      <alignment vertical="center"/>
    </xf>
    <xf numFmtId="0" fontId="4" fillId="7" borderId="13" xfId="0" applyFont="1" applyFill="1" applyBorder="1" applyAlignment="1">
      <alignment vertical="center"/>
    </xf>
    <xf numFmtId="0" fontId="4" fillId="7" borderId="14" xfId="0" applyFont="1" applyFill="1" applyBorder="1" applyAlignment="1">
      <alignment horizontal="left" vertical="center" wrapText="1"/>
    </xf>
    <xf numFmtId="0" fontId="35" fillId="0" borderId="10" xfId="0" applyFont="1" applyBorder="1" applyAlignment="1">
      <alignment horizontal="left" vertical="center" wrapText="1"/>
    </xf>
    <xf numFmtId="0" fontId="35" fillId="0" borderId="11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left" vertical="center" wrapText="1"/>
    </xf>
    <xf numFmtId="0" fontId="4" fillId="7" borderId="1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7" borderId="7" xfId="0" applyFont="1" applyFill="1" applyBorder="1" applyAlignment="1">
      <alignment horizontal="left" vertical="center"/>
    </xf>
    <xf numFmtId="0" fontId="4" fillId="8" borderId="10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4" fillId="8" borderId="14" xfId="0" applyFont="1" applyFill="1" applyBorder="1" applyAlignment="1">
      <alignment horizontal="left" vertical="center" wrapText="1"/>
    </xf>
    <xf numFmtId="0" fontId="35" fillId="8" borderId="7" xfId="0" applyFont="1" applyFill="1" applyBorder="1" applyAlignment="1">
      <alignment horizontal="left" vertical="center" wrapText="1"/>
    </xf>
    <xf numFmtId="0" fontId="35" fillId="8" borderId="13" xfId="0" applyFont="1" applyFill="1" applyBorder="1" applyAlignment="1">
      <alignment horizontal="left" vertical="center" wrapText="1"/>
    </xf>
    <xf numFmtId="0" fontId="35" fillId="7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vertical="center"/>
    </xf>
    <xf numFmtId="0" fontId="36" fillId="8" borderId="7" xfId="0" applyFont="1" applyFill="1" applyBorder="1" applyAlignment="1">
      <alignment vertical="center" wrapText="1"/>
    </xf>
    <xf numFmtId="0" fontId="4" fillId="8" borderId="7" xfId="0" applyFont="1" applyFill="1" applyBorder="1" applyAlignment="1">
      <alignment vertical="center" wrapText="1"/>
    </xf>
    <xf numFmtId="0" fontId="4" fillId="8" borderId="13" xfId="0" applyFont="1" applyFill="1" applyBorder="1" applyAlignment="1">
      <alignment vertical="center"/>
    </xf>
    <xf numFmtId="0" fontId="4" fillId="8" borderId="14" xfId="0" applyFont="1" applyFill="1" applyBorder="1" applyAlignment="1">
      <alignment vertical="center" wrapText="1"/>
    </xf>
    <xf numFmtId="1" fontId="4" fillId="8" borderId="10" xfId="0" applyNumberFormat="1" applyFont="1" applyFill="1" applyBorder="1" applyAlignment="1">
      <alignment horizontal="left" vertical="center" wrapText="1"/>
    </xf>
    <xf numFmtId="1" fontId="4" fillId="8" borderId="11" xfId="0" applyNumberFormat="1" applyFont="1" applyFill="1" applyBorder="1" applyAlignment="1">
      <alignment horizontal="left" vertical="center" wrapText="1"/>
    </xf>
    <xf numFmtId="1" fontId="4" fillId="8" borderId="12" xfId="0" applyNumberFormat="1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/>
    </xf>
    <xf numFmtId="0" fontId="10" fillId="0" borderId="7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172" fontId="9" fillId="2" borderId="7" xfId="0" applyNumberFormat="1" applyFont="1" applyFill="1" applyBorder="1" applyAlignment="1">
      <alignment horizontal="center" vertical="center" wrapText="1"/>
    </xf>
    <xf numFmtId="3" fontId="9" fillId="2" borderId="7" xfId="0" applyNumberFormat="1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51" fillId="0" borderId="17" xfId="0" applyFont="1" applyBorder="1" applyAlignment="1">
      <alignment horizontal="left" vertical="center" wrapText="1"/>
    </xf>
    <xf numFmtId="0" fontId="51" fillId="0" borderId="8" xfId="0" applyFont="1" applyBorder="1" applyAlignment="1">
      <alignment horizontal="left" vertical="center"/>
    </xf>
    <xf numFmtId="0" fontId="51" fillId="0" borderId="22" xfId="0" applyFont="1" applyBorder="1" applyAlignment="1">
      <alignment horizontal="left" vertical="center"/>
    </xf>
    <xf numFmtId="0" fontId="51" fillId="0" borderId="15" xfId="0" applyFont="1" applyBorder="1" applyAlignment="1">
      <alignment horizontal="left" vertical="center"/>
    </xf>
    <xf numFmtId="1" fontId="51" fillId="0" borderId="8" xfId="0" applyNumberFormat="1" applyFont="1" applyBorder="1" applyAlignment="1">
      <alignment horizontal="left" vertical="center" wrapText="1"/>
    </xf>
    <xf numFmtId="1" fontId="51" fillId="0" borderId="22" xfId="0" applyNumberFormat="1" applyFont="1" applyBorder="1" applyAlignment="1">
      <alignment horizontal="left" vertical="center" wrapText="1"/>
    </xf>
    <xf numFmtId="1" fontId="51" fillId="0" borderId="15" xfId="0" applyNumberFormat="1" applyFont="1" applyBorder="1" applyAlignment="1">
      <alignment horizontal="left" vertical="center" wrapText="1"/>
    </xf>
    <xf numFmtId="0" fontId="51" fillId="0" borderId="8" xfId="0" applyFont="1" applyBorder="1" applyAlignment="1">
      <alignment horizontal="center" vertical="center" wrapText="1"/>
    </xf>
    <xf numFmtId="0" fontId="51" fillId="0" borderId="22" xfId="0" applyFont="1" applyBorder="1" applyAlignment="1">
      <alignment horizontal="center" vertical="center" wrapText="1"/>
    </xf>
    <xf numFmtId="0" fontId="51" fillId="0" borderId="15" xfId="0" applyFont="1" applyBorder="1" applyAlignment="1">
      <alignment horizontal="center" vertical="center" wrapText="1"/>
    </xf>
    <xf numFmtId="0" fontId="51" fillId="0" borderId="8" xfId="0" applyFont="1" applyBorder="1" applyAlignment="1">
      <alignment horizontal="left" vertical="center" wrapText="1"/>
    </xf>
    <xf numFmtId="0" fontId="51" fillId="0" borderId="22" xfId="0" applyFont="1" applyBorder="1" applyAlignment="1">
      <alignment horizontal="left" vertical="center" wrapText="1"/>
    </xf>
    <xf numFmtId="0" fontId="51" fillId="0" borderId="15" xfId="0" applyFont="1" applyBorder="1" applyAlignment="1">
      <alignment horizontal="left" vertical="center" wrapText="1"/>
    </xf>
    <xf numFmtId="0" fontId="51" fillId="0" borderId="8" xfId="0" applyFont="1" applyBorder="1" applyAlignment="1">
      <alignment vertical="center"/>
    </xf>
    <xf numFmtId="0" fontId="51" fillId="0" borderId="22" xfId="0" applyFont="1" applyBorder="1" applyAlignment="1">
      <alignment vertical="center"/>
    </xf>
    <xf numFmtId="0" fontId="51" fillId="0" borderId="15" xfId="0" applyFont="1" applyBorder="1" applyAlignment="1">
      <alignment vertical="center"/>
    </xf>
    <xf numFmtId="4" fontId="53" fillId="0" borderId="0" xfId="0" applyNumberFormat="1" applyFont="1" applyAlignment="1">
      <alignment horizontal="left" vertical="center" wrapText="1"/>
    </xf>
    <xf numFmtId="0" fontId="53" fillId="0" borderId="0" xfId="0" applyFont="1" applyAlignment="1">
      <alignment horizontal="center" vertical="center" wrapText="1"/>
    </xf>
    <xf numFmtId="0" fontId="54" fillId="0" borderId="0" xfId="0" applyFont="1" applyAlignment="1">
      <alignment vertical="center"/>
    </xf>
    <xf numFmtId="0" fontId="51" fillId="0" borderId="1" xfId="0" applyFont="1" applyBorder="1" applyAlignment="1">
      <alignment horizontal="center" vertical="center" textRotation="90" wrapText="1"/>
    </xf>
    <xf numFmtId="0" fontId="51" fillId="0" borderId="1" xfId="0" applyFont="1" applyBorder="1" applyAlignment="1">
      <alignment horizontal="center" vertical="top" wrapText="1"/>
    </xf>
    <xf numFmtId="0" fontId="51" fillId="0" borderId="1" xfId="0" applyFont="1" applyBorder="1" applyAlignment="1">
      <alignment horizontal="center" vertical="top"/>
    </xf>
    <xf numFmtId="0" fontId="51" fillId="0" borderId="1" xfId="0" applyFont="1" applyBorder="1" applyAlignment="1">
      <alignment horizontal="center" vertical="center" textRotation="90"/>
    </xf>
    <xf numFmtId="4" fontId="51" fillId="0" borderId="1" xfId="0" applyNumberFormat="1" applyFont="1" applyBorder="1" applyAlignment="1">
      <alignment horizontal="center" vertical="center" textRotation="90" wrapText="1"/>
    </xf>
    <xf numFmtId="1" fontId="51" fillId="0" borderId="1" xfId="0" applyNumberFormat="1" applyFont="1" applyBorder="1" applyAlignment="1">
      <alignment horizontal="center" vertical="center" textRotation="90" wrapText="1"/>
    </xf>
    <xf numFmtId="4" fontId="51" fillId="0" borderId="1" xfId="0" applyNumberFormat="1" applyFont="1" applyBorder="1" applyAlignment="1">
      <alignment horizontal="center" vertical="top" wrapText="1"/>
    </xf>
    <xf numFmtId="4" fontId="50" fillId="0" borderId="1" xfId="0" applyNumberFormat="1" applyFont="1" applyBorder="1" applyAlignment="1">
      <alignment horizontal="center" vertical="top"/>
    </xf>
    <xf numFmtId="165" fontId="51" fillId="0" borderId="1" xfId="8" applyFont="1" applyFill="1" applyBorder="1" applyAlignment="1">
      <alignment horizontal="center" vertical="center" textRotation="90" wrapText="1"/>
    </xf>
    <xf numFmtId="0" fontId="51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2" fontId="51" fillId="0" borderId="8" xfId="0" applyNumberFormat="1" applyFont="1" applyBorder="1" applyAlignment="1">
      <alignment horizontal="left" vertical="center" wrapText="1"/>
    </xf>
    <xf numFmtId="2" fontId="51" fillId="0" borderId="22" xfId="0" applyNumberFormat="1" applyFont="1" applyBorder="1" applyAlignment="1">
      <alignment horizontal="left" vertical="center" wrapText="1"/>
    </xf>
    <xf numFmtId="2" fontId="51" fillId="0" borderId="15" xfId="0" applyNumberFormat="1" applyFont="1" applyBorder="1" applyAlignment="1">
      <alignment horizontal="left" vertical="center" wrapText="1"/>
    </xf>
    <xf numFmtId="4" fontId="56" fillId="2" borderId="8" xfId="8" applyNumberFormat="1" applyFont="1" applyFill="1" applyBorder="1" applyAlignment="1">
      <alignment horizontal="center" vertical="center" wrapText="1"/>
    </xf>
    <xf numFmtId="4" fontId="56" fillId="2" borderId="15" xfId="8" applyNumberFormat="1" applyFont="1" applyFill="1" applyBorder="1" applyAlignment="1">
      <alignment horizontal="center" vertical="center" wrapText="1"/>
    </xf>
    <xf numFmtId="4" fontId="56" fillId="2" borderId="8" xfId="8" applyNumberFormat="1" applyFont="1" applyFill="1" applyBorder="1" applyAlignment="1">
      <alignment horizontal="left" vertical="center" wrapText="1"/>
    </xf>
    <xf numFmtId="4" fontId="56" fillId="2" borderId="15" xfId="8" applyNumberFormat="1" applyFont="1" applyFill="1" applyBorder="1" applyAlignment="1">
      <alignment horizontal="left" vertical="center" wrapText="1"/>
    </xf>
    <xf numFmtId="3" fontId="56" fillId="0" borderId="8" xfId="8" applyNumberFormat="1" applyFont="1" applyFill="1" applyBorder="1" applyAlignment="1">
      <alignment horizontal="left" vertical="center" wrapText="1"/>
    </xf>
    <xf numFmtId="3" fontId="56" fillId="0" borderId="15" xfId="8" applyNumberFormat="1" applyFont="1" applyFill="1" applyBorder="1" applyAlignment="1">
      <alignment horizontal="left" vertical="center" wrapText="1"/>
    </xf>
    <xf numFmtId="0" fontId="56" fillId="2" borderId="1" xfId="0" applyFont="1" applyFill="1" applyBorder="1" applyAlignment="1">
      <alignment horizontal="center" vertical="center" textRotation="90"/>
    </xf>
    <xf numFmtId="4" fontId="56" fillId="2" borderId="1" xfId="8" applyNumberFormat="1" applyFont="1" applyFill="1" applyBorder="1" applyAlignment="1">
      <alignment horizontal="center" vertical="center" textRotation="90"/>
    </xf>
    <xf numFmtId="4" fontId="56" fillId="2" borderId="1" xfId="8" applyNumberFormat="1" applyFont="1" applyFill="1" applyBorder="1" applyAlignment="1">
      <alignment horizontal="center" vertical="top" wrapText="1"/>
    </xf>
    <xf numFmtId="4" fontId="56" fillId="2" borderId="1" xfId="8" applyNumberFormat="1" applyFont="1" applyFill="1" applyBorder="1" applyAlignment="1">
      <alignment horizontal="center" vertical="center" wrapText="1"/>
    </xf>
    <xf numFmtId="4" fontId="56" fillId="2" borderId="0" xfId="8" applyNumberFormat="1" applyFont="1" applyFill="1" applyAlignment="1">
      <alignment horizontal="center" vertical="center"/>
    </xf>
    <xf numFmtId="3" fontId="56" fillId="0" borderId="1" xfId="8" applyNumberFormat="1" applyFont="1" applyFill="1" applyBorder="1" applyAlignment="1">
      <alignment horizontal="center" vertical="top" wrapText="1"/>
    </xf>
    <xf numFmtId="3" fontId="56" fillId="0" borderId="1" xfId="8" applyNumberFormat="1" applyFont="1" applyFill="1" applyBorder="1" applyAlignment="1">
      <alignment horizontal="center" vertical="top"/>
    </xf>
    <xf numFmtId="4" fontId="56" fillId="2" borderId="1" xfId="8" applyNumberFormat="1" applyFont="1" applyFill="1" applyBorder="1" applyAlignment="1">
      <alignment horizontal="center" vertical="top"/>
    </xf>
    <xf numFmtId="0" fontId="56" fillId="2" borderId="1" xfId="0" applyFont="1" applyFill="1" applyBorder="1" applyAlignment="1">
      <alignment horizontal="center" vertical="top" wrapText="1"/>
    </xf>
    <xf numFmtId="4" fontId="56" fillId="2" borderId="1" xfId="8" applyNumberFormat="1" applyFont="1" applyFill="1" applyBorder="1" applyAlignment="1">
      <alignment horizontal="center" vertical="center"/>
    </xf>
    <xf numFmtId="4" fontId="56" fillId="2" borderId="0" xfId="8" applyNumberFormat="1" applyFont="1" applyFill="1" applyAlignment="1">
      <alignment vertical="top"/>
    </xf>
    <xf numFmtId="4" fontId="56" fillId="2" borderId="0" xfId="8" applyNumberFormat="1" applyFont="1" applyFill="1" applyAlignment="1">
      <alignment horizontal="left" vertical="center"/>
    </xf>
    <xf numFmtId="4" fontId="56" fillId="2" borderId="0" xfId="8" applyNumberFormat="1" applyFont="1" applyFill="1" applyAlignment="1">
      <alignment vertical="top" wrapText="1"/>
    </xf>
    <xf numFmtId="4" fontId="56" fillId="2" borderId="0" xfId="8" applyNumberFormat="1" applyFont="1" applyFill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172" fontId="10" fillId="2" borderId="1" xfId="0" applyNumberFormat="1" applyFont="1" applyFill="1" applyBorder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center" vertical="top" wrapText="1"/>
    </xf>
    <xf numFmtId="1" fontId="10" fillId="2" borderId="1" xfId="0" applyNumberFormat="1" applyFont="1" applyFill="1" applyBorder="1" applyAlignment="1">
      <alignment horizontal="center" vertical="top" wrapText="1"/>
    </xf>
    <xf numFmtId="0" fontId="52" fillId="2" borderId="1" xfId="0" applyFont="1" applyFill="1" applyBorder="1" applyAlignment="1">
      <alignment horizontal="center" vertical="center"/>
    </xf>
  </cellXfs>
  <cellStyles count="14">
    <cellStyle name="Excel Built-in Normal 1" xfId="9"/>
    <cellStyle name="TableStyleLight1" xfId="10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13"/>
    <cellStyle name="Обычный_Лист1" xfId="11"/>
    <cellStyle name="Финансовый" xfId="8" builtinId="3"/>
    <cellStyle name="Финансовый 2" xfId="12"/>
  </cellStyles>
  <dxfs count="0"/>
  <tableStyles count="0" defaultTableStyle="TableStyleMedium2" defaultPivotStyle="PivotStyleLight16"/>
  <colors>
    <mruColors>
      <color rgb="FF0000FF"/>
      <color rgb="FFFFFF66"/>
      <color rgb="FFCCFF99"/>
      <color rgb="FFFF3300"/>
      <color rgb="FF99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11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16.bin"/><Relationship Id="rId10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15.bin"/><Relationship Id="rId9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.bin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11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27.bin"/><Relationship Id="rId10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26.bin"/><Relationship Id="rId9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6.bin"/><Relationship Id="rId7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11" Type="http://schemas.openxmlformats.org/officeDocument/2006/relationships/printerSettings" Target="../printerSettings/printerSettings44.bin"/><Relationship Id="rId5" Type="http://schemas.openxmlformats.org/officeDocument/2006/relationships/printerSettings" Target="../printerSettings/printerSettings38.bin"/><Relationship Id="rId10" Type="http://schemas.openxmlformats.org/officeDocument/2006/relationships/printerSettings" Target="../printerSettings/printerSettings43.bin"/><Relationship Id="rId4" Type="http://schemas.openxmlformats.org/officeDocument/2006/relationships/printerSettings" Target="../printerSettings/printerSettings37.bin"/><Relationship Id="rId9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2.bin"/><Relationship Id="rId3" Type="http://schemas.openxmlformats.org/officeDocument/2006/relationships/printerSettings" Target="../printerSettings/printerSettings47.bin"/><Relationship Id="rId7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6" Type="http://schemas.openxmlformats.org/officeDocument/2006/relationships/printerSettings" Target="../printerSettings/printerSettings50.bin"/><Relationship Id="rId11" Type="http://schemas.openxmlformats.org/officeDocument/2006/relationships/printerSettings" Target="../printerSettings/printerSettings55.bin"/><Relationship Id="rId5" Type="http://schemas.openxmlformats.org/officeDocument/2006/relationships/printerSettings" Target="../printerSettings/printerSettings49.bin"/><Relationship Id="rId10" Type="http://schemas.openxmlformats.org/officeDocument/2006/relationships/printerSettings" Target="../printerSettings/printerSettings54.bin"/><Relationship Id="rId4" Type="http://schemas.openxmlformats.org/officeDocument/2006/relationships/printerSettings" Target="../printerSettings/printerSettings48.bin"/><Relationship Id="rId9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3.bin"/><Relationship Id="rId3" Type="http://schemas.openxmlformats.org/officeDocument/2006/relationships/printerSettings" Target="../printerSettings/printerSettings58.bin"/><Relationship Id="rId7" Type="http://schemas.openxmlformats.org/officeDocument/2006/relationships/printerSettings" Target="../printerSettings/printerSettings62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6" Type="http://schemas.openxmlformats.org/officeDocument/2006/relationships/printerSettings" Target="../printerSettings/printerSettings61.bin"/><Relationship Id="rId1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60.bin"/><Relationship Id="rId10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59.bin"/><Relationship Id="rId9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4.bin"/><Relationship Id="rId3" Type="http://schemas.openxmlformats.org/officeDocument/2006/relationships/printerSettings" Target="../printerSettings/printerSettings69.bin"/><Relationship Id="rId7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Relationship Id="rId6" Type="http://schemas.openxmlformats.org/officeDocument/2006/relationships/printerSettings" Target="../printerSettings/printerSettings72.bin"/><Relationship Id="rId11" Type="http://schemas.openxmlformats.org/officeDocument/2006/relationships/printerSettings" Target="../printerSettings/printerSettings77.bin"/><Relationship Id="rId5" Type="http://schemas.openxmlformats.org/officeDocument/2006/relationships/printerSettings" Target="../printerSettings/printerSettings71.bin"/><Relationship Id="rId10" Type="http://schemas.openxmlformats.org/officeDocument/2006/relationships/printerSettings" Target="../printerSettings/printerSettings76.bin"/><Relationship Id="rId4" Type="http://schemas.openxmlformats.org/officeDocument/2006/relationships/printerSettings" Target="../printerSettings/printerSettings70.bin"/><Relationship Id="rId9" Type="http://schemas.openxmlformats.org/officeDocument/2006/relationships/printerSettings" Target="../printerSettings/printerSettings7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V1580"/>
  <sheetViews>
    <sheetView view="pageBreakPreview" topLeftCell="A10" zoomScale="62" zoomScaleNormal="45" zoomScaleSheetLayoutView="62" workbookViewId="0">
      <pane xSplit="2" ySplit="8" topLeftCell="C818" activePane="bottomRight" state="frozen"/>
      <selection activeCell="A10" sqref="A10"/>
      <selection pane="topRight" activeCell="C10" sqref="C10"/>
      <selection pane="bottomLeft" activeCell="A18" sqref="A18"/>
      <selection pane="bottomRight" activeCell="A10" sqref="A1:XFD1048576"/>
    </sheetView>
  </sheetViews>
  <sheetFormatPr defaultColWidth="8.85546875" defaultRowHeight="18.75"/>
  <cols>
    <col min="1" max="1" width="10.85546875" style="11" customWidth="1"/>
    <col min="2" max="2" width="34.85546875" style="68" customWidth="1"/>
    <col min="3" max="3" width="9.28515625" style="2" customWidth="1"/>
    <col min="4" max="4" width="7.5703125" style="2" customWidth="1"/>
    <col min="5" max="5" width="14" style="2" customWidth="1"/>
    <col min="6" max="6" width="6.5703125" style="2" customWidth="1"/>
    <col min="7" max="7" width="6.7109375" style="2" customWidth="1"/>
    <col min="8" max="8" width="14.7109375" style="43" customWidth="1"/>
    <col min="9" max="9" width="13.42578125" style="2" customWidth="1"/>
    <col min="10" max="10" width="12.42578125" style="2" customWidth="1"/>
    <col min="11" max="11" width="12.42578125" style="45" customWidth="1"/>
    <col min="12" max="12" width="17.42578125" style="30" customWidth="1"/>
    <col min="13" max="13" width="11.28515625" style="2" customWidth="1"/>
    <col min="14" max="14" width="14.28515625" style="30" customWidth="1"/>
    <col min="15" max="15" width="16.7109375" style="30" customWidth="1"/>
    <col min="16" max="16" width="11.28515625" style="2" customWidth="1"/>
    <col min="17" max="17" width="10.7109375" style="30" customWidth="1"/>
    <col min="18" max="18" width="10.85546875" style="30" customWidth="1"/>
    <col min="19" max="19" width="12" style="2" customWidth="1"/>
    <col min="20" max="16384" width="8.85546875" style="2"/>
  </cols>
  <sheetData>
    <row r="1" spans="1:21">
      <c r="O1" s="1094" t="s">
        <v>31</v>
      </c>
      <c r="P1" s="1095"/>
      <c r="Q1" s="1094"/>
      <c r="R1" s="1094"/>
      <c r="S1" s="1095"/>
    </row>
    <row r="2" spans="1:21">
      <c r="O2" s="1094" t="s">
        <v>214</v>
      </c>
      <c r="P2" s="1095"/>
      <c r="Q2" s="1094"/>
      <c r="R2" s="1094"/>
      <c r="S2" s="1095"/>
    </row>
    <row r="3" spans="1:21">
      <c r="O3" s="1094" t="s">
        <v>437</v>
      </c>
      <c r="P3" s="1095"/>
      <c r="Q3" s="1094"/>
      <c r="R3" s="1094"/>
      <c r="S3" s="1095"/>
    </row>
    <row r="4" spans="1:21">
      <c r="J4" s="27"/>
      <c r="K4" s="46"/>
      <c r="L4" s="69"/>
      <c r="M4" s="27"/>
      <c r="N4" s="70"/>
      <c r="O4" s="1096"/>
      <c r="P4" s="1097"/>
      <c r="Q4" s="1096"/>
      <c r="R4" s="1096"/>
      <c r="S4" s="1097"/>
    </row>
    <row r="5" spans="1:21">
      <c r="J5" s="27"/>
      <c r="K5" s="46"/>
      <c r="L5" s="69"/>
      <c r="M5" s="27"/>
      <c r="N5" s="71"/>
      <c r="O5" s="1094"/>
      <c r="P5" s="1095"/>
      <c r="Q5" s="1094"/>
      <c r="R5" s="1094"/>
      <c r="S5" s="1095"/>
    </row>
    <row r="6" spans="1:21">
      <c r="A6" s="1099" t="s">
        <v>438</v>
      </c>
      <c r="B6" s="1099"/>
      <c r="C6" s="1099"/>
      <c r="D6" s="1099"/>
      <c r="E6" s="1099"/>
      <c r="F6" s="1099"/>
      <c r="G6" s="1099"/>
      <c r="H6" s="1099"/>
      <c r="I6" s="1099"/>
      <c r="J6" s="1099"/>
      <c r="K6" s="1099"/>
      <c r="L6" s="1100"/>
      <c r="M6" s="1099"/>
      <c r="N6" s="1100"/>
      <c r="O6" s="1100"/>
      <c r="P6" s="1099"/>
      <c r="Q6" s="1100"/>
      <c r="R6" s="1100"/>
      <c r="S6" s="1099"/>
    </row>
    <row r="7" spans="1:21">
      <c r="A7" s="1099" t="s">
        <v>465</v>
      </c>
      <c r="B7" s="1099"/>
      <c r="C7" s="1099"/>
      <c r="D7" s="1099"/>
      <c r="E7" s="1099"/>
      <c r="F7" s="1099"/>
      <c r="G7" s="1099"/>
      <c r="H7" s="1099"/>
      <c r="I7" s="1099"/>
      <c r="J7" s="1099"/>
      <c r="K7" s="1099"/>
      <c r="L7" s="1100"/>
      <c r="M7" s="1099"/>
      <c r="N7" s="1100"/>
      <c r="O7" s="1100"/>
      <c r="P7" s="1099"/>
      <c r="Q7" s="1100"/>
      <c r="R7" s="1100"/>
      <c r="S7" s="1099"/>
    </row>
    <row r="8" spans="1:21">
      <c r="A8" s="1099" t="s">
        <v>466</v>
      </c>
      <c r="B8" s="1099"/>
      <c r="C8" s="1099"/>
      <c r="D8" s="1099"/>
      <c r="E8" s="1099"/>
      <c r="F8" s="1099"/>
      <c r="G8" s="1099"/>
      <c r="H8" s="1099"/>
      <c r="I8" s="1099"/>
      <c r="J8" s="1099"/>
      <c r="K8" s="1099"/>
      <c r="L8" s="1100"/>
      <c r="M8" s="1099"/>
      <c r="N8" s="1100"/>
      <c r="O8" s="1100"/>
      <c r="P8" s="1099"/>
      <c r="Q8" s="1100"/>
      <c r="R8" s="1100"/>
      <c r="S8" s="1099"/>
    </row>
    <row r="9" spans="1:21">
      <c r="A9" s="1099"/>
      <c r="B9" s="1099"/>
      <c r="C9" s="1099"/>
      <c r="D9" s="1099"/>
      <c r="E9" s="1099"/>
      <c r="F9" s="1099"/>
      <c r="G9" s="1099"/>
      <c r="H9" s="1099"/>
      <c r="I9" s="1099"/>
      <c r="J9" s="1099"/>
      <c r="K9" s="1099"/>
      <c r="L9" s="1100"/>
      <c r="M9" s="1099"/>
      <c r="N9" s="1100"/>
      <c r="O9" s="1100"/>
      <c r="P9" s="1099"/>
      <c r="Q9" s="1100"/>
      <c r="R9" s="1100"/>
      <c r="S9" s="1099"/>
    </row>
    <row r="10" spans="1:21">
      <c r="A10" s="1103" t="s">
        <v>38</v>
      </c>
      <c r="B10" s="1103"/>
      <c r="C10" s="1103"/>
      <c r="D10" s="1103"/>
      <c r="E10" s="1103"/>
      <c r="F10" s="1103"/>
      <c r="G10" s="1103"/>
      <c r="H10" s="1103"/>
      <c r="I10" s="1103"/>
      <c r="J10" s="1103"/>
      <c r="K10" s="1103"/>
      <c r="L10" s="1104"/>
      <c r="M10" s="1103"/>
      <c r="N10" s="1104"/>
      <c r="O10" s="1104"/>
      <c r="P10" s="1103"/>
      <c r="Q10" s="1104"/>
      <c r="R10" s="1104"/>
      <c r="S10" s="1103"/>
    </row>
    <row r="11" spans="1:21" ht="38.25" customHeight="1">
      <c r="A11" s="1086" t="s">
        <v>0</v>
      </c>
      <c r="B11" s="1086" t="s">
        <v>442</v>
      </c>
      <c r="C11" s="1084" t="s">
        <v>1</v>
      </c>
      <c r="D11" s="1084"/>
      <c r="E11" s="1083" t="s">
        <v>2</v>
      </c>
      <c r="F11" s="1083" t="s">
        <v>3</v>
      </c>
      <c r="G11" s="1083" t="s">
        <v>4</v>
      </c>
      <c r="H11" s="1101" t="s">
        <v>33</v>
      </c>
      <c r="I11" s="1086" t="s">
        <v>5</v>
      </c>
      <c r="J11" s="1086"/>
      <c r="K11" s="1091" t="s">
        <v>441</v>
      </c>
      <c r="L11" s="1098" t="s">
        <v>36</v>
      </c>
      <c r="M11" s="1086"/>
      <c r="N11" s="1098"/>
      <c r="O11" s="1098"/>
      <c r="P11" s="1086"/>
      <c r="Q11" s="1090" t="s">
        <v>8</v>
      </c>
      <c r="R11" s="1090" t="s">
        <v>9</v>
      </c>
      <c r="S11" s="1085" t="s">
        <v>10</v>
      </c>
    </row>
    <row r="12" spans="1:21" ht="24.75" customHeight="1">
      <c r="A12" s="1086"/>
      <c r="B12" s="1086"/>
      <c r="C12" s="1085" t="s">
        <v>11</v>
      </c>
      <c r="D12" s="1085" t="s">
        <v>32</v>
      </c>
      <c r="E12" s="1083"/>
      <c r="F12" s="1083"/>
      <c r="G12" s="1083"/>
      <c r="H12" s="1101"/>
      <c r="I12" s="1085" t="s">
        <v>12</v>
      </c>
      <c r="J12" s="1085" t="s">
        <v>13</v>
      </c>
      <c r="K12" s="1091"/>
      <c r="L12" s="1090" t="s">
        <v>12</v>
      </c>
      <c r="M12" s="1086" t="s">
        <v>18</v>
      </c>
      <c r="N12" s="1098"/>
      <c r="O12" s="1098"/>
      <c r="P12" s="1086"/>
      <c r="Q12" s="1090"/>
      <c r="R12" s="1090"/>
      <c r="S12" s="1085"/>
    </row>
    <row r="13" spans="1:21" ht="150.75" customHeight="1">
      <c r="A13" s="1086"/>
      <c r="B13" s="1086"/>
      <c r="C13" s="1085"/>
      <c r="D13" s="1085"/>
      <c r="E13" s="1083"/>
      <c r="F13" s="1083"/>
      <c r="G13" s="1083"/>
      <c r="H13" s="1101"/>
      <c r="I13" s="1085"/>
      <c r="J13" s="1085"/>
      <c r="K13" s="1091"/>
      <c r="L13" s="1090"/>
      <c r="M13" s="228" t="s">
        <v>471</v>
      </c>
      <c r="N13" s="231" t="s">
        <v>14</v>
      </c>
      <c r="O13" s="231" t="s">
        <v>15</v>
      </c>
      <c r="P13" s="228" t="s">
        <v>19</v>
      </c>
      <c r="Q13" s="1090"/>
      <c r="R13" s="1090"/>
      <c r="S13" s="1085"/>
    </row>
    <row r="14" spans="1:21">
      <c r="A14" s="1086"/>
      <c r="B14" s="1086"/>
      <c r="C14" s="1085"/>
      <c r="D14" s="1085"/>
      <c r="E14" s="1083"/>
      <c r="F14" s="1083"/>
      <c r="G14" s="1083"/>
      <c r="H14" s="74" t="s">
        <v>21</v>
      </c>
      <c r="I14" s="230" t="s">
        <v>21</v>
      </c>
      <c r="J14" s="230" t="s">
        <v>21</v>
      </c>
      <c r="K14" s="75" t="s">
        <v>16</v>
      </c>
      <c r="L14" s="229" t="s">
        <v>17</v>
      </c>
      <c r="M14" s="230" t="s">
        <v>17</v>
      </c>
      <c r="N14" s="229" t="s">
        <v>17</v>
      </c>
      <c r="O14" s="229" t="s">
        <v>17</v>
      </c>
      <c r="P14" s="230" t="s">
        <v>17</v>
      </c>
      <c r="Q14" s="229" t="s">
        <v>439</v>
      </c>
      <c r="R14" s="229" t="s">
        <v>439</v>
      </c>
      <c r="S14" s="1085"/>
    </row>
    <row r="15" spans="1:21">
      <c r="A15" s="76">
        <v>1</v>
      </c>
      <c r="B15" s="76">
        <v>2</v>
      </c>
      <c r="C15" s="77">
        <v>3</v>
      </c>
      <c r="D15" s="77">
        <v>4</v>
      </c>
      <c r="E15" s="77">
        <v>5</v>
      </c>
      <c r="F15" s="77">
        <v>6</v>
      </c>
      <c r="G15" s="77">
        <v>7</v>
      </c>
      <c r="H15" s="77">
        <v>8</v>
      </c>
      <c r="I15" s="77">
        <v>9</v>
      </c>
      <c r="J15" s="77">
        <v>10</v>
      </c>
      <c r="K15" s="78">
        <v>11</v>
      </c>
      <c r="L15" s="77">
        <v>12</v>
      </c>
      <c r="M15" s="77">
        <v>13</v>
      </c>
      <c r="N15" s="77">
        <v>14</v>
      </c>
      <c r="O15" s="77">
        <v>15</v>
      </c>
      <c r="P15" s="77">
        <v>16</v>
      </c>
      <c r="Q15" s="77">
        <v>17</v>
      </c>
      <c r="R15" s="77">
        <v>18</v>
      </c>
      <c r="S15" s="77">
        <v>19</v>
      </c>
      <c r="U15" s="4"/>
    </row>
    <row r="16" spans="1:21" s="4" customFormat="1" ht="15.75" customHeight="1">
      <c r="A16" s="79"/>
      <c r="B16" s="1108" t="s">
        <v>42</v>
      </c>
      <c r="C16" s="1108"/>
      <c r="D16" s="1108"/>
      <c r="E16" s="1108"/>
      <c r="F16" s="1108"/>
      <c r="G16" s="1108"/>
      <c r="H16" s="80">
        <f t="shared" ref="H16:O16" si="0">H18+H521</f>
        <v>479481.46999999986</v>
      </c>
      <c r="I16" s="80">
        <f t="shared" si="0"/>
        <v>398294.75</v>
      </c>
      <c r="J16" s="80">
        <f t="shared" si="0"/>
        <v>358677.09000000008</v>
      </c>
      <c r="K16" s="81">
        <f t="shared" si="0"/>
        <v>15980</v>
      </c>
      <c r="L16" s="92">
        <f t="shared" si="0"/>
        <v>699893215.88999999</v>
      </c>
      <c r="M16" s="92">
        <f t="shared" si="0"/>
        <v>0</v>
      </c>
      <c r="N16" s="92">
        <f t="shared" si="0"/>
        <v>8635753.959999999</v>
      </c>
      <c r="O16" s="92">
        <f t="shared" si="0"/>
        <v>691001542.92999995</v>
      </c>
      <c r="P16" s="92">
        <f>P188+P205+P207+P231+P244+P260+P269+P281++P284+P303+P307+P320+P324+P331+P338+P352+P363+P376+P384+P429+P434+P445+P424+P449+P460+P469+P476+P479+P485+P496+P503+P536+P19+P515</f>
        <v>255919</v>
      </c>
      <c r="Q16" s="82" t="s">
        <v>40</v>
      </c>
      <c r="R16" s="82" t="s">
        <v>40</v>
      </c>
      <c r="S16" s="83" t="s">
        <v>40</v>
      </c>
      <c r="U16" s="2"/>
    </row>
    <row r="17" spans="1:48">
      <c r="A17" s="1080" t="s">
        <v>34</v>
      </c>
      <c r="B17" s="1080"/>
      <c r="C17" s="1080"/>
      <c r="D17" s="1080"/>
      <c r="E17" s="1080"/>
      <c r="F17" s="1080"/>
      <c r="G17" s="1080"/>
      <c r="H17" s="1080"/>
      <c r="I17" s="1080"/>
      <c r="J17" s="1080"/>
      <c r="K17" s="1080"/>
      <c r="L17" s="1080"/>
      <c r="M17" s="1080"/>
      <c r="N17" s="1080"/>
      <c r="O17" s="1080"/>
      <c r="P17" s="1080"/>
      <c r="Q17" s="1080"/>
      <c r="R17" s="1080"/>
      <c r="S17" s="1080"/>
    </row>
    <row r="18" spans="1:48" ht="18.75" customHeight="1">
      <c r="A18" s="232"/>
      <c r="B18" s="1102" t="s">
        <v>205</v>
      </c>
      <c r="C18" s="1102"/>
      <c r="D18" s="1102"/>
      <c r="E18" s="1102"/>
      <c r="F18" s="1102"/>
      <c r="G18" s="1102"/>
      <c r="H18" s="84">
        <f t="shared" ref="H18:O18" si="1">H19+H188+H205+H207+H231+H244+H260+H269+H281+H284+H303+H307+H320+H324+H331+H338+H352+H363+H376+H384+H424+H429+H434+H445+H449+H466+H460+H469+H476+H479+H485+H491+H496+H503+H515</f>
        <v>426694.56999999989</v>
      </c>
      <c r="I18" s="84">
        <f t="shared" si="1"/>
        <v>351421.05</v>
      </c>
      <c r="J18" s="84">
        <f t="shared" si="1"/>
        <v>312616.09000000008</v>
      </c>
      <c r="K18" s="85">
        <f t="shared" si="1"/>
        <v>14351</v>
      </c>
      <c r="L18" s="92">
        <f t="shared" si="1"/>
        <v>692506037.25</v>
      </c>
      <c r="M18" s="92">
        <f t="shared" si="1"/>
        <v>0</v>
      </c>
      <c r="N18" s="92">
        <f t="shared" si="1"/>
        <v>7269861.959999999</v>
      </c>
      <c r="O18" s="92">
        <f t="shared" si="1"/>
        <v>684980256.28999996</v>
      </c>
      <c r="P18" s="92">
        <f>P19+P188+P205+P207+P231+P244+P260+P269+P281+P284+P303+P307+P320+P324+P331+P338+P352+P363+P376+P384+P424+P429+P434+P445+P449+P466+P460+P469+P476+P479+P485+P496+P503+P515</f>
        <v>255919</v>
      </c>
      <c r="Q18" s="86" t="s">
        <v>40</v>
      </c>
      <c r="R18" s="86" t="s">
        <v>40</v>
      </c>
      <c r="S18" s="86" t="s">
        <v>40</v>
      </c>
    </row>
    <row r="19" spans="1:48" s="1" customFormat="1" ht="15.75" customHeight="1">
      <c r="A19" s="232"/>
      <c r="B19" s="1102" t="s">
        <v>89</v>
      </c>
      <c r="C19" s="1102"/>
      <c r="D19" s="1102"/>
      <c r="E19" s="1102"/>
      <c r="F19" s="1102"/>
      <c r="G19" s="1102"/>
      <c r="H19" s="84">
        <f>SUM(H20:H187)</f>
        <v>0</v>
      </c>
      <c r="I19" s="84">
        <f>SUM(I20:I187)</f>
        <v>0</v>
      </c>
      <c r="J19" s="84">
        <f>SUM(J20:J187)</f>
        <v>0</v>
      </c>
      <c r="K19" s="85">
        <f>SUM(K20:K187)</f>
        <v>0</v>
      </c>
      <c r="L19" s="92">
        <v>336230870.63</v>
      </c>
      <c r="M19" s="92">
        <f>SUM(M20:M187)</f>
        <v>0</v>
      </c>
      <c r="N19" s="92">
        <f>SUM(N20:N187)</f>
        <v>0</v>
      </c>
      <c r="O19" s="92">
        <f>SUM(O20:O187)</f>
        <v>336230870.63</v>
      </c>
      <c r="P19" s="92">
        <f>SUM(P20:P187)</f>
        <v>0</v>
      </c>
      <c r="Q19" s="86" t="s">
        <v>40</v>
      </c>
      <c r="R19" s="86" t="s">
        <v>40</v>
      </c>
      <c r="S19" s="86" t="s">
        <v>40</v>
      </c>
    </row>
    <row r="20" spans="1:48" s="1" customFormat="1" ht="15.75">
      <c r="A20" s="87">
        <v>1</v>
      </c>
      <c r="B20" s="225" t="s">
        <v>324</v>
      </c>
      <c r="C20" s="88">
        <v>1975</v>
      </c>
      <c r="D20" s="88"/>
      <c r="E20" s="89" t="s">
        <v>219</v>
      </c>
      <c r="F20" s="88">
        <v>5</v>
      </c>
      <c r="G20" s="88">
        <v>10</v>
      </c>
      <c r="H20" s="90"/>
      <c r="I20" s="90"/>
      <c r="J20" s="90"/>
      <c r="K20" s="91"/>
      <c r="L20" s="92">
        <v>5982216</v>
      </c>
      <c r="M20" s="92">
        <v>0</v>
      </c>
      <c r="N20" s="92">
        <v>0</v>
      </c>
      <c r="O20" s="92">
        <f t="shared" ref="O20:O51" si="2">L20</f>
        <v>5982216</v>
      </c>
      <c r="P20" s="92">
        <v>0</v>
      </c>
      <c r="Q20" s="93" t="e">
        <f t="shared" ref="Q20:Q51" si="3">L20/I20</f>
        <v>#DIV/0!</v>
      </c>
      <c r="R20" s="94"/>
      <c r="S20" s="266">
        <v>43100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 customFormat="1" ht="15.75">
      <c r="A21" s="87">
        <f>A20+1</f>
        <v>2</v>
      </c>
      <c r="B21" s="225" t="s">
        <v>325</v>
      </c>
      <c r="C21" s="88">
        <v>1978</v>
      </c>
      <c r="D21" s="88"/>
      <c r="E21" s="89" t="s">
        <v>219</v>
      </c>
      <c r="F21" s="88">
        <v>9</v>
      </c>
      <c r="G21" s="88">
        <v>5</v>
      </c>
      <c r="H21" s="90"/>
      <c r="I21" s="90"/>
      <c r="J21" s="90"/>
      <c r="K21" s="91"/>
      <c r="L21" s="92">
        <v>9379653</v>
      </c>
      <c r="M21" s="92">
        <v>0</v>
      </c>
      <c r="N21" s="92">
        <v>0</v>
      </c>
      <c r="O21" s="92">
        <f t="shared" si="2"/>
        <v>9379653</v>
      </c>
      <c r="P21" s="92">
        <v>0</v>
      </c>
      <c r="Q21" s="93" t="e">
        <f t="shared" si="3"/>
        <v>#DIV/0!</v>
      </c>
      <c r="R21" s="94"/>
      <c r="S21" s="266">
        <v>43100</v>
      </c>
    </row>
    <row r="22" spans="1:48" customFormat="1" ht="15.75">
      <c r="A22" s="87">
        <f t="shared" ref="A22:A85" si="4">A21+1</f>
        <v>3</v>
      </c>
      <c r="B22" s="234" t="s">
        <v>321</v>
      </c>
      <c r="C22" s="88">
        <v>1982</v>
      </c>
      <c r="D22" s="88"/>
      <c r="E22" s="89" t="s">
        <v>219</v>
      </c>
      <c r="F22" s="88">
        <v>9</v>
      </c>
      <c r="G22" s="88">
        <v>2</v>
      </c>
      <c r="H22" s="90"/>
      <c r="I22" s="90"/>
      <c r="J22" s="90"/>
      <c r="K22" s="91"/>
      <c r="L22" s="92">
        <v>3763756</v>
      </c>
      <c r="M22" s="92">
        <v>0</v>
      </c>
      <c r="N22" s="92">
        <v>0</v>
      </c>
      <c r="O22" s="92">
        <f t="shared" si="2"/>
        <v>3763756</v>
      </c>
      <c r="P22" s="92">
        <v>0</v>
      </c>
      <c r="Q22" s="93" t="e">
        <f t="shared" si="3"/>
        <v>#DIV/0!</v>
      </c>
      <c r="R22" s="94"/>
      <c r="S22" s="266">
        <v>43100</v>
      </c>
    </row>
    <row r="23" spans="1:48" customFormat="1" ht="15.75">
      <c r="A23" s="87">
        <f t="shared" si="4"/>
        <v>4</v>
      </c>
      <c r="B23" s="234" t="s">
        <v>346</v>
      </c>
      <c r="C23" s="88">
        <v>1982</v>
      </c>
      <c r="D23" s="88"/>
      <c r="E23" s="89" t="s">
        <v>219</v>
      </c>
      <c r="F23" s="88">
        <v>9</v>
      </c>
      <c r="G23" s="88">
        <v>1</v>
      </c>
      <c r="H23" s="90"/>
      <c r="I23" s="90"/>
      <c r="J23" s="90"/>
      <c r="K23" s="91"/>
      <c r="L23" s="92">
        <v>1095812</v>
      </c>
      <c r="M23" s="92">
        <v>0</v>
      </c>
      <c r="N23" s="92">
        <v>0</v>
      </c>
      <c r="O23" s="92">
        <f t="shared" si="2"/>
        <v>1095812</v>
      </c>
      <c r="P23" s="92">
        <v>0</v>
      </c>
      <c r="Q23" s="93" t="e">
        <f t="shared" si="3"/>
        <v>#DIV/0!</v>
      </c>
      <c r="R23" s="94"/>
      <c r="S23" s="266">
        <v>43100</v>
      </c>
    </row>
    <row r="24" spans="1:48" customFormat="1" ht="15.75">
      <c r="A24" s="87">
        <f t="shared" si="4"/>
        <v>5</v>
      </c>
      <c r="B24" s="234" t="s">
        <v>322</v>
      </c>
      <c r="C24" s="88">
        <v>1976</v>
      </c>
      <c r="D24" s="88"/>
      <c r="E24" s="89" t="s">
        <v>219</v>
      </c>
      <c r="F24" s="88">
        <v>9</v>
      </c>
      <c r="G24" s="88">
        <v>3</v>
      </c>
      <c r="H24" s="90"/>
      <c r="I24" s="90"/>
      <c r="J24" s="90"/>
      <c r="K24" s="91"/>
      <c r="L24" s="92">
        <v>5619141</v>
      </c>
      <c r="M24" s="92">
        <v>0</v>
      </c>
      <c r="N24" s="92">
        <v>0</v>
      </c>
      <c r="O24" s="92">
        <f t="shared" si="2"/>
        <v>5619141</v>
      </c>
      <c r="P24" s="92">
        <v>0</v>
      </c>
      <c r="Q24" s="93" t="e">
        <f t="shared" si="3"/>
        <v>#DIV/0!</v>
      </c>
      <c r="R24" s="94"/>
      <c r="S24" s="266">
        <v>43100</v>
      </c>
    </row>
    <row r="25" spans="1:48" customFormat="1" ht="15.75">
      <c r="A25" s="87">
        <f t="shared" si="4"/>
        <v>6</v>
      </c>
      <c r="B25" s="234" t="s">
        <v>320</v>
      </c>
      <c r="C25" s="87">
        <v>1982</v>
      </c>
      <c r="D25" s="88"/>
      <c r="E25" s="89" t="s">
        <v>219</v>
      </c>
      <c r="F25" s="88">
        <v>9</v>
      </c>
      <c r="G25" s="88">
        <v>2</v>
      </c>
      <c r="H25" s="96"/>
      <c r="I25" s="96"/>
      <c r="J25" s="96"/>
      <c r="K25" s="81"/>
      <c r="L25" s="92">
        <v>3748388</v>
      </c>
      <c r="M25" s="92">
        <v>0</v>
      </c>
      <c r="N25" s="92">
        <v>0</v>
      </c>
      <c r="O25" s="92">
        <f t="shared" si="2"/>
        <v>3748388</v>
      </c>
      <c r="P25" s="92">
        <v>0</v>
      </c>
      <c r="Q25" s="93" t="e">
        <f t="shared" si="3"/>
        <v>#DIV/0!</v>
      </c>
      <c r="R25" s="94"/>
      <c r="S25" s="266">
        <v>43100</v>
      </c>
    </row>
    <row r="26" spans="1:48" customFormat="1" ht="15.75">
      <c r="A26" s="87">
        <f t="shared" si="4"/>
        <v>7</v>
      </c>
      <c r="B26" s="225" t="s">
        <v>327</v>
      </c>
      <c r="C26" s="88">
        <v>1981</v>
      </c>
      <c r="D26" s="88"/>
      <c r="E26" s="89" t="s">
        <v>219</v>
      </c>
      <c r="F26" s="88">
        <v>9</v>
      </c>
      <c r="G26" s="88">
        <v>8</v>
      </c>
      <c r="H26" s="90"/>
      <c r="I26" s="90"/>
      <c r="J26" s="90"/>
      <c r="K26" s="91"/>
      <c r="L26" s="92">
        <v>15157748</v>
      </c>
      <c r="M26" s="92">
        <v>0</v>
      </c>
      <c r="N26" s="92">
        <v>0</v>
      </c>
      <c r="O26" s="92">
        <f t="shared" si="2"/>
        <v>15157748</v>
      </c>
      <c r="P26" s="92">
        <v>0</v>
      </c>
      <c r="Q26" s="93" t="e">
        <f t="shared" si="3"/>
        <v>#DIV/0!</v>
      </c>
      <c r="R26" s="94"/>
      <c r="S26" s="266">
        <v>43100</v>
      </c>
    </row>
    <row r="27" spans="1:48" customFormat="1" ht="31.5">
      <c r="A27" s="87">
        <f t="shared" si="4"/>
        <v>8</v>
      </c>
      <c r="B27" s="225" t="s">
        <v>323</v>
      </c>
      <c r="C27" s="88">
        <v>1954</v>
      </c>
      <c r="D27" s="88"/>
      <c r="E27" s="89" t="s">
        <v>218</v>
      </c>
      <c r="F27" s="88">
        <v>2</v>
      </c>
      <c r="G27" s="88">
        <v>2</v>
      </c>
      <c r="H27" s="90"/>
      <c r="I27" s="90"/>
      <c r="J27" s="90"/>
      <c r="K27" s="91"/>
      <c r="L27" s="92">
        <v>1030213</v>
      </c>
      <c r="M27" s="92">
        <v>0</v>
      </c>
      <c r="N27" s="92">
        <v>0</v>
      </c>
      <c r="O27" s="92">
        <f t="shared" si="2"/>
        <v>1030213</v>
      </c>
      <c r="P27" s="92">
        <v>0</v>
      </c>
      <c r="Q27" s="93" t="e">
        <f t="shared" si="3"/>
        <v>#DIV/0!</v>
      </c>
      <c r="R27" s="94"/>
      <c r="S27" s="266">
        <v>43100</v>
      </c>
    </row>
    <row r="28" spans="1:48" customFormat="1" ht="31.5">
      <c r="A28" s="87">
        <f t="shared" si="4"/>
        <v>9</v>
      </c>
      <c r="B28" s="234" t="s">
        <v>319</v>
      </c>
      <c r="C28" s="97">
        <v>1860</v>
      </c>
      <c r="D28" s="97"/>
      <c r="E28" s="89" t="s">
        <v>218</v>
      </c>
      <c r="F28" s="97">
        <v>3</v>
      </c>
      <c r="G28" s="97">
        <v>1</v>
      </c>
      <c r="H28" s="97"/>
      <c r="I28" s="97"/>
      <c r="J28" s="97"/>
      <c r="K28" s="98"/>
      <c r="L28" s="92">
        <v>530465</v>
      </c>
      <c r="M28" s="92">
        <v>0</v>
      </c>
      <c r="N28" s="92">
        <v>0</v>
      </c>
      <c r="O28" s="92">
        <f t="shared" si="2"/>
        <v>530465</v>
      </c>
      <c r="P28" s="92">
        <v>0</v>
      </c>
      <c r="Q28" s="93" t="e">
        <f t="shared" si="3"/>
        <v>#DIV/0!</v>
      </c>
      <c r="R28" s="94"/>
      <c r="S28" s="266">
        <v>43100</v>
      </c>
    </row>
    <row r="29" spans="1:48" customFormat="1" ht="31.5">
      <c r="A29" s="87">
        <f t="shared" si="4"/>
        <v>10</v>
      </c>
      <c r="B29" s="234" t="s">
        <v>326</v>
      </c>
      <c r="C29" s="88">
        <v>1958</v>
      </c>
      <c r="D29" s="88"/>
      <c r="E29" s="89" t="s">
        <v>218</v>
      </c>
      <c r="F29" s="88">
        <v>2</v>
      </c>
      <c r="G29" s="88">
        <v>2</v>
      </c>
      <c r="H29" s="90"/>
      <c r="I29" s="90"/>
      <c r="J29" s="90"/>
      <c r="K29" s="91"/>
      <c r="L29" s="92">
        <v>1983854</v>
      </c>
      <c r="M29" s="92">
        <v>0</v>
      </c>
      <c r="N29" s="92">
        <v>0</v>
      </c>
      <c r="O29" s="92">
        <f t="shared" si="2"/>
        <v>1983854</v>
      </c>
      <c r="P29" s="92">
        <v>0</v>
      </c>
      <c r="Q29" s="93" t="e">
        <f t="shared" si="3"/>
        <v>#DIV/0!</v>
      </c>
      <c r="R29" s="94"/>
      <c r="S29" s="266">
        <v>43100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48" customFormat="1" ht="31.5">
      <c r="A30" s="87">
        <f t="shared" si="4"/>
        <v>11</v>
      </c>
      <c r="B30" s="234" t="s">
        <v>388</v>
      </c>
      <c r="C30" s="88">
        <v>1961</v>
      </c>
      <c r="D30" s="88"/>
      <c r="E30" s="89" t="s">
        <v>218</v>
      </c>
      <c r="F30" s="88">
        <v>5</v>
      </c>
      <c r="G30" s="88">
        <v>2</v>
      </c>
      <c r="H30" s="90"/>
      <c r="I30" s="90"/>
      <c r="J30" s="90"/>
      <c r="K30" s="91"/>
      <c r="L30" s="92">
        <v>1206304</v>
      </c>
      <c r="M30" s="92">
        <v>0</v>
      </c>
      <c r="N30" s="92">
        <v>0</v>
      </c>
      <c r="O30" s="92">
        <f t="shared" si="2"/>
        <v>1206304</v>
      </c>
      <c r="P30" s="92">
        <v>0</v>
      </c>
      <c r="Q30" s="93" t="e">
        <f t="shared" si="3"/>
        <v>#DIV/0!</v>
      </c>
      <c r="R30" s="94"/>
      <c r="S30" s="266">
        <v>43100</v>
      </c>
    </row>
    <row r="31" spans="1:48" customFormat="1" ht="31.5">
      <c r="A31" s="87">
        <f t="shared" si="4"/>
        <v>12</v>
      </c>
      <c r="B31" s="225" t="s">
        <v>419</v>
      </c>
      <c r="C31" s="88">
        <v>1961</v>
      </c>
      <c r="D31" s="95"/>
      <c r="E31" s="89" t="s">
        <v>218</v>
      </c>
      <c r="F31" s="88">
        <v>5</v>
      </c>
      <c r="G31" s="88">
        <v>3</v>
      </c>
      <c r="H31" s="90"/>
      <c r="I31" s="90"/>
      <c r="J31" s="90"/>
      <c r="K31" s="91"/>
      <c r="L31" s="92">
        <v>402530.2</v>
      </c>
      <c r="M31" s="92">
        <v>0</v>
      </c>
      <c r="N31" s="92">
        <v>0</v>
      </c>
      <c r="O31" s="92">
        <f t="shared" si="2"/>
        <v>402530.2</v>
      </c>
      <c r="P31" s="92">
        <v>0</v>
      </c>
      <c r="Q31" s="93" t="e">
        <f t="shared" si="3"/>
        <v>#DIV/0!</v>
      </c>
      <c r="R31" s="94"/>
      <c r="S31" s="266">
        <v>43100</v>
      </c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</row>
    <row r="32" spans="1:48" customFormat="1" ht="31.5">
      <c r="A32" s="87">
        <f t="shared" si="4"/>
        <v>13</v>
      </c>
      <c r="B32" s="225" t="s">
        <v>387</v>
      </c>
      <c r="C32" s="97">
        <v>1967</v>
      </c>
      <c r="D32" s="97"/>
      <c r="E32" s="89" t="s">
        <v>218</v>
      </c>
      <c r="F32" s="97">
        <v>5</v>
      </c>
      <c r="G32" s="97">
        <v>8</v>
      </c>
      <c r="H32" s="90"/>
      <c r="I32" s="90"/>
      <c r="J32" s="90"/>
      <c r="K32" s="91"/>
      <c r="L32" s="92">
        <v>2861497</v>
      </c>
      <c r="M32" s="92">
        <v>0</v>
      </c>
      <c r="N32" s="92">
        <v>0</v>
      </c>
      <c r="O32" s="92">
        <f t="shared" si="2"/>
        <v>2861497</v>
      </c>
      <c r="P32" s="92">
        <v>0</v>
      </c>
      <c r="Q32" s="93" t="e">
        <f t="shared" si="3"/>
        <v>#DIV/0!</v>
      </c>
      <c r="R32" s="94"/>
      <c r="S32" s="266">
        <v>43100</v>
      </c>
    </row>
    <row r="33" spans="1:19" customFormat="1" ht="15.75">
      <c r="A33" s="87">
        <f t="shared" si="4"/>
        <v>14</v>
      </c>
      <c r="B33" s="234" t="s">
        <v>334</v>
      </c>
      <c r="C33" s="88">
        <v>1974</v>
      </c>
      <c r="D33" s="88"/>
      <c r="E33" s="89" t="s">
        <v>219</v>
      </c>
      <c r="F33" s="88">
        <v>5</v>
      </c>
      <c r="G33" s="88">
        <v>4</v>
      </c>
      <c r="H33" s="90"/>
      <c r="I33" s="90"/>
      <c r="J33" s="90"/>
      <c r="K33" s="91"/>
      <c r="L33" s="92">
        <v>1535065.47</v>
      </c>
      <c r="M33" s="92">
        <v>0</v>
      </c>
      <c r="N33" s="92">
        <v>0</v>
      </c>
      <c r="O33" s="92">
        <f t="shared" si="2"/>
        <v>1535065.47</v>
      </c>
      <c r="P33" s="92">
        <v>0</v>
      </c>
      <c r="Q33" s="93" t="e">
        <f t="shared" si="3"/>
        <v>#DIV/0!</v>
      </c>
      <c r="R33" s="94"/>
      <c r="S33" s="266">
        <v>43100</v>
      </c>
    </row>
    <row r="34" spans="1:19" customFormat="1" ht="15.75">
      <c r="A34" s="87">
        <f t="shared" si="4"/>
        <v>15</v>
      </c>
      <c r="B34" s="234" t="s">
        <v>330</v>
      </c>
      <c r="C34" s="97">
        <v>1966</v>
      </c>
      <c r="D34" s="97"/>
      <c r="E34" s="89" t="s">
        <v>219</v>
      </c>
      <c r="F34" s="97">
        <v>5</v>
      </c>
      <c r="G34" s="97">
        <v>4</v>
      </c>
      <c r="H34" s="90"/>
      <c r="I34" s="90"/>
      <c r="J34" s="90"/>
      <c r="K34" s="91"/>
      <c r="L34" s="92">
        <v>930534</v>
      </c>
      <c r="M34" s="92">
        <v>0</v>
      </c>
      <c r="N34" s="92">
        <v>0</v>
      </c>
      <c r="O34" s="92">
        <f t="shared" si="2"/>
        <v>930534</v>
      </c>
      <c r="P34" s="92">
        <v>0</v>
      </c>
      <c r="Q34" s="93" t="e">
        <f t="shared" si="3"/>
        <v>#DIV/0!</v>
      </c>
      <c r="R34" s="94"/>
      <c r="S34" s="266">
        <v>43100</v>
      </c>
    </row>
    <row r="35" spans="1:19" customFormat="1" ht="15.75">
      <c r="A35" s="87">
        <f t="shared" si="4"/>
        <v>16</v>
      </c>
      <c r="B35" s="234" t="s">
        <v>328</v>
      </c>
      <c r="C35" s="97">
        <v>1970</v>
      </c>
      <c r="D35" s="97"/>
      <c r="E35" s="89" t="s">
        <v>219</v>
      </c>
      <c r="F35" s="97">
        <v>5</v>
      </c>
      <c r="G35" s="97">
        <v>4</v>
      </c>
      <c r="H35" s="90"/>
      <c r="I35" s="90"/>
      <c r="J35" s="90"/>
      <c r="K35" s="91"/>
      <c r="L35" s="92">
        <v>662518</v>
      </c>
      <c r="M35" s="92">
        <v>0</v>
      </c>
      <c r="N35" s="92">
        <v>0</v>
      </c>
      <c r="O35" s="92">
        <f t="shared" si="2"/>
        <v>662518</v>
      </c>
      <c r="P35" s="92">
        <v>0</v>
      </c>
      <c r="Q35" s="93" t="e">
        <f t="shared" si="3"/>
        <v>#DIV/0!</v>
      </c>
      <c r="R35" s="94"/>
      <c r="S35" s="266">
        <v>43100</v>
      </c>
    </row>
    <row r="36" spans="1:19" customFormat="1" ht="31.5">
      <c r="A36" s="87">
        <f t="shared" si="4"/>
        <v>17</v>
      </c>
      <c r="B36" s="234" t="s">
        <v>333</v>
      </c>
      <c r="C36" s="88">
        <v>1979</v>
      </c>
      <c r="D36" s="88"/>
      <c r="E36" s="89" t="s">
        <v>218</v>
      </c>
      <c r="F36" s="88">
        <v>5</v>
      </c>
      <c r="G36" s="88">
        <v>4</v>
      </c>
      <c r="H36" s="90"/>
      <c r="I36" s="90"/>
      <c r="J36" s="90"/>
      <c r="K36" s="91"/>
      <c r="L36" s="92">
        <v>2346663</v>
      </c>
      <c r="M36" s="92">
        <v>0</v>
      </c>
      <c r="N36" s="92">
        <v>0</v>
      </c>
      <c r="O36" s="92">
        <f t="shared" si="2"/>
        <v>2346663</v>
      </c>
      <c r="P36" s="92">
        <v>0</v>
      </c>
      <c r="Q36" s="93" t="e">
        <f t="shared" si="3"/>
        <v>#DIV/0!</v>
      </c>
      <c r="R36" s="94"/>
      <c r="S36" s="266">
        <v>43100</v>
      </c>
    </row>
    <row r="37" spans="1:19" customFormat="1" ht="15.75">
      <c r="A37" s="87">
        <f t="shared" si="4"/>
        <v>18</v>
      </c>
      <c r="B37" s="234" t="s">
        <v>331</v>
      </c>
      <c r="C37" s="97">
        <v>1972</v>
      </c>
      <c r="D37" s="97"/>
      <c r="E37" s="89" t="s">
        <v>219</v>
      </c>
      <c r="F37" s="97">
        <v>5</v>
      </c>
      <c r="G37" s="97">
        <v>4</v>
      </c>
      <c r="H37" s="90"/>
      <c r="I37" s="90"/>
      <c r="J37" s="90"/>
      <c r="K37" s="91"/>
      <c r="L37" s="92">
        <v>727019</v>
      </c>
      <c r="M37" s="92">
        <v>0</v>
      </c>
      <c r="N37" s="92">
        <v>0</v>
      </c>
      <c r="O37" s="92">
        <f t="shared" si="2"/>
        <v>727019</v>
      </c>
      <c r="P37" s="92">
        <v>0</v>
      </c>
      <c r="Q37" s="93" t="e">
        <f t="shared" si="3"/>
        <v>#DIV/0!</v>
      </c>
      <c r="R37" s="94"/>
      <c r="S37" s="266">
        <v>43100</v>
      </c>
    </row>
    <row r="38" spans="1:19" customFormat="1" ht="31.5">
      <c r="A38" s="87">
        <f t="shared" si="4"/>
        <v>19</v>
      </c>
      <c r="B38" s="234" t="s">
        <v>329</v>
      </c>
      <c r="C38" s="97">
        <v>1963</v>
      </c>
      <c r="D38" s="97"/>
      <c r="E38" s="89" t="s">
        <v>218</v>
      </c>
      <c r="F38" s="97">
        <v>4</v>
      </c>
      <c r="G38" s="97">
        <v>3</v>
      </c>
      <c r="H38" s="97"/>
      <c r="I38" s="97"/>
      <c r="J38" s="97"/>
      <c r="K38" s="98"/>
      <c r="L38" s="92">
        <v>538121</v>
      </c>
      <c r="M38" s="92">
        <v>0</v>
      </c>
      <c r="N38" s="92">
        <v>0</v>
      </c>
      <c r="O38" s="92">
        <f t="shared" si="2"/>
        <v>538121</v>
      </c>
      <c r="P38" s="92">
        <v>0</v>
      </c>
      <c r="Q38" s="93" t="e">
        <f t="shared" si="3"/>
        <v>#DIV/0!</v>
      </c>
      <c r="R38" s="94"/>
      <c r="S38" s="266">
        <v>43100</v>
      </c>
    </row>
    <row r="39" spans="1:19" customFormat="1" ht="31.5">
      <c r="A39" s="87">
        <f t="shared" si="4"/>
        <v>20</v>
      </c>
      <c r="B39" s="234" t="s">
        <v>332</v>
      </c>
      <c r="C39" s="97">
        <v>1963</v>
      </c>
      <c r="D39" s="97"/>
      <c r="E39" s="89" t="s">
        <v>218</v>
      </c>
      <c r="F39" s="97">
        <v>4</v>
      </c>
      <c r="G39" s="97">
        <v>3</v>
      </c>
      <c r="H39" s="97"/>
      <c r="I39" s="97"/>
      <c r="J39" s="97"/>
      <c r="K39" s="98"/>
      <c r="L39" s="92">
        <v>1756852</v>
      </c>
      <c r="M39" s="92">
        <v>0</v>
      </c>
      <c r="N39" s="92">
        <v>0</v>
      </c>
      <c r="O39" s="92">
        <f t="shared" si="2"/>
        <v>1756852</v>
      </c>
      <c r="P39" s="92">
        <v>0</v>
      </c>
      <c r="Q39" s="93" t="e">
        <f t="shared" si="3"/>
        <v>#DIV/0!</v>
      </c>
      <c r="R39" s="94"/>
      <c r="S39" s="266">
        <v>43100</v>
      </c>
    </row>
    <row r="40" spans="1:19" customFormat="1" ht="15.75">
      <c r="A40" s="87">
        <f t="shared" si="4"/>
        <v>21</v>
      </c>
      <c r="B40" s="234" t="s">
        <v>316</v>
      </c>
      <c r="C40" s="88">
        <v>1974</v>
      </c>
      <c r="D40" s="88"/>
      <c r="E40" s="89" t="s">
        <v>219</v>
      </c>
      <c r="F40" s="88">
        <v>5</v>
      </c>
      <c r="G40" s="88">
        <v>4</v>
      </c>
      <c r="H40" s="90"/>
      <c r="I40" s="90"/>
      <c r="J40" s="90"/>
      <c r="K40" s="91"/>
      <c r="L40" s="92">
        <v>676398.28</v>
      </c>
      <c r="M40" s="92">
        <v>0</v>
      </c>
      <c r="N40" s="92">
        <v>0</v>
      </c>
      <c r="O40" s="92">
        <f t="shared" si="2"/>
        <v>676398.28</v>
      </c>
      <c r="P40" s="92">
        <v>0</v>
      </c>
      <c r="Q40" s="93" t="e">
        <f t="shared" si="3"/>
        <v>#DIV/0!</v>
      </c>
      <c r="R40" s="94"/>
      <c r="S40" s="266">
        <v>43100</v>
      </c>
    </row>
    <row r="41" spans="1:19" customFormat="1" ht="31.5">
      <c r="A41" s="87">
        <f t="shared" si="4"/>
        <v>22</v>
      </c>
      <c r="B41" s="225" t="s">
        <v>313</v>
      </c>
      <c r="C41" s="88">
        <v>1951</v>
      </c>
      <c r="D41" s="88"/>
      <c r="E41" s="89" t="s">
        <v>218</v>
      </c>
      <c r="F41" s="88">
        <v>2</v>
      </c>
      <c r="G41" s="88">
        <v>1</v>
      </c>
      <c r="H41" s="90"/>
      <c r="I41" s="90"/>
      <c r="J41" s="90"/>
      <c r="K41" s="91"/>
      <c r="L41" s="92">
        <v>766539</v>
      </c>
      <c r="M41" s="92">
        <v>0</v>
      </c>
      <c r="N41" s="92">
        <v>0</v>
      </c>
      <c r="O41" s="92">
        <f t="shared" si="2"/>
        <v>766539</v>
      </c>
      <c r="P41" s="92">
        <v>0</v>
      </c>
      <c r="Q41" s="93" t="e">
        <f t="shared" si="3"/>
        <v>#DIV/0!</v>
      </c>
      <c r="R41" s="94"/>
      <c r="S41" s="266">
        <v>43100</v>
      </c>
    </row>
    <row r="42" spans="1:19" customFormat="1" ht="31.5">
      <c r="A42" s="87">
        <f t="shared" si="4"/>
        <v>23</v>
      </c>
      <c r="B42" s="234" t="s">
        <v>312</v>
      </c>
      <c r="C42" s="97">
        <v>1983</v>
      </c>
      <c r="D42" s="97"/>
      <c r="E42" s="89" t="s">
        <v>218</v>
      </c>
      <c r="F42" s="97">
        <v>9</v>
      </c>
      <c r="G42" s="97">
        <v>2</v>
      </c>
      <c r="H42" s="97"/>
      <c r="I42" s="97"/>
      <c r="J42" s="97"/>
      <c r="K42" s="98"/>
      <c r="L42" s="92">
        <v>1186114</v>
      </c>
      <c r="M42" s="92">
        <v>0</v>
      </c>
      <c r="N42" s="92">
        <v>0</v>
      </c>
      <c r="O42" s="92">
        <f t="shared" si="2"/>
        <v>1186114</v>
      </c>
      <c r="P42" s="92">
        <v>0</v>
      </c>
      <c r="Q42" s="93" t="e">
        <f t="shared" si="3"/>
        <v>#DIV/0!</v>
      </c>
      <c r="R42" s="94"/>
      <c r="S42" s="266">
        <v>43100</v>
      </c>
    </row>
    <row r="43" spans="1:19" customFormat="1" ht="31.5">
      <c r="A43" s="87">
        <f t="shared" si="4"/>
        <v>24</v>
      </c>
      <c r="B43" s="225" t="s">
        <v>311</v>
      </c>
      <c r="C43" s="97">
        <v>1958</v>
      </c>
      <c r="D43" s="97"/>
      <c r="E43" s="89" t="s">
        <v>218</v>
      </c>
      <c r="F43" s="97">
        <v>3</v>
      </c>
      <c r="G43" s="97">
        <v>2</v>
      </c>
      <c r="H43" s="97"/>
      <c r="I43" s="97"/>
      <c r="J43" s="97"/>
      <c r="K43" s="98"/>
      <c r="L43" s="92">
        <v>178272.59</v>
      </c>
      <c r="M43" s="92">
        <v>0</v>
      </c>
      <c r="N43" s="92">
        <v>0</v>
      </c>
      <c r="O43" s="92">
        <f t="shared" si="2"/>
        <v>178272.59</v>
      </c>
      <c r="P43" s="92">
        <v>0</v>
      </c>
      <c r="Q43" s="93" t="e">
        <f t="shared" si="3"/>
        <v>#DIV/0!</v>
      </c>
      <c r="R43" s="94"/>
      <c r="S43" s="266">
        <v>43100</v>
      </c>
    </row>
    <row r="44" spans="1:19" customFormat="1" ht="31.5">
      <c r="A44" s="87">
        <f t="shared" si="4"/>
        <v>25</v>
      </c>
      <c r="B44" s="234" t="s">
        <v>315</v>
      </c>
      <c r="C44" s="88">
        <v>1963</v>
      </c>
      <c r="D44" s="88"/>
      <c r="E44" s="89" t="s">
        <v>218</v>
      </c>
      <c r="F44" s="88">
        <v>4</v>
      </c>
      <c r="G44" s="88">
        <v>2</v>
      </c>
      <c r="H44" s="90"/>
      <c r="I44" s="90"/>
      <c r="J44" s="90"/>
      <c r="K44" s="91"/>
      <c r="L44" s="92">
        <v>1087116</v>
      </c>
      <c r="M44" s="92">
        <v>0</v>
      </c>
      <c r="N44" s="92">
        <v>0</v>
      </c>
      <c r="O44" s="92">
        <f t="shared" si="2"/>
        <v>1087116</v>
      </c>
      <c r="P44" s="92">
        <v>0</v>
      </c>
      <c r="Q44" s="93" t="e">
        <f t="shared" si="3"/>
        <v>#DIV/0!</v>
      </c>
      <c r="R44" s="94"/>
      <c r="S44" s="266">
        <v>43100</v>
      </c>
    </row>
    <row r="45" spans="1:19" customFormat="1" ht="31.5">
      <c r="A45" s="87">
        <f t="shared" si="4"/>
        <v>26</v>
      </c>
      <c r="B45" s="234" t="s">
        <v>351</v>
      </c>
      <c r="C45" s="88">
        <v>1984</v>
      </c>
      <c r="D45" s="88"/>
      <c r="E45" s="89" t="s">
        <v>218</v>
      </c>
      <c r="F45" s="88">
        <v>9</v>
      </c>
      <c r="G45" s="88">
        <v>2</v>
      </c>
      <c r="H45" s="90"/>
      <c r="I45" s="90"/>
      <c r="J45" s="90"/>
      <c r="K45" s="91"/>
      <c r="L45" s="92">
        <v>1411363</v>
      </c>
      <c r="M45" s="92">
        <v>0</v>
      </c>
      <c r="N45" s="92">
        <v>0</v>
      </c>
      <c r="O45" s="92">
        <f t="shared" si="2"/>
        <v>1411363</v>
      </c>
      <c r="P45" s="92">
        <v>0</v>
      </c>
      <c r="Q45" s="93" t="e">
        <f t="shared" si="3"/>
        <v>#DIV/0!</v>
      </c>
      <c r="R45" s="94"/>
      <c r="S45" s="266">
        <v>43100</v>
      </c>
    </row>
    <row r="46" spans="1:19" customFormat="1" ht="31.5">
      <c r="A46" s="87">
        <f t="shared" si="4"/>
        <v>27</v>
      </c>
      <c r="B46" s="234" t="s">
        <v>314</v>
      </c>
      <c r="C46" s="88">
        <v>1964</v>
      </c>
      <c r="D46" s="88"/>
      <c r="E46" s="89" t="s">
        <v>218</v>
      </c>
      <c r="F46" s="88">
        <v>4</v>
      </c>
      <c r="G46" s="88">
        <v>2</v>
      </c>
      <c r="H46" s="90"/>
      <c r="I46" s="90"/>
      <c r="J46" s="90"/>
      <c r="K46" s="91"/>
      <c r="L46" s="92">
        <v>1136666</v>
      </c>
      <c r="M46" s="92">
        <v>0</v>
      </c>
      <c r="N46" s="92">
        <v>0</v>
      </c>
      <c r="O46" s="92">
        <f t="shared" si="2"/>
        <v>1136666</v>
      </c>
      <c r="P46" s="92">
        <v>0</v>
      </c>
      <c r="Q46" s="93" t="e">
        <f t="shared" si="3"/>
        <v>#DIV/0!</v>
      </c>
      <c r="R46" s="94"/>
      <c r="S46" s="266">
        <v>43100</v>
      </c>
    </row>
    <row r="47" spans="1:19" customFormat="1" ht="31.5">
      <c r="A47" s="87">
        <f t="shared" si="4"/>
        <v>28</v>
      </c>
      <c r="B47" s="234" t="s">
        <v>369</v>
      </c>
      <c r="C47" s="97">
        <v>1959</v>
      </c>
      <c r="D47" s="97"/>
      <c r="E47" s="89" t="s">
        <v>218</v>
      </c>
      <c r="F47" s="97">
        <v>4</v>
      </c>
      <c r="G47" s="97">
        <v>6</v>
      </c>
      <c r="H47" s="97"/>
      <c r="I47" s="97"/>
      <c r="J47" s="97"/>
      <c r="K47" s="98"/>
      <c r="L47" s="92">
        <v>1385674</v>
      </c>
      <c r="M47" s="92">
        <v>0</v>
      </c>
      <c r="N47" s="92">
        <v>0</v>
      </c>
      <c r="O47" s="92">
        <f t="shared" si="2"/>
        <v>1385674</v>
      </c>
      <c r="P47" s="92">
        <v>0</v>
      </c>
      <c r="Q47" s="93" t="e">
        <f t="shared" si="3"/>
        <v>#DIV/0!</v>
      </c>
      <c r="R47" s="94"/>
      <c r="S47" s="266">
        <v>43100</v>
      </c>
    </row>
    <row r="48" spans="1:19" customFormat="1" ht="31.5">
      <c r="A48" s="87">
        <f t="shared" si="4"/>
        <v>29</v>
      </c>
      <c r="B48" s="234" t="s">
        <v>370</v>
      </c>
      <c r="C48" s="97">
        <v>1937</v>
      </c>
      <c r="D48" s="97"/>
      <c r="E48" s="89" t="s">
        <v>218</v>
      </c>
      <c r="F48" s="97">
        <v>4</v>
      </c>
      <c r="G48" s="97">
        <v>9</v>
      </c>
      <c r="H48" s="97"/>
      <c r="I48" s="97"/>
      <c r="J48" s="97"/>
      <c r="K48" s="98"/>
      <c r="L48" s="92">
        <v>4619990</v>
      </c>
      <c r="M48" s="92">
        <v>0</v>
      </c>
      <c r="N48" s="92">
        <v>0</v>
      </c>
      <c r="O48" s="92">
        <f t="shared" si="2"/>
        <v>4619990</v>
      </c>
      <c r="P48" s="92">
        <v>0</v>
      </c>
      <c r="Q48" s="93" t="e">
        <f t="shared" si="3"/>
        <v>#DIV/0!</v>
      </c>
      <c r="R48" s="94"/>
      <c r="S48" s="266">
        <v>43100</v>
      </c>
    </row>
    <row r="49" spans="1:48" customFormat="1" ht="31.5">
      <c r="A49" s="87">
        <f t="shared" si="4"/>
        <v>30</v>
      </c>
      <c r="B49" s="234" t="s">
        <v>373</v>
      </c>
      <c r="C49" s="97">
        <v>1960</v>
      </c>
      <c r="D49" s="97"/>
      <c r="E49" s="89" t="s">
        <v>218</v>
      </c>
      <c r="F49" s="97">
        <v>4</v>
      </c>
      <c r="G49" s="97">
        <v>3</v>
      </c>
      <c r="H49" s="97"/>
      <c r="I49" s="97"/>
      <c r="J49" s="97"/>
      <c r="K49" s="98"/>
      <c r="L49" s="92">
        <v>1865304</v>
      </c>
      <c r="M49" s="92">
        <v>0</v>
      </c>
      <c r="N49" s="92">
        <v>0</v>
      </c>
      <c r="O49" s="92">
        <f t="shared" si="2"/>
        <v>1865304</v>
      </c>
      <c r="P49" s="92">
        <v>0</v>
      </c>
      <c r="Q49" s="93" t="e">
        <f t="shared" si="3"/>
        <v>#DIV/0!</v>
      </c>
      <c r="R49" s="94"/>
      <c r="S49" s="266">
        <v>43100</v>
      </c>
    </row>
    <row r="50" spans="1:48" customFormat="1" ht="31.5">
      <c r="A50" s="87">
        <f t="shared" si="4"/>
        <v>31</v>
      </c>
      <c r="B50" s="234" t="s">
        <v>381</v>
      </c>
      <c r="C50" s="88">
        <v>1961</v>
      </c>
      <c r="D50" s="88"/>
      <c r="E50" s="89" t="s">
        <v>218</v>
      </c>
      <c r="F50" s="88">
        <v>5</v>
      </c>
      <c r="G50" s="88">
        <v>4</v>
      </c>
      <c r="H50" s="90"/>
      <c r="I50" s="90"/>
      <c r="J50" s="90"/>
      <c r="K50" s="91"/>
      <c r="L50" s="92">
        <v>1870910</v>
      </c>
      <c r="M50" s="92">
        <v>0</v>
      </c>
      <c r="N50" s="92">
        <v>0</v>
      </c>
      <c r="O50" s="92">
        <f t="shared" si="2"/>
        <v>1870910</v>
      </c>
      <c r="P50" s="92">
        <v>0</v>
      </c>
      <c r="Q50" s="93" t="e">
        <f t="shared" si="3"/>
        <v>#DIV/0!</v>
      </c>
      <c r="R50" s="94"/>
      <c r="S50" s="266">
        <v>43100</v>
      </c>
    </row>
    <row r="51" spans="1:48" customFormat="1" ht="31.5">
      <c r="A51" s="87">
        <f t="shared" si="4"/>
        <v>32</v>
      </c>
      <c r="B51" s="234" t="s">
        <v>382</v>
      </c>
      <c r="C51" s="88">
        <v>1960</v>
      </c>
      <c r="D51" s="88"/>
      <c r="E51" s="89" t="s">
        <v>218</v>
      </c>
      <c r="F51" s="88">
        <v>5</v>
      </c>
      <c r="G51" s="88">
        <v>4</v>
      </c>
      <c r="H51" s="90"/>
      <c r="I51" s="90"/>
      <c r="J51" s="90"/>
      <c r="K51" s="91"/>
      <c r="L51" s="92">
        <v>1533757</v>
      </c>
      <c r="M51" s="92">
        <v>0</v>
      </c>
      <c r="N51" s="92">
        <v>0</v>
      </c>
      <c r="O51" s="92">
        <f t="shared" si="2"/>
        <v>1533757</v>
      </c>
      <c r="P51" s="92">
        <v>0</v>
      </c>
      <c r="Q51" s="93" t="e">
        <f t="shared" si="3"/>
        <v>#DIV/0!</v>
      </c>
      <c r="R51" s="94"/>
      <c r="S51" s="266">
        <v>43100</v>
      </c>
    </row>
    <row r="52" spans="1:48" customFormat="1" ht="31.5">
      <c r="A52" s="87">
        <f t="shared" si="4"/>
        <v>33</v>
      </c>
      <c r="B52" s="234" t="s">
        <v>371</v>
      </c>
      <c r="C52" s="97">
        <v>1960</v>
      </c>
      <c r="D52" s="97"/>
      <c r="E52" s="89" t="s">
        <v>218</v>
      </c>
      <c r="F52" s="97">
        <v>5</v>
      </c>
      <c r="G52" s="97">
        <v>4</v>
      </c>
      <c r="H52" s="97"/>
      <c r="I52" s="97"/>
      <c r="J52" s="97"/>
      <c r="K52" s="98"/>
      <c r="L52" s="92">
        <v>939858</v>
      </c>
      <c r="M52" s="92">
        <v>0</v>
      </c>
      <c r="N52" s="92">
        <v>0</v>
      </c>
      <c r="O52" s="92">
        <f t="shared" ref="O52:O83" si="5">L52</f>
        <v>939858</v>
      </c>
      <c r="P52" s="92">
        <v>0</v>
      </c>
      <c r="Q52" s="93" t="e">
        <f t="shared" ref="Q52:Q83" si="6">L52/I52</f>
        <v>#DIV/0!</v>
      </c>
      <c r="R52" s="94"/>
      <c r="S52" s="266">
        <v>43100</v>
      </c>
    </row>
    <row r="53" spans="1:48" customFormat="1" ht="15.75">
      <c r="A53" s="87">
        <f t="shared" si="4"/>
        <v>34</v>
      </c>
      <c r="B53" s="225" t="s">
        <v>377</v>
      </c>
      <c r="C53" s="88">
        <v>1973</v>
      </c>
      <c r="D53" s="88"/>
      <c r="E53" s="89" t="s">
        <v>219</v>
      </c>
      <c r="F53" s="88">
        <v>5</v>
      </c>
      <c r="G53" s="88">
        <v>6</v>
      </c>
      <c r="H53" s="90"/>
      <c r="I53" s="90"/>
      <c r="J53" s="90"/>
      <c r="K53" s="91"/>
      <c r="L53" s="92">
        <v>2368392</v>
      </c>
      <c r="M53" s="92">
        <v>0</v>
      </c>
      <c r="N53" s="92">
        <v>0</v>
      </c>
      <c r="O53" s="92">
        <f t="shared" si="5"/>
        <v>2368392</v>
      </c>
      <c r="P53" s="92">
        <v>0</v>
      </c>
      <c r="Q53" s="93" t="e">
        <f t="shared" si="6"/>
        <v>#DIV/0!</v>
      </c>
      <c r="R53" s="94"/>
      <c r="S53" s="266">
        <v>43100</v>
      </c>
    </row>
    <row r="54" spans="1:48" customFormat="1" ht="31.5">
      <c r="A54" s="87">
        <f t="shared" si="4"/>
        <v>35</v>
      </c>
      <c r="B54" s="225" t="s">
        <v>378</v>
      </c>
      <c r="C54" s="88">
        <v>1961</v>
      </c>
      <c r="D54" s="88"/>
      <c r="E54" s="89" t="s">
        <v>218</v>
      </c>
      <c r="F54" s="88">
        <v>5</v>
      </c>
      <c r="G54" s="88">
        <v>2</v>
      </c>
      <c r="H54" s="90"/>
      <c r="I54" s="90"/>
      <c r="J54" s="90"/>
      <c r="K54" s="91"/>
      <c r="L54" s="92">
        <v>2433930.91</v>
      </c>
      <c r="M54" s="92">
        <v>0</v>
      </c>
      <c r="N54" s="92">
        <v>0</v>
      </c>
      <c r="O54" s="92">
        <f t="shared" si="5"/>
        <v>2433930.91</v>
      </c>
      <c r="P54" s="92">
        <v>0</v>
      </c>
      <c r="Q54" s="93" t="e">
        <f t="shared" si="6"/>
        <v>#DIV/0!</v>
      </c>
      <c r="R54" s="94"/>
      <c r="S54" s="266">
        <v>43100</v>
      </c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</row>
    <row r="55" spans="1:48" customFormat="1" ht="31.5">
      <c r="A55" s="87">
        <f t="shared" si="4"/>
        <v>36</v>
      </c>
      <c r="B55" s="234" t="s">
        <v>383</v>
      </c>
      <c r="C55" s="88">
        <v>1964</v>
      </c>
      <c r="D55" s="88"/>
      <c r="E55" s="89" t="s">
        <v>218</v>
      </c>
      <c r="F55" s="88">
        <v>5</v>
      </c>
      <c r="G55" s="88">
        <v>4</v>
      </c>
      <c r="H55" s="90"/>
      <c r="I55" s="90"/>
      <c r="J55" s="90"/>
      <c r="K55" s="91"/>
      <c r="L55" s="92">
        <v>1721850</v>
      </c>
      <c r="M55" s="92">
        <v>0</v>
      </c>
      <c r="N55" s="92">
        <v>0</v>
      </c>
      <c r="O55" s="92">
        <f t="shared" si="5"/>
        <v>1721850</v>
      </c>
      <c r="P55" s="92">
        <v>0</v>
      </c>
      <c r="Q55" s="93" t="e">
        <f t="shared" si="6"/>
        <v>#DIV/0!</v>
      </c>
      <c r="R55" s="94"/>
      <c r="S55" s="266">
        <v>43100</v>
      </c>
    </row>
    <row r="56" spans="1:48" s="1" customFormat="1" ht="31.5">
      <c r="A56" s="87">
        <f t="shared" si="4"/>
        <v>37</v>
      </c>
      <c r="B56" s="234" t="s">
        <v>368</v>
      </c>
      <c r="C56" s="97">
        <v>1957</v>
      </c>
      <c r="D56" s="97"/>
      <c r="E56" s="89" t="s">
        <v>218</v>
      </c>
      <c r="F56" s="97">
        <v>4</v>
      </c>
      <c r="G56" s="97">
        <v>4</v>
      </c>
      <c r="H56" s="97"/>
      <c r="I56" s="97"/>
      <c r="J56" s="97"/>
      <c r="K56" s="98"/>
      <c r="L56" s="92">
        <v>814117</v>
      </c>
      <c r="M56" s="92">
        <v>0</v>
      </c>
      <c r="N56" s="92">
        <v>0</v>
      </c>
      <c r="O56" s="92">
        <f t="shared" si="5"/>
        <v>814117</v>
      </c>
      <c r="P56" s="92">
        <v>0</v>
      </c>
      <c r="Q56" s="93" t="e">
        <f t="shared" si="6"/>
        <v>#DIV/0!</v>
      </c>
      <c r="R56" s="94"/>
      <c r="S56" s="266">
        <v>43100</v>
      </c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1:48" customFormat="1" ht="31.5">
      <c r="A57" s="87">
        <f t="shared" si="4"/>
        <v>38</v>
      </c>
      <c r="B57" s="234" t="s">
        <v>375</v>
      </c>
      <c r="C57" s="88">
        <v>1957</v>
      </c>
      <c r="D57" s="88"/>
      <c r="E57" s="89" t="s">
        <v>218</v>
      </c>
      <c r="F57" s="88">
        <v>4</v>
      </c>
      <c r="G57" s="88">
        <v>4</v>
      </c>
      <c r="H57" s="90"/>
      <c r="I57" s="90"/>
      <c r="J57" s="90"/>
      <c r="K57" s="91"/>
      <c r="L57" s="92">
        <v>3045081</v>
      </c>
      <c r="M57" s="92">
        <v>0</v>
      </c>
      <c r="N57" s="92">
        <v>0</v>
      </c>
      <c r="O57" s="92">
        <f t="shared" si="5"/>
        <v>3045081</v>
      </c>
      <c r="P57" s="92">
        <v>0</v>
      </c>
      <c r="Q57" s="93" t="e">
        <f t="shared" si="6"/>
        <v>#DIV/0!</v>
      </c>
      <c r="R57" s="94"/>
      <c r="S57" s="266">
        <v>43100</v>
      </c>
    </row>
    <row r="58" spans="1:48" customFormat="1" ht="31.5">
      <c r="A58" s="87">
        <f t="shared" si="4"/>
        <v>39</v>
      </c>
      <c r="B58" s="234" t="s">
        <v>380</v>
      </c>
      <c r="C58" s="88">
        <v>1954</v>
      </c>
      <c r="D58" s="88"/>
      <c r="E58" s="89" t="s">
        <v>218</v>
      </c>
      <c r="F58" s="88">
        <v>3</v>
      </c>
      <c r="G58" s="88">
        <v>3</v>
      </c>
      <c r="H58" s="90"/>
      <c r="I58" s="90"/>
      <c r="J58" s="90"/>
      <c r="K58" s="91"/>
      <c r="L58" s="92">
        <v>2244806</v>
      </c>
      <c r="M58" s="92">
        <v>0</v>
      </c>
      <c r="N58" s="92">
        <v>0</v>
      </c>
      <c r="O58" s="92">
        <f t="shared" si="5"/>
        <v>2244806</v>
      </c>
      <c r="P58" s="92">
        <v>0</v>
      </c>
      <c r="Q58" s="93" t="e">
        <f t="shared" si="6"/>
        <v>#DIV/0!</v>
      </c>
      <c r="R58" s="94"/>
      <c r="S58" s="266">
        <v>43100</v>
      </c>
    </row>
    <row r="59" spans="1:48" customFormat="1" ht="31.5">
      <c r="A59" s="87">
        <f t="shared" si="4"/>
        <v>40</v>
      </c>
      <c r="B59" s="234" t="s">
        <v>374</v>
      </c>
      <c r="C59" s="88">
        <v>1963</v>
      </c>
      <c r="D59" s="88"/>
      <c r="E59" s="89" t="s">
        <v>218</v>
      </c>
      <c r="F59" s="88">
        <v>4</v>
      </c>
      <c r="G59" s="88">
        <v>2</v>
      </c>
      <c r="H59" s="90"/>
      <c r="I59" s="90"/>
      <c r="J59" s="90"/>
      <c r="K59" s="91"/>
      <c r="L59" s="92">
        <v>1361273</v>
      </c>
      <c r="M59" s="92">
        <v>0</v>
      </c>
      <c r="N59" s="92">
        <v>0</v>
      </c>
      <c r="O59" s="92">
        <f t="shared" si="5"/>
        <v>1361273</v>
      </c>
      <c r="P59" s="92">
        <v>0</v>
      </c>
      <c r="Q59" s="93" t="e">
        <f t="shared" si="6"/>
        <v>#DIV/0!</v>
      </c>
      <c r="R59" s="94"/>
      <c r="S59" s="266">
        <v>43100</v>
      </c>
    </row>
    <row r="60" spans="1:48" customFormat="1" ht="31.5">
      <c r="A60" s="87">
        <f t="shared" si="4"/>
        <v>41</v>
      </c>
      <c r="B60" s="234" t="s">
        <v>469</v>
      </c>
      <c r="C60" s="88">
        <v>1959</v>
      </c>
      <c r="D60" s="88"/>
      <c r="E60" s="89" t="s">
        <v>218</v>
      </c>
      <c r="F60" s="88">
        <v>4</v>
      </c>
      <c r="G60" s="88">
        <v>4</v>
      </c>
      <c r="H60" s="90"/>
      <c r="I60" s="90"/>
      <c r="J60" s="90"/>
      <c r="K60" s="91"/>
      <c r="L60" s="92">
        <v>2421596</v>
      </c>
      <c r="M60" s="92">
        <v>0</v>
      </c>
      <c r="N60" s="92">
        <v>0</v>
      </c>
      <c r="O60" s="92">
        <f t="shared" si="5"/>
        <v>2421596</v>
      </c>
      <c r="P60" s="92">
        <v>0</v>
      </c>
      <c r="Q60" s="93" t="e">
        <f t="shared" si="6"/>
        <v>#DIV/0!</v>
      </c>
      <c r="R60" s="94"/>
      <c r="S60" s="266">
        <v>43100</v>
      </c>
    </row>
    <row r="61" spans="1:48" customFormat="1" ht="31.5">
      <c r="A61" s="87">
        <f t="shared" si="4"/>
        <v>42</v>
      </c>
      <c r="B61" s="234" t="s">
        <v>379</v>
      </c>
      <c r="C61" s="88">
        <v>1967</v>
      </c>
      <c r="D61" s="88"/>
      <c r="E61" s="89" t="s">
        <v>218</v>
      </c>
      <c r="F61" s="88">
        <v>6</v>
      </c>
      <c r="G61" s="88">
        <v>5</v>
      </c>
      <c r="H61" s="90"/>
      <c r="I61" s="90"/>
      <c r="J61" s="90"/>
      <c r="K61" s="91"/>
      <c r="L61" s="92">
        <v>2056315</v>
      </c>
      <c r="M61" s="92">
        <v>0</v>
      </c>
      <c r="N61" s="92">
        <v>0</v>
      </c>
      <c r="O61" s="92">
        <f t="shared" si="5"/>
        <v>2056315</v>
      </c>
      <c r="P61" s="92">
        <v>0</v>
      </c>
      <c r="Q61" s="93" t="e">
        <f t="shared" si="6"/>
        <v>#DIV/0!</v>
      </c>
      <c r="R61" s="94"/>
      <c r="S61" s="266">
        <v>43100</v>
      </c>
    </row>
    <row r="62" spans="1:48" customFormat="1" ht="31.5">
      <c r="A62" s="87">
        <f t="shared" si="4"/>
        <v>43</v>
      </c>
      <c r="B62" s="234" t="s">
        <v>372</v>
      </c>
      <c r="C62" s="97">
        <v>1975</v>
      </c>
      <c r="D62" s="97"/>
      <c r="E62" s="89" t="s">
        <v>218</v>
      </c>
      <c r="F62" s="97">
        <v>9</v>
      </c>
      <c r="G62" s="97">
        <v>5</v>
      </c>
      <c r="H62" s="97"/>
      <c r="I62" s="97"/>
      <c r="J62" s="97"/>
      <c r="K62" s="98"/>
      <c r="L62" s="92">
        <v>9473593</v>
      </c>
      <c r="M62" s="92">
        <v>0</v>
      </c>
      <c r="N62" s="92">
        <v>0</v>
      </c>
      <c r="O62" s="92">
        <f t="shared" si="5"/>
        <v>9473593</v>
      </c>
      <c r="P62" s="92">
        <v>0</v>
      </c>
      <c r="Q62" s="93" t="e">
        <f t="shared" si="6"/>
        <v>#DIV/0!</v>
      </c>
      <c r="R62" s="94"/>
      <c r="S62" s="266">
        <v>43100</v>
      </c>
    </row>
    <row r="63" spans="1:48" customFormat="1" ht="31.5">
      <c r="A63" s="87">
        <f t="shared" si="4"/>
        <v>44</v>
      </c>
      <c r="B63" s="225" t="s">
        <v>344</v>
      </c>
      <c r="C63" s="87">
        <v>1968</v>
      </c>
      <c r="D63" s="88"/>
      <c r="E63" s="89" t="s">
        <v>218</v>
      </c>
      <c r="F63" s="88">
        <v>5</v>
      </c>
      <c r="G63" s="88">
        <v>6</v>
      </c>
      <c r="H63" s="96"/>
      <c r="I63" s="96"/>
      <c r="J63" s="82"/>
      <c r="K63" s="81"/>
      <c r="L63" s="92">
        <v>4441828</v>
      </c>
      <c r="M63" s="92">
        <v>0</v>
      </c>
      <c r="N63" s="92">
        <v>0</v>
      </c>
      <c r="O63" s="92">
        <f t="shared" si="5"/>
        <v>4441828</v>
      </c>
      <c r="P63" s="92">
        <v>0</v>
      </c>
      <c r="Q63" s="93" t="e">
        <f t="shared" si="6"/>
        <v>#DIV/0!</v>
      </c>
      <c r="R63" s="94"/>
      <c r="S63" s="266">
        <v>43100</v>
      </c>
    </row>
    <row r="64" spans="1:48" customFormat="1" ht="15.75">
      <c r="A64" s="87">
        <f t="shared" si="4"/>
        <v>45</v>
      </c>
      <c r="B64" s="234" t="s">
        <v>348</v>
      </c>
      <c r="C64" s="88">
        <v>1977</v>
      </c>
      <c r="D64" s="88"/>
      <c r="E64" s="89" t="s">
        <v>219</v>
      </c>
      <c r="F64" s="88">
        <v>5</v>
      </c>
      <c r="G64" s="88">
        <v>8</v>
      </c>
      <c r="H64" s="90"/>
      <c r="I64" s="90"/>
      <c r="J64" s="90"/>
      <c r="K64" s="91"/>
      <c r="L64" s="92">
        <v>3051089</v>
      </c>
      <c r="M64" s="92">
        <v>0</v>
      </c>
      <c r="N64" s="92">
        <v>0</v>
      </c>
      <c r="O64" s="92">
        <f t="shared" si="5"/>
        <v>3051089</v>
      </c>
      <c r="P64" s="92">
        <v>0</v>
      </c>
      <c r="Q64" s="93" t="e">
        <f t="shared" si="6"/>
        <v>#DIV/0!</v>
      </c>
      <c r="R64" s="94"/>
      <c r="S64" s="266">
        <v>43100</v>
      </c>
    </row>
    <row r="65" spans="1:48" customFormat="1" ht="31.5">
      <c r="A65" s="87">
        <f t="shared" si="4"/>
        <v>46</v>
      </c>
      <c r="B65" s="225" t="s">
        <v>386</v>
      </c>
      <c r="C65" s="97">
        <v>1956</v>
      </c>
      <c r="D65" s="97"/>
      <c r="E65" s="89" t="s">
        <v>218</v>
      </c>
      <c r="F65" s="97">
        <v>2</v>
      </c>
      <c r="G65" s="97">
        <v>2</v>
      </c>
      <c r="H65" s="97"/>
      <c r="I65" s="97"/>
      <c r="J65" s="97"/>
      <c r="K65" s="98"/>
      <c r="L65" s="92">
        <v>869749</v>
      </c>
      <c r="M65" s="92">
        <v>0</v>
      </c>
      <c r="N65" s="92">
        <v>0</v>
      </c>
      <c r="O65" s="92">
        <f t="shared" si="5"/>
        <v>869749</v>
      </c>
      <c r="P65" s="92">
        <v>0</v>
      </c>
      <c r="Q65" s="93" t="e">
        <f t="shared" si="6"/>
        <v>#DIV/0!</v>
      </c>
      <c r="R65" s="94"/>
      <c r="S65" s="266">
        <v>43100</v>
      </c>
    </row>
    <row r="66" spans="1:48" customFormat="1" ht="31.5">
      <c r="A66" s="87">
        <f t="shared" si="4"/>
        <v>47</v>
      </c>
      <c r="B66" s="225" t="s">
        <v>461</v>
      </c>
      <c r="C66" s="88">
        <v>1956</v>
      </c>
      <c r="D66" s="88"/>
      <c r="E66" s="89" t="s">
        <v>218</v>
      </c>
      <c r="F66" s="88">
        <v>2</v>
      </c>
      <c r="G66" s="88">
        <v>2</v>
      </c>
      <c r="H66" s="90"/>
      <c r="I66" s="90"/>
      <c r="J66" s="90"/>
      <c r="K66" s="91"/>
      <c r="L66" s="92">
        <v>869880</v>
      </c>
      <c r="M66" s="92">
        <v>0</v>
      </c>
      <c r="N66" s="92">
        <v>0</v>
      </c>
      <c r="O66" s="92">
        <f t="shared" si="5"/>
        <v>869880</v>
      </c>
      <c r="P66" s="92">
        <v>0</v>
      </c>
      <c r="Q66" s="93" t="e">
        <f t="shared" si="6"/>
        <v>#DIV/0!</v>
      </c>
      <c r="R66" s="94"/>
      <c r="S66" s="266">
        <v>43100</v>
      </c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</row>
    <row r="67" spans="1:48" customFormat="1" ht="31.5">
      <c r="A67" s="87">
        <f t="shared" si="4"/>
        <v>48</v>
      </c>
      <c r="B67" s="234" t="s">
        <v>462</v>
      </c>
      <c r="C67" s="88">
        <v>1959</v>
      </c>
      <c r="D67" s="95"/>
      <c r="E67" s="89" t="s">
        <v>218</v>
      </c>
      <c r="F67" s="88">
        <v>2</v>
      </c>
      <c r="G67" s="88">
        <v>2</v>
      </c>
      <c r="H67" s="90"/>
      <c r="I67" s="90"/>
      <c r="J67" s="90"/>
      <c r="K67" s="91"/>
      <c r="L67" s="92">
        <v>172302</v>
      </c>
      <c r="M67" s="92">
        <v>0</v>
      </c>
      <c r="N67" s="92">
        <v>0</v>
      </c>
      <c r="O67" s="92">
        <f t="shared" si="5"/>
        <v>172302</v>
      </c>
      <c r="P67" s="92">
        <v>0</v>
      </c>
      <c r="Q67" s="93" t="e">
        <f t="shared" si="6"/>
        <v>#DIV/0!</v>
      </c>
      <c r="R67" s="94"/>
      <c r="S67" s="266">
        <v>43100</v>
      </c>
    </row>
    <row r="68" spans="1:48" customFormat="1" ht="31.5">
      <c r="A68" s="87">
        <f t="shared" si="4"/>
        <v>49</v>
      </c>
      <c r="B68" s="234" t="s">
        <v>389</v>
      </c>
      <c r="C68" s="88">
        <v>1910</v>
      </c>
      <c r="D68" s="88"/>
      <c r="E68" s="89" t="s">
        <v>218</v>
      </c>
      <c r="F68" s="88">
        <v>4</v>
      </c>
      <c r="G68" s="88">
        <v>1</v>
      </c>
      <c r="H68" s="90"/>
      <c r="I68" s="90"/>
      <c r="J68" s="90"/>
      <c r="K68" s="91"/>
      <c r="L68" s="92">
        <v>3706393</v>
      </c>
      <c r="M68" s="92">
        <v>0</v>
      </c>
      <c r="N68" s="92">
        <v>0</v>
      </c>
      <c r="O68" s="92">
        <f t="shared" si="5"/>
        <v>3706393</v>
      </c>
      <c r="P68" s="92">
        <v>0</v>
      </c>
      <c r="Q68" s="93" t="e">
        <f t="shared" si="6"/>
        <v>#DIV/0!</v>
      </c>
      <c r="R68" s="94"/>
      <c r="S68" s="266">
        <v>43100</v>
      </c>
    </row>
    <row r="69" spans="1:48" customFormat="1" ht="31.5">
      <c r="A69" s="87">
        <f t="shared" si="4"/>
        <v>50</v>
      </c>
      <c r="B69" s="234" t="s">
        <v>317</v>
      </c>
      <c r="C69" s="97">
        <v>1914</v>
      </c>
      <c r="D69" s="97"/>
      <c r="E69" s="89" t="s">
        <v>218</v>
      </c>
      <c r="F69" s="97">
        <v>4</v>
      </c>
      <c r="G69" s="97">
        <v>5</v>
      </c>
      <c r="H69" s="97"/>
      <c r="I69" s="97"/>
      <c r="J69" s="97"/>
      <c r="K69" s="98"/>
      <c r="L69" s="92">
        <v>698585</v>
      </c>
      <c r="M69" s="92">
        <v>0</v>
      </c>
      <c r="N69" s="92">
        <v>0</v>
      </c>
      <c r="O69" s="92">
        <f t="shared" si="5"/>
        <v>698585</v>
      </c>
      <c r="P69" s="92">
        <v>0</v>
      </c>
      <c r="Q69" s="93" t="e">
        <f t="shared" si="6"/>
        <v>#DIV/0!</v>
      </c>
      <c r="R69" s="94"/>
      <c r="S69" s="266">
        <v>43100</v>
      </c>
    </row>
    <row r="70" spans="1:48" customFormat="1" ht="31.5">
      <c r="A70" s="87">
        <f t="shared" si="4"/>
        <v>51</v>
      </c>
      <c r="B70" s="234" t="s">
        <v>384</v>
      </c>
      <c r="C70" s="97" t="s">
        <v>190</v>
      </c>
      <c r="D70" s="97"/>
      <c r="E70" s="89" t="s">
        <v>218</v>
      </c>
      <c r="F70" s="97">
        <v>2</v>
      </c>
      <c r="G70" s="97">
        <v>3</v>
      </c>
      <c r="H70" s="97"/>
      <c r="I70" s="97"/>
      <c r="J70" s="97"/>
      <c r="K70" s="98"/>
      <c r="L70" s="92">
        <v>951740</v>
      </c>
      <c r="M70" s="92">
        <v>0</v>
      </c>
      <c r="N70" s="92">
        <v>0</v>
      </c>
      <c r="O70" s="92">
        <f t="shared" si="5"/>
        <v>951740</v>
      </c>
      <c r="P70" s="92">
        <v>0</v>
      </c>
      <c r="Q70" s="93" t="e">
        <f t="shared" si="6"/>
        <v>#DIV/0!</v>
      </c>
      <c r="R70" s="94"/>
      <c r="S70" s="266">
        <v>43100</v>
      </c>
    </row>
    <row r="71" spans="1:48" customFormat="1" ht="31.5">
      <c r="A71" s="87">
        <f t="shared" si="4"/>
        <v>52</v>
      </c>
      <c r="B71" s="225" t="s">
        <v>247</v>
      </c>
      <c r="C71" s="97">
        <v>1953</v>
      </c>
      <c r="D71" s="97"/>
      <c r="E71" s="89" t="s">
        <v>218</v>
      </c>
      <c r="F71" s="97">
        <v>3</v>
      </c>
      <c r="G71" s="97">
        <v>3</v>
      </c>
      <c r="H71" s="97"/>
      <c r="I71" s="97"/>
      <c r="J71" s="97"/>
      <c r="K71" s="98"/>
      <c r="L71" s="92">
        <v>2056139</v>
      </c>
      <c r="M71" s="92">
        <v>0</v>
      </c>
      <c r="N71" s="92">
        <v>0</v>
      </c>
      <c r="O71" s="92">
        <f t="shared" si="5"/>
        <v>2056139</v>
      </c>
      <c r="P71" s="92">
        <v>0</v>
      </c>
      <c r="Q71" s="93" t="e">
        <f t="shared" si="6"/>
        <v>#DIV/0!</v>
      </c>
      <c r="R71" s="94"/>
      <c r="S71" s="266">
        <v>43100</v>
      </c>
    </row>
    <row r="72" spans="1:48" customFormat="1" ht="31.5">
      <c r="A72" s="87">
        <f t="shared" si="4"/>
        <v>53</v>
      </c>
      <c r="B72" s="234" t="s">
        <v>274</v>
      </c>
      <c r="C72" s="87">
        <v>1958</v>
      </c>
      <c r="D72" s="88"/>
      <c r="E72" s="89" t="s">
        <v>218</v>
      </c>
      <c r="F72" s="88">
        <v>2</v>
      </c>
      <c r="G72" s="88">
        <v>2</v>
      </c>
      <c r="H72" s="96"/>
      <c r="I72" s="96"/>
      <c r="J72" s="96"/>
      <c r="K72" s="81"/>
      <c r="L72" s="92">
        <v>1321356</v>
      </c>
      <c r="M72" s="92">
        <v>0</v>
      </c>
      <c r="N72" s="92">
        <v>0</v>
      </c>
      <c r="O72" s="92">
        <f t="shared" si="5"/>
        <v>1321356</v>
      </c>
      <c r="P72" s="92">
        <v>0</v>
      </c>
      <c r="Q72" s="93" t="e">
        <f t="shared" si="6"/>
        <v>#DIV/0!</v>
      </c>
      <c r="R72" s="94"/>
      <c r="S72" s="266">
        <v>43100</v>
      </c>
    </row>
    <row r="73" spans="1:48" customFormat="1" ht="31.5">
      <c r="A73" s="87">
        <f t="shared" si="4"/>
        <v>54</v>
      </c>
      <c r="B73" s="234" t="s">
        <v>338</v>
      </c>
      <c r="C73" s="97">
        <v>1959</v>
      </c>
      <c r="D73" s="97"/>
      <c r="E73" s="89" t="s">
        <v>218</v>
      </c>
      <c r="F73" s="97">
        <v>2</v>
      </c>
      <c r="G73" s="97">
        <v>2</v>
      </c>
      <c r="H73" s="97"/>
      <c r="I73" s="97"/>
      <c r="J73" s="97"/>
      <c r="K73" s="98"/>
      <c r="L73" s="92">
        <v>1679278</v>
      </c>
      <c r="M73" s="92">
        <v>0</v>
      </c>
      <c r="N73" s="92">
        <v>0</v>
      </c>
      <c r="O73" s="92">
        <f t="shared" si="5"/>
        <v>1679278</v>
      </c>
      <c r="P73" s="92">
        <v>0</v>
      </c>
      <c r="Q73" s="93" t="e">
        <f t="shared" si="6"/>
        <v>#DIV/0!</v>
      </c>
      <c r="R73" s="94"/>
      <c r="S73" s="266">
        <v>43100</v>
      </c>
    </row>
    <row r="74" spans="1:48" customFormat="1" ht="31.5">
      <c r="A74" s="87">
        <f t="shared" si="4"/>
        <v>55</v>
      </c>
      <c r="B74" s="234" t="s">
        <v>272</v>
      </c>
      <c r="C74" s="97">
        <v>1959</v>
      </c>
      <c r="D74" s="97"/>
      <c r="E74" s="89" t="s">
        <v>218</v>
      </c>
      <c r="F74" s="97">
        <v>2</v>
      </c>
      <c r="G74" s="97">
        <v>2</v>
      </c>
      <c r="H74" s="97"/>
      <c r="I74" s="97"/>
      <c r="J74" s="97"/>
      <c r="K74" s="98"/>
      <c r="L74" s="92">
        <v>1100896</v>
      </c>
      <c r="M74" s="92">
        <v>0</v>
      </c>
      <c r="N74" s="92">
        <v>0</v>
      </c>
      <c r="O74" s="92">
        <f t="shared" si="5"/>
        <v>1100896</v>
      </c>
      <c r="P74" s="92">
        <v>0</v>
      </c>
      <c r="Q74" s="93" t="e">
        <f t="shared" si="6"/>
        <v>#DIV/0!</v>
      </c>
      <c r="R74" s="94"/>
      <c r="S74" s="266">
        <v>43100</v>
      </c>
    </row>
    <row r="75" spans="1:48" customFormat="1" ht="31.5">
      <c r="A75" s="87">
        <f t="shared" si="4"/>
        <v>56</v>
      </c>
      <c r="B75" s="234" t="s">
        <v>337</v>
      </c>
      <c r="C75" s="97">
        <v>1959</v>
      </c>
      <c r="D75" s="97"/>
      <c r="E75" s="89" t="s">
        <v>218</v>
      </c>
      <c r="F75" s="97">
        <v>2</v>
      </c>
      <c r="G75" s="97">
        <v>2</v>
      </c>
      <c r="H75" s="97"/>
      <c r="I75" s="97"/>
      <c r="J75" s="97"/>
      <c r="K75" s="98"/>
      <c r="L75" s="92">
        <v>1729707</v>
      </c>
      <c r="M75" s="92">
        <v>0</v>
      </c>
      <c r="N75" s="92">
        <v>0</v>
      </c>
      <c r="O75" s="92">
        <f t="shared" si="5"/>
        <v>1729707</v>
      </c>
      <c r="P75" s="92">
        <v>0</v>
      </c>
      <c r="Q75" s="93" t="e">
        <f t="shared" si="6"/>
        <v>#DIV/0!</v>
      </c>
      <c r="R75" s="94"/>
      <c r="S75" s="266">
        <v>43100</v>
      </c>
    </row>
    <row r="76" spans="1:48" customFormat="1" ht="31.5">
      <c r="A76" s="87">
        <f t="shared" si="4"/>
        <v>57</v>
      </c>
      <c r="B76" s="225" t="s">
        <v>257</v>
      </c>
      <c r="C76" s="97">
        <v>1959</v>
      </c>
      <c r="D76" s="97"/>
      <c r="E76" s="89" t="s">
        <v>218</v>
      </c>
      <c r="F76" s="97">
        <v>2</v>
      </c>
      <c r="G76" s="97">
        <v>2</v>
      </c>
      <c r="H76" s="97"/>
      <c r="I76" s="97"/>
      <c r="J76" s="97"/>
      <c r="K76" s="98"/>
      <c r="L76" s="92">
        <v>451222.57</v>
      </c>
      <c r="M76" s="92">
        <v>0</v>
      </c>
      <c r="N76" s="92">
        <v>0</v>
      </c>
      <c r="O76" s="92">
        <f t="shared" si="5"/>
        <v>451222.57</v>
      </c>
      <c r="P76" s="92">
        <v>0</v>
      </c>
      <c r="Q76" s="93" t="e">
        <f t="shared" si="6"/>
        <v>#DIV/0!</v>
      </c>
      <c r="R76" s="94"/>
      <c r="S76" s="266">
        <v>43100</v>
      </c>
    </row>
    <row r="77" spans="1:48" customFormat="1" ht="31.5">
      <c r="A77" s="87">
        <f t="shared" si="4"/>
        <v>58</v>
      </c>
      <c r="B77" s="234" t="s">
        <v>307</v>
      </c>
      <c r="C77" s="88">
        <v>1959</v>
      </c>
      <c r="D77" s="88"/>
      <c r="E77" s="89" t="s">
        <v>218</v>
      </c>
      <c r="F77" s="88">
        <v>2</v>
      </c>
      <c r="G77" s="88">
        <v>1</v>
      </c>
      <c r="H77" s="90"/>
      <c r="I77" s="90"/>
      <c r="J77" s="90"/>
      <c r="K77" s="91"/>
      <c r="L77" s="92">
        <v>703675.57</v>
      </c>
      <c r="M77" s="92">
        <v>0</v>
      </c>
      <c r="N77" s="92">
        <v>0</v>
      </c>
      <c r="O77" s="92">
        <f t="shared" si="5"/>
        <v>703675.57</v>
      </c>
      <c r="P77" s="92">
        <v>0</v>
      </c>
      <c r="Q77" s="93" t="e">
        <f t="shared" si="6"/>
        <v>#DIV/0!</v>
      </c>
      <c r="R77" s="94"/>
      <c r="S77" s="266">
        <v>43100</v>
      </c>
    </row>
    <row r="78" spans="1:48" customFormat="1" ht="31.5">
      <c r="A78" s="87">
        <f t="shared" si="4"/>
        <v>59</v>
      </c>
      <c r="B78" s="234" t="s">
        <v>268</v>
      </c>
      <c r="C78" s="97">
        <v>1959</v>
      </c>
      <c r="D78" s="97"/>
      <c r="E78" s="89" t="s">
        <v>218</v>
      </c>
      <c r="F78" s="97">
        <v>4</v>
      </c>
      <c r="G78" s="97">
        <v>3</v>
      </c>
      <c r="H78" s="97"/>
      <c r="I78" s="97"/>
      <c r="J78" s="97"/>
      <c r="K78" s="98"/>
      <c r="L78" s="92">
        <v>1053533.22</v>
      </c>
      <c r="M78" s="92">
        <v>0</v>
      </c>
      <c r="N78" s="92">
        <v>0</v>
      </c>
      <c r="O78" s="92">
        <f t="shared" si="5"/>
        <v>1053533.22</v>
      </c>
      <c r="P78" s="92">
        <v>0</v>
      </c>
      <c r="Q78" s="93" t="e">
        <f t="shared" si="6"/>
        <v>#DIV/0!</v>
      </c>
      <c r="R78" s="94"/>
      <c r="S78" s="266">
        <v>43100</v>
      </c>
    </row>
    <row r="79" spans="1:48" customFormat="1" ht="31.5">
      <c r="A79" s="87">
        <f t="shared" si="4"/>
        <v>60</v>
      </c>
      <c r="B79" s="225" t="s">
        <v>246</v>
      </c>
      <c r="C79" s="97">
        <v>1979</v>
      </c>
      <c r="D79" s="97"/>
      <c r="E79" s="89" t="s">
        <v>218</v>
      </c>
      <c r="F79" s="97">
        <v>9</v>
      </c>
      <c r="G79" s="97">
        <v>1</v>
      </c>
      <c r="H79" s="97"/>
      <c r="I79" s="97"/>
      <c r="J79" s="97"/>
      <c r="K79" s="98"/>
      <c r="L79" s="92">
        <v>1253738</v>
      </c>
      <c r="M79" s="92">
        <v>0</v>
      </c>
      <c r="N79" s="92">
        <v>0</v>
      </c>
      <c r="O79" s="92">
        <f t="shared" si="5"/>
        <v>1253738</v>
      </c>
      <c r="P79" s="92">
        <v>0</v>
      </c>
      <c r="Q79" s="93" t="e">
        <f t="shared" si="6"/>
        <v>#DIV/0!</v>
      </c>
      <c r="R79" s="94"/>
      <c r="S79" s="266">
        <v>43100</v>
      </c>
    </row>
    <row r="80" spans="1:48" customFormat="1" ht="15.75">
      <c r="A80" s="87">
        <f t="shared" si="4"/>
        <v>61</v>
      </c>
      <c r="B80" s="234" t="s">
        <v>470</v>
      </c>
      <c r="C80" s="88">
        <v>1984</v>
      </c>
      <c r="D80" s="88"/>
      <c r="E80" s="89" t="s">
        <v>219</v>
      </c>
      <c r="F80" s="88">
        <v>9</v>
      </c>
      <c r="G80" s="88">
        <v>1</v>
      </c>
      <c r="H80" s="90"/>
      <c r="I80" s="90"/>
      <c r="J80" s="90"/>
      <c r="K80" s="91"/>
      <c r="L80" s="92">
        <v>1870046</v>
      </c>
      <c r="M80" s="92">
        <v>0</v>
      </c>
      <c r="N80" s="92">
        <v>0</v>
      </c>
      <c r="O80" s="92">
        <f t="shared" si="5"/>
        <v>1870046</v>
      </c>
      <c r="P80" s="92">
        <v>0</v>
      </c>
      <c r="Q80" s="93" t="e">
        <f t="shared" si="6"/>
        <v>#DIV/0!</v>
      </c>
      <c r="R80" s="94"/>
      <c r="S80" s="266">
        <v>43100</v>
      </c>
    </row>
    <row r="81" spans="1:19" customFormat="1" ht="15.75">
      <c r="A81" s="87">
        <f t="shared" si="4"/>
        <v>62</v>
      </c>
      <c r="B81" s="234" t="s">
        <v>350</v>
      </c>
      <c r="C81" s="88">
        <v>1984</v>
      </c>
      <c r="D81" s="88"/>
      <c r="E81" s="89" t="s">
        <v>219</v>
      </c>
      <c r="F81" s="88">
        <v>9</v>
      </c>
      <c r="G81" s="88">
        <v>2</v>
      </c>
      <c r="H81" s="90"/>
      <c r="I81" s="90"/>
      <c r="J81" s="90"/>
      <c r="K81" s="91"/>
      <c r="L81" s="92">
        <v>3720676</v>
      </c>
      <c r="M81" s="92">
        <v>0</v>
      </c>
      <c r="N81" s="92">
        <v>0</v>
      </c>
      <c r="O81" s="92">
        <f t="shared" si="5"/>
        <v>3720676</v>
      </c>
      <c r="P81" s="92">
        <v>0</v>
      </c>
      <c r="Q81" s="93" t="e">
        <f t="shared" si="6"/>
        <v>#DIV/0!</v>
      </c>
      <c r="R81" s="94"/>
      <c r="S81" s="266">
        <v>43100</v>
      </c>
    </row>
    <row r="82" spans="1:19" customFormat="1" ht="31.5">
      <c r="A82" s="87">
        <f t="shared" si="4"/>
        <v>63</v>
      </c>
      <c r="B82" s="234" t="s">
        <v>251</v>
      </c>
      <c r="C82" s="97">
        <v>1977</v>
      </c>
      <c r="D82" s="97"/>
      <c r="E82" s="89" t="s">
        <v>218</v>
      </c>
      <c r="F82" s="97">
        <v>5</v>
      </c>
      <c r="G82" s="97">
        <v>6</v>
      </c>
      <c r="H82" s="97"/>
      <c r="I82" s="97"/>
      <c r="J82" s="97"/>
      <c r="K82" s="98"/>
      <c r="L82" s="92">
        <v>3687908</v>
      </c>
      <c r="M82" s="92">
        <v>0</v>
      </c>
      <c r="N82" s="92">
        <v>0</v>
      </c>
      <c r="O82" s="92">
        <f t="shared" si="5"/>
        <v>3687908</v>
      </c>
      <c r="P82" s="92">
        <v>0</v>
      </c>
      <c r="Q82" s="93" t="e">
        <f t="shared" si="6"/>
        <v>#DIV/0!</v>
      </c>
      <c r="R82" s="94"/>
      <c r="S82" s="266">
        <v>43100</v>
      </c>
    </row>
    <row r="83" spans="1:19" customFormat="1" ht="31.5">
      <c r="A83" s="87">
        <f t="shared" si="4"/>
        <v>64</v>
      </c>
      <c r="B83" s="234" t="s">
        <v>226</v>
      </c>
      <c r="C83" s="97">
        <v>1933</v>
      </c>
      <c r="D83" s="97"/>
      <c r="E83" s="89" t="s">
        <v>218</v>
      </c>
      <c r="F83" s="97">
        <v>4</v>
      </c>
      <c r="G83" s="97">
        <v>5</v>
      </c>
      <c r="H83" s="97"/>
      <c r="I83" s="97"/>
      <c r="J83" s="97"/>
      <c r="K83" s="98"/>
      <c r="L83" s="92">
        <v>1760967.35</v>
      </c>
      <c r="M83" s="92">
        <v>0</v>
      </c>
      <c r="N83" s="92">
        <v>0</v>
      </c>
      <c r="O83" s="92">
        <f t="shared" si="5"/>
        <v>1760967.35</v>
      </c>
      <c r="P83" s="92">
        <v>0</v>
      </c>
      <c r="Q83" s="93" t="e">
        <f t="shared" si="6"/>
        <v>#DIV/0!</v>
      </c>
      <c r="R83" s="94"/>
      <c r="S83" s="266">
        <v>43100</v>
      </c>
    </row>
    <row r="84" spans="1:19" customFormat="1" ht="31.5">
      <c r="A84" s="87">
        <f t="shared" si="4"/>
        <v>65</v>
      </c>
      <c r="B84" s="234" t="s">
        <v>271</v>
      </c>
      <c r="C84" s="97">
        <v>1961</v>
      </c>
      <c r="D84" s="97"/>
      <c r="E84" s="89" t="s">
        <v>218</v>
      </c>
      <c r="F84" s="97">
        <v>5</v>
      </c>
      <c r="G84" s="97">
        <v>4</v>
      </c>
      <c r="H84" s="97"/>
      <c r="I84" s="97"/>
      <c r="J84" s="97"/>
      <c r="K84" s="98"/>
      <c r="L84" s="92">
        <v>881947</v>
      </c>
      <c r="M84" s="92">
        <v>0</v>
      </c>
      <c r="N84" s="92">
        <v>0</v>
      </c>
      <c r="O84" s="92">
        <f t="shared" ref="O84:O115" si="7">L84</f>
        <v>881947</v>
      </c>
      <c r="P84" s="92">
        <v>0</v>
      </c>
      <c r="Q84" s="93" t="e">
        <f t="shared" ref="Q84:Q115" si="8">L84/I84</f>
        <v>#DIV/0!</v>
      </c>
      <c r="R84" s="94"/>
      <c r="S84" s="266">
        <v>43100</v>
      </c>
    </row>
    <row r="85" spans="1:19" customFormat="1" ht="31.5">
      <c r="A85" s="87">
        <f t="shared" si="4"/>
        <v>66</v>
      </c>
      <c r="B85" s="234" t="s">
        <v>287</v>
      </c>
      <c r="C85" s="88">
        <v>1960</v>
      </c>
      <c r="D85" s="88"/>
      <c r="E85" s="89" t="s">
        <v>218</v>
      </c>
      <c r="F85" s="88">
        <v>2</v>
      </c>
      <c r="G85" s="88">
        <v>2</v>
      </c>
      <c r="H85" s="90"/>
      <c r="I85" s="90"/>
      <c r="J85" s="90"/>
      <c r="K85" s="91"/>
      <c r="L85" s="92">
        <v>517739</v>
      </c>
      <c r="M85" s="92">
        <v>0</v>
      </c>
      <c r="N85" s="92">
        <v>0</v>
      </c>
      <c r="O85" s="92">
        <f t="shared" si="7"/>
        <v>517739</v>
      </c>
      <c r="P85" s="92">
        <v>0</v>
      </c>
      <c r="Q85" s="93" t="e">
        <f t="shared" si="8"/>
        <v>#DIV/0!</v>
      </c>
      <c r="R85" s="94"/>
      <c r="S85" s="266">
        <v>43100</v>
      </c>
    </row>
    <row r="86" spans="1:19" customFormat="1" ht="31.5">
      <c r="A86" s="87">
        <f t="shared" ref="A86:A149" si="9">A85+1</f>
        <v>67</v>
      </c>
      <c r="B86" s="225" t="s">
        <v>289</v>
      </c>
      <c r="C86" s="88">
        <v>1966</v>
      </c>
      <c r="D86" s="88"/>
      <c r="E86" s="89" t="s">
        <v>218</v>
      </c>
      <c r="F86" s="88">
        <v>5</v>
      </c>
      <c r="G86" s="88">
        <v>4</v>
      </c>
      <c r="H86" s="90"/>
      <c r="I86" s="90"/>
      <c r="J86" s="90"/>
      <c r="K86" s="91"/>
      <c r="L86" s="92">
        <v>1728895</v>
      </c>
      <c r="M86" s="92">
        <v>0</v>
      </c>
      <c r="N86" s="92">
        <v>0</v>
      </c>
      <c r="O86" s="92">
        <f t="shared" si="7"/>
        <v>1728895</v>
      </c>
      <c r="P86" s="92">
        <v>0</v>
      </c>
      <c r="Q86" s="93" t="e">
        <f t="shared" si="8"/>
        <v>#DIV/0!</v>
      </c>
      <c r="R86" s="94"/>
      <c r="S86" s="266">
        <v>43100</v>
      </c>
    </row>
    <row r="87" spans="1:19" customFormat="1" ht="15.75">
      <c r="A87" s="87">
        <f t="shared" si="9"/>
        <v>68</v>
      </c>
      <c r="B87" s="234" t="s">
        <v>259</v>
      </c>
      <c r="C87" s="97">
        <v>1925</v>
      </c>
      <c r="D87" s="97"/>
      <c r="E87" s="89" t="s">
        <v>221</v>
      </c>
      <c r="F87" s="97">
        <v>2</v>
      </c>
      <c r="G87" s="97">
        <v>2</v>
      </c>
      <c r="H87" s="97"/>
      <c r="I87" s="97"/>
      <c r="J87" s="97"/>
      <c r="K87" s="98"/>
      <c r="L87" s="92">
        <v>682529</v>
      </c>
      <c r="M87" s="92">
        <v>0</v>
      </c>
      <c r="N87" s="92">
        <v>0</v>
      </c>
      <c r="O87" s="92">
        <f t="shared" si="7"/>
        <v>682529</v>
      </c>
      <c r="P87" s="92">
        <v>0</v>
      </c>
      <c r="Q87" s="93" t="e">
        <f t="shared" si="8"/>
        <v>#DIV/0!</v>
      </c>
      <c r="R87" s="94"/>
      <c r="S87" s="266">
        <v>43100</v>
      </c>
    </row>
    <row r="88" spans="1:19" customFormat="1" ht="15.75">
      <c r="A88" s="87">
        <f t="shared" si="9"/>
        <v>69</v>
      </c>
      <c r="B88" s="234" t="s">
        <v>291</v>
      </c>
      <c r="C88" s="88">
        <v>1900</v>
      </c>
      <c r="D88" s="88"/>
      <c r="E88" s="89" t="s">
        <v>221</v>
      </c>
      <c r="F88" s="88">
        <v>2</v>
      </c>
      <c r="G88" s="88">
        <v>2</v>
      </c>
      <c r="H88" s="90"/>
      <c r="I88" s="90"/>
      <c r="J88" s="90"/>
      <c r="K88" s="91"/>
      <c r="L88" s="92">
        <v>582157</v>
      </c>
      <c r="M88" s="92">
        <v>0</v>
      </c>
      <c r="N88" s="92">
        <v>0</v>
      </c>
      <c r="O88" s="92">
        <f t="shared" si="7"/>
        <v>582157</v>
      </c>
      <c r="P88" s="92">
        <v>0</v>
      </c>
      <c r="Q88" s="93" t="e">
        <f t="shared" si="8"/>
        <v>#DIV/0!</v>
      </c>
      <c r="R88" s="94"/>
      <c r="S88" s="266">
        <v>43100</v>
      </c>
    </row>
    <row r="89" spans="1:19" customFormat="1" ht="31.5">
      <c r="A89" s="87">
        <f t="shared" si="9"/>
        <v>70</v>
      </c>
      <c r="B89" s="234" t="s">
        <v>224</v>
      </c>
      <c r="C89" s="97">
        <v>1934</v>
      </c>
      <c r="D89" s="97"/>
      <c r="E89" s="89" t="s">
        <v>218</v>
      </c>
      <c r="F89" s="97">
        <v>3</v>
      </c>
      <c r="G89" s="97">
        <v>5</v>
      </c>
      <c r="H89" s="97"/>
      <c r="I89" s="97"/>
      <c r="J89" s="97"/>
      <c r="K89" s="98"/>
      <c r="L89" s="92">
        <v>701704</v>
      </c>
      <c r="M89" s="92">
        <v>0</v>
      </c>
      <c r="N89" s="92">
        <v>0</v>
      </c>
      <c r="O89" s="92">
        <f t="shared" si="7"/>
        <v>701704</v>
      </c>
      <c r="P89" s="92">
        <v>0</v>
      </c>
      <c r="Q89" s="93" t="e">
        <f t="shared" si="8"/>
        <v>#DIV/0!</v>
      </c>
      <c r="R89" s="94"/>
      <c r="S89" s="266">
        <v>43100</v>
      </c>
    </row>
    <row r="90" spans="1:19" customFormat="1" ht="15.75">
      <c r="A90" s="87">
        <f t="shared" si="9"/>
        <v>71</v>
      </c>
      <c r="B90" s="234" t="s">
        <v>261</v>
      </c>
      <c r="C90" s="97">
        <v>1970</v>
      </c>
      <c r="D90" s="97"/>
      <c r="E90" s="89" t="s">
        <v>219</v>
      </c>
      <c r="F90" s="97">
        <v>5</v>
      </c>
      <c r="G90" s="97">
        <v>6</v>
      </c>
      <c r="H90" s="97"/>
      <c r="I90" s="97"/>
      <c r="J90" s="97"/>
      <c r="K90" s="98"/>
      <c r="L90" s="92">
        <v>1969149</v>
      </c>
      <c r="M90" s="92">
        <v>0</v>
      </c>
      <c r="N90" s="92">
        <v>0</v>
      </c>
      <c r="O90" s="92">
        <f t="shared" si="7"/>
        <v>1969149</v>
      </c>
      <c r="P90" s="92">
        <v>0</v>
      </c>
      <c r="Q90" s="93" t="e">
        <f t="shared" si="8"/>
        <v>#DIV/0!</v>
      </c>
      <c r="R90" s="94"/>
      <c r="S90" s="266">
        <v>43100</v>
      </c>
    </row>
    <row r="91" spans="1:19" customFormat="1" ht="31.5">
      <c r="A91" s="87">
        <f t="shared" si="9"/>
        <v>72</v>
      </c>
      <c r="B91" s="234" t="s">
        <v>239</v>
      </c>
      <c r="C91" s="97">
        <v>1956</v>
      </c>
      <c r="D91" s="97"/>
      <c r="E91" s="89" t="s">
        <v>218</v>
      </c>
      <c r="F91" s="97">
        <v>3</v>
      </c>
      <c r="G91" s="97">
        <v>3</v>
      </c>
      <c r="H91" s="97"/>
      <c r="I91" s="97"/>
      <c r="J91" s="97"/>
      <c r="K91" s="98"/>
      <c r="L91" s="92">
        <v>1023088</v>
      </c>
      <c r="M91" s="92">
        <v>0</v>
      </c>
      <c r="N91" s="92">
        <v>0</v>
      </c>
      <c r="O91" s="92">
        <f t="shared" si="7"/>
        <v>1023088</v>
      </c>
      <c r="P91" s="92">
        <v>0</v>
      </c>
      <c r="Q91" s="93" t="e">
        <f t="shared" si="8"/>
        <v>#DIV/0!</v>
      </c>
      <c r="R91" s="94"/>
      <c r="S91" s="266">
        <v>43100</v>
      </c>
    </row>
    <row r="92" spans="1:19" customFormat="1" ht="31.5">
      <c r="A92" s="87">
        <f t="shared" si="9"/>
        <v>73</v>
      </c>
      <c r="B92" s="234" t="s">
        <v>336</v>
      </c>
      <c r="C92" s="97">
        <v>1957</v>
      </c>
      <c r="D92" s="97"/>
      <c r="E92" s="89" t="s">
        <v>218</v>
      </c>
      <c r="F92" s="97">
        <v>3</v>
      </c>
      <c r="G92" s="97">
        <v>3</v>
      </c>
      <c r="H92" s="97"/>
      <c r="I92" s="97"/>
      <c r="J92" s="97"/>
      <c r="K92" s="98"/>
      <c r="L92" s="92">
        <v>3334570</v>
      </c>
      <c r="M92" s="92">
        <v>0</v>
      </c>
      <c r="N92" s="92">
        <v>0</v>
      </c>
      <c r="O92" s="92">
        <f t="shared" si="7"/>
        <v>3334570</v>
      </c>
      <c r="P92" s="92">
        <v>0</v>
      </c>
      <c r="Q92" s="93" t="e">
        <f t="shared" si="8"/>
        <v>#DIV/0!</v>
      </c>
      <c r="R92" s="94"/>
      <c r="S92" s="266">
        <v>43100</v>
      </c>
    </row>
    <row r="93" spans="1:19" customFormat="1" ht="31.5">
      <c r="A93" s="87">
        <f t="shared" si="9"/>
        <v>74</v>
      </c>
      <c r="B93" s="234" t="s">
        <v>306</v>
      </c>
      <c r="C93" s="88">
        <v>1970</v>
      </c>
      <c r="D93" s="88"/>
      <c r="E93" s="89" t="s">
        <v>218</v>
      </c>
      <c r="F93" s="88">
        <v>5</v>
      </c>
      <c r="G93" s="88">
        <v>2</v>
      </c>
      <c r="H93" s="90"/>
      <c r="I93" s="90"/>
      <c r="J93" s="90"/>
      <c r="K93" s="91"/>
      <c r="L93" s="92">
        <v>1127374.33</v>
      </c>
      <c r="M93" s="92">
        <v>0</v>
      </c>
      <c r="N93" s="92">
        <v>0</v>
      </c>
      <c r="O93" s="92">
        <f t="shared" si="7"/>
        <v>1127374.33</v>
      </c>
      <c r="P93" s="92">
        <v>0</v>
      </c>
      <c r="Q93" s="93" t="e">
        <f t="shared" si="8"/>
        <v>#DIV/0!</v>
      </c>
      <c r="R93" s="94"/>
      <c r="S93" s="266">
        <v>43100</v>
      </c>
    </row>
    <row r="94" spans="1:19" customFormat="1" ht="15.75">
      <c r="A94" s="87">
        <f t="shared" si="9"/>
        <v>75</v>
      </c>
      <c r="B94" s="225" t="s">
        <v>234</v>
      </c>
      <c r="C94" s="97">
        <v>1968</v>
      </c>
      <c r="D94" s="97"/>
      <c r="E94" s="89" t="s">
        <v>219</v>
      </c>
      <c r="F94" s="97">
        <v>5</v>
      </c>
      <c r="G94" s="97">
        <v>6</v>
      </c>
      <c r="H94" s="90"/>
      <c r="I94" s="97"/>
      <c r="J94" s="97"/>
      <c r="K94" s="98"/>
      <c r="L94" s="92">
        <v>1161456</v>
      </c>
      <c r="M94" s="92">
        <v>0</v>
      </c>
      <c r="N94" s="92">
        <v>0</v>
      </c>
      <c r="O94" s="92">
        <f t="shared" si="7"/>
        <v>1161456</v>
      </c>
      <c r="P94" s="92">
        <v>0</v>
      </c>
      <c r="Q94" s="93" t="e">
        <f t="shared" si="8"/>
        <v>#DIV/0!</v>
      </c>
      <c r="R94" s="94"/>
      <c r="S94" s="266">
        <v>43100</v>
      </c>
    </row>
    <row r="95" spans="1:19" customFormat="1" ht="31.5">
      <c r="A95" s="87">
        <f t="shared" si="9"/>
        <v>76</v>
      </c>
      <c r="B95" s="225" t="s">
        <v>277</v>
      </c>
      <c r="C95" s="87">
        <v>1971</v>
      </c>
      <c r="D95" s="88"/>
      <c r="E95" s="89" t="s">
        <v>218</v>
      </c>
      <c r="F95" s="88">
        <v>5</v>
      </c>
      <c r="G95" s="88">
        <v>4</v>
      </c>
      <c r="H95" s="96"/>
      <c r="I95" s="96"/>
      <c r="J95" s="96"/>
      <c r="K95" s="81"/>
      <c r="L95" s="92">
        <v>1197250.23</v>
      </c>
      <c r="M95" s="92">
        <v>0</v>
      </c>
      <c r="N95" s="92">
        <v>0</v>
      </c>
      <c r="O95" s="92">
        <f t="shared" si="7"/>
        <v>1197250.23</v>
      </c>
      <c r="P95" s="92">
        <v>0</v>
      </c>
      <c r="Q95" s="93" t="e">
        <f t="shared" si="8"/>
        <v>#DIV/0!</v>
      </c>
      <c r="R95" s="94"/>
      <c r="S95" s="266">
        <v>43100</v>
      </c>
    </row>
    <row r="96" spans="1:19" customFormat="1" ht="31.5">
      <c r="A96" s="87">
        <f t="shared" si="9"/>
        <v>77</v>
      </c>
      <c r="B96" s="234" t="s">
        <v>303</v>
      </c>
      <c r="C96" s="88">
        <v>1954</v>
      </c>
      <c r="D96" s="88"/>
      <c r="E96" s="89" t="s">
        <v>218</v>
      </c>
      <c r="F96" s="88">
        <v>4</v>
      </c>
      <c r="G96" s="88">
        <v>3</v>
      </c>
      <c r="H96" s="90"/>
      <c r="I96" s="90"/>
      <c r="J96" s="90"/>
      <c r="K96" s="91"/>
      <c r="L96" s="92">
        <v>2784233</v>
      </c>
      <c r="M96" s="92">
        <v>0</v>
      </c>
      <c r="N96" s="92">
        <v>0</v>
      </c>
      <c r="O96" s="92">
        <f t="shared" si="7"/>
        <v>2784233</v>
      </c>
      <c r="P96" s="92">
        <v>0</v>
      </c>
      <c r="Q96" s="93" t="e">
        <f t="shared" si="8"/>
        <v>#DIV/0!</v>
      </c>
      <c r="R96" s="94"/>
      <c r="S96" s="266">
        <v>43100</v>
      </c>
    </row>
    <row r="97" spans="1:30" customFormat="1" ht="31.5">
      <c r="A97" s="87">
        <f t="shared" si="9"/>
        <v>78</v>
      </c>
      <c r="B97" s="234" t="s">
        <v>293</v>
      </c>
      <c r="C97" s="88">
        <v>1968</v>
      </c>
      <c r="D97" s="88"/>
      <c r="E97" s="89" t="s">
        <v>218</v>
      </c>
      <c r="F97" s="88">
        <v>5</v>
      </c>
      <c r="G97" s="88">
        <v>4</v>
      </c>
      <c r="H97" s="90"/>
      <c r="I97" s="90"/>
      <c r="J97" s="90"/>
      <c r="K97" s="91"/>
      <c r="L97" s="92">
        <v>2369961</v>
      </c>
      <c r="M97" s="92">
        <v>0</v>
      </c>
      <c r="N97" s="92">
        <v>0</v>
      </c>
      <c r="O97" s="92">
        <f t="shared" si="7"/>
        <v>2369961</v>
      </c>
      <c r="P97" s="92">
        <v>0</v>
      </c>
      <c r="Q97" s="93" t="e">
        <f t="shared" si="8"/>
        <v>#DIV/0!</v>
      </c>
      <c r="R97" s="94"/>
      <c r="S97" s="266">
        <v>43100</v>
      </c>
    </row>
    <row r="98" spans="1:30" customFormat="1" ht="31.5">
      <c r="A98" s="87">
        <f t="shared" si="9"/>
        <v>79</v>
      </c>
      <c r="B98" s="225" t="s">
        <v>463</v>
      </c>
      <c r="C98" s="87">
        <v>1959</v>
      </c>
      <c r="D98" s="88"/>
      <c r="E98" s="89" t="s">
        <v>218</v>
      </c>
      <c r="F98" s="88">
        <v>2</v>
      </c>
      <c r="G98" s="88">
        <v>1</v>
      </c>
      <c r="H98" s="96"/>
      <c r="I98" s="96"/>
      <c r="J98" s="96"/>
      <c r="K98" s="81"/>
      <c r="L98" s="92">
        <v>672819</v>
      </c>
      <c r="M98" s="92">
        <v>0</v>
      </c>
      <c r="N98" s="92">
        <v>0</v>
      </c>
      <c r="O98" s="92">
        <f t="shared" si="7"/>
        <v>672819</v>
      </c>
      <c r="P98" s="92">
        <v>0</v>
      </c>
      <c r="Q98" s="93" t="e">
        <f t="shared" si="8"/>
        <v>#DIV/0!</v>
      </c>
      <c r="R98" s="94"/>
      <c r="S98" s="266">
        <v>43100</v>
      </c>
    </row>
    <row r="99" spans="1:30" customFormat="1" ht="15.75">
      <c r="A99" s="87">
        <f t="shared" si="9"/>
        <v>80</v>
      </c>
      <c r="B99" s="234" t="s">
        <v>340</v>
      </c>
      <c r="C99" s="87">
        <v>1968</v>
      </c>
      <c r="D99" s="88"/>
      <c r="E99" s="89" t="s">
        <v>219</v>
      </c>
      <c r="F99" s="88">
        <v>5</v>
      </c>
      <c r="G99" s="88">
        <v>5</v>
      </c>
      <c r="H99" s="96"/>
      <c r="I99" s="96"/>
      <c r="J99" s="96"/>
      <c r="K99" s="81"/>
      <c r="L99" s="92">
        <v>1651491</v>
      </c>
      <c r="M99" s="92">
        <v>0</v>
      </c>
      <c r="N99" s="92">
        <v>0</v>
      </c>
      <c r="O99" s="92">
        <f t="shared" si="7"/>
        <v>1651491</v>
      </c>
      <c r="P99" s="92">
        <v>0</v>
      </c>
      <c r="Q99" s="93" t="e">
        <f t="shared" si="8"/>
        <v>#DIV/0!</v>
      </c>
      <c r="R99" s="94"/>
      <c r="S99" s="266">
        <v>43100</v>
      </c>
    </row>
    <row r="100" spans="1:30" customFormat="1" ht="31.5">
      <c r="A100" s="87">
        <f t="shared" si="9"/>
        <v>81</v>
      </c>
      <c r="B100" s="225" t="s">
        <v>254</v>
      </c>
      <c r="C100" s="97">
        <v>1962</v>
      </c>
      <c r="D100" s="97"/>
      <c r="E100" s="89" t="s">
        <v>218</v>
      </c>
      <c r="F100" s="97">
        <v>3</v>
      </c>
      <c r="G100" s="97">
        <v>3</v>
      </c>
      <c r="H100" s="97"/>
      <c r="I100" s="97"/>
      <c r="J100" s="97"/>
      <c r="K100" s="98"/>
      <c r="L100" s="92">
        <v>1432926</v>
      </c>
      <c r="M100" s="92">
        <v>0</v>
      </c>
      <c r="N100" s="92">
        <v>0</v>
      </c>
      <c r="O100" s="92">
        <f t="shared" si="7"/>
        <v>1432926</v>
      </c>
      <c r="P100" s="92">
        <v>0</v>
      </c>
      <c r="Q100" s="93" t="e">
        <f t="shared" si="8"/>
        <v>#DIV/0!</v>
      </c>
      <c r="R100" s="94"/>
      <c r="S100" s="266">
        <v>43100</v>
      </c>
    </row>
    <row r="101" spans="1:30" customFormat="1" ht="31.5">
      <c r="A101" s="87">
        <f t="shared" si="9"/>
        <v>82</v>
      </c>
      <c r="B101" s="225" t="s">
        <v>343</v>
      </c>
      <c r="C101" s="87">
        <v>1955</v>
      </c>
      <c r="D101" s="88"/>
      <c r="E101" s="89" t="s">
        <v>218</v>
      </c>
      <c r="F101" s="88">
        <v>2</v>
      </c>
      <c r="G101" s="88">
        <v>2</v>
      </c>
      <c r="H101" s="96"/>
      <c r="I101" s="96"/>
      <c r="J101" s="96"/>
      <c r="K101" s="81"/>
      <c r="L101" s="92">
        <v>1137886</v>
      </c>
      <c r="M101" s="92">
        <v>0</v>
      </c>
      <c r="N101" s="92">
        <v>0</v>
      </c>
      <c r="O101" s="92">
        <f t="shared" si="7"/>
        <v>1137886</v>
      </c>
      <c r="P101" s="92">
        <v>0</v>
      </c>
      <c r="Q101" s="93" t="e">
        <f t="shared" si="8"/>
        <v>#DIV/0!</v>
      </c>
      <c r="R101" s="94"/>
      <c r="S101" s="266">
        <v>43100</v>
      </c>
    </row>
    <row r="102" spans="1:30" customFormat="1" ht="31.5">
      <c r="A102" s="87">
        <f t="shared" si="9"/>
        <v>83</v>
      </c>
      <c r="B102" s="234" t="s">
        <v>305</v>
      </c>
      <c r="C102" s="88">
        <v>1971</v>
      </c>
      <c r="D102" s="88"/>
      <c r="E102" s="89" t="s">
        <v>218</v>
      </c>
      <c r="F102" s="88">
        <v>5</v>
      </c>
      <c r="G102" s="88">
        <v>4</v>
      </c>
      <c r="H102" s="90"/>
      <c r="I102" s="90"/>
      <c r="J102" s="90"/>
      <c r="K102" s="91"/>
      <c r="L102" s="92">
        <v>1814838</v>
      </c>
      <c r="M102" s="92">
        <v>0</v>
      </c>
      <c r="N102" s="92">
        <v>0</v>
      </c>
      <c r="O102" s="92">
        <f t="shared" si="7"/>
        <v>1814838</v>
      </c>
      <c r="P102" s="92">
        <v>0</v>
      </c>
      <c r="Q102" s="93" t="e">
        <f t="shared" si="8"/>
        <v>#DIV/0!</v>
      </c>
      <c r="R102" s="94"/>
      <c r="S102" s="266">
        <v>43100</v>
      </c>
    </row>
    <row r="103" spans="1:30" customFormat="1" ht="31.5">
      <c r="A103" s="87">
        <f t="shared" si="9"/>
        <v>84</v>
      </c>
      <c r="B103" s="234" t="s">
        <v>345</v>
      </c>
      <c r="C103" s="88">
        <v>1970</v>
      </c>
      <c r="D103" s="88"/>
      <c r="E103" s="89" t="s">
        <v>218</v>
      </c>
      <c r="F103" s="88">
        <v>5</v>
      </c>
      <c r="G103" s="88">
        <v>4</v>
      </c>
      <c r="H103" s="90"/>
      <c r="I103" s="90"/>
      <c r="J103" s="90"/>
      <c r="K103" s="91"/>
      <c r="L103" s="92">
        <v>1544359.54</v>
      </c>
      <c r="M103" s="92">
        <v>0</v>
      </c>
      <c r="N103" s="92">
        <v>0</v>
      </c>
      <c r="O103" s="92">
        <f t="shared" si="7"/>
        <v>1544359.54</v>
      </c>
      <c r="P103" s="92">
        <v>0</v>
      </c>
      <c r="Q103" s="93" t="e">
        <f t="shared" si="8"/>
        <v>#DIV/0!</v>
      </c>
      <c r="R103" s="94"/>
      <c r="S103" s="266">
        <v>43100</v>
      </c>
    </row>
    <row r="104" spans="1:30" customFormat="1" ht="31.5">
      <c r="A104" s="87">
        <f t="shared" si="9"/>
        <v>85</v>
      </c>
      <c r="B104" s="225" t="s">
        <v>447</v>
      </c>
      <c r="C104" s="88">
        <v>1987</v>
      </c>
      <c r="D104" s="88"/>
      <c r="E104" s="89" t="s">
        <v>219</v>
      </c>
      <c r="F104" s="88">
        <v>9</v>
      </c>
      <c r="G104" s="88">
        <v>1</v>
      </c>
      <c r="H104" s="90"/>
      <c r="I104" s="90"/>
      <c r="J104" s="90"/>
      <c r="K104" s="91"/>
      <c r="L104" s="92">
        <v>1787034</v>
      </c>
      <c r="M104" s="92">
        <v>0</v>
      </c>
      <c r="N104" s="92">
        <v>0</v>
      </c>
      <c r="O104" s="92">
        <f t="shared" si="7"/>
        <v>1787034</v>
      </c>
      <c r="P104" s="92">
        <v>0</v>
      </c>
      <c r="Q104" s="93" t="e">
        <f t="shared" si="8"/>
        <v>#DIV/0!</v>
      </c>
      <c r="R104" s="94"/>
      <c r="S104" s="266">
        <v>43100</v>
      </c>
    </row>
    <row r="105" spans="1:30" customFormat="1" ht="31.5">
      <c r="A105" s="87">
        <f t="shared" si="9"/>
        <v>86</v>
      </c>
      <c r="B105" s="225" t="s">
        <v>223</v>
      </c>
      <c r="C105" s="97">
        <v>1983</v>
      </c>
      <c r="D105" s="97"/>
      <c r="E105" s="89" t="s">
        <v>219</v>
      </c>
      <c r="F105" s="97">
        <v>9</v>
      </c>
      <c r="G105" s="97">
        <v>4</v>
      </c>
      <c r="H105" s="97"/>
      <c r="I105" s="97"/>
      <c r="J105" s="97"/>
      <c r="K105" s="98"/>
      <c r="L105" s="92">
        <v>437998.57</v>
      </c>
      <c r="M105" s="92">
        <v>0</v>
      </c>
      <c r="N105" s="92">
        <v>0</v>
      </c>
      <c r="O105" s="92">
        <f t="shared" si="7"/>
        <v>437998.57</v>
      </c>
      <c r="P105" s="92">
        <v>0</v>
      </c>
      <c r="Q105" s="93" t="e">
        <f t="shared" si="8"/>
        <v>#DIV/0!</v>
      </c>
      <c r="R105" s="94"/>
      <c r="S105" s="266">
        <v>43100</v>
      </c>
      <c r="T105" s="1"/>
      <c r="U105" s="1"/>
      <c r="V105" s="1"/>
      <c r="W105" s="1"/>
      <c r="X105" s="1"/>
      <c r="Y105" s="1"/>
    </row>
    <row r="106" spans="1:30" customFormat="1" ht="31.5">
      <c r="A106" s="87">
        <f t="shared" si="9"/>
        <v>87</v>
      </c>
      <c r="B106" s="225" t="s">
        <v>446</v>
      </c>
      <c r="C106" s="88">
        <v>1976</v>
      </c>
      <c r="D106" s="88"/>
      <c r="E106" s="89" t="s">
        <v>219</v>
      </c>
      <c r="F106" s="88">
        <v>5</v>
      </c>
      <c r="G106" s="88">
        <v>4</v>
      </c>
      <c r="H106" s="90"/>
      <c r="I106" s="90"/>
      <c r="J106" s="90"/>
      <c r="K106" s="91"/>
      <c r="L106" s="92">
        <v>1116228</v>
      </c>
      <c r="M106" s="92">
        <v>0</v>
      </c>
      <c r="N106" s="92">
        <v>0</v>
      </c>
      <c r="O106" s="92">
        <f t="shared" si="7"/>
        <v>1116228</v>
      </c>
      <c r="P106" s="92">
        <v>0</v>
      </c>
      <c r="Q106" s="93" t="e">
        <f t="shared" si="8"/>
        <v>#DIV/0!</v>
      </c>
      <c r="R106" s="94"/>
      <c r="S106" s="266">
        <v>43100</v>
      </c>
      <c r="Z106" s="1"/>
      <c r="AA106" s="1"/>
      <c r="AB106" s="1"/>
      <c r="AC106" s="1"/>
      <c r="AD106" s="1"/>
    </row>
    <row r="107" spans="1:30" customFormat="1" ht="31.5">
      <c r="A107" s="87">
        <f t="shared" si="9"/>
        <v>88</v>
      </c>
      <c r="B107" s="225" t="s">
        <v>448</v>
      </c>
      <c r="C107" s="88">
        <v>1983</v>
      </c>
      <c r="D107" s="88"/>
      <c r="E107" s="89" t="s">
        <v>219</v>
      </c>
      <c r="F107" s="88">
        <v>5</v>
      </c>
      <c r="G107" s="88">
        <v>3</v>
      </c>
      <c r="H107" s="90"/>
      <c r="I107" s="90"/>
      <c r="J107" s="90"/>
      <c r="K107" s="91"/>
      <c r="L107" s="92">
        <v>1313728</v>
      </c>
      <c r="M107" s="92">
        <v>0</v>
      </c>
      <c r="N107" s="92">
        <v>0</v>
      </c>
      <c r="O107" s="92">
        <f t="shared" si="7"/>
        <v>1313728</v>
      </c>
      <c r="P107" s="92">
        <v>0</v>
      </c>
      <c r="Q107" s="93" t="e">
        <f t="shared" si="8"/>
        <v>#DIV/0!</v>
      </c>
      <c r="R107" s="94"/>
      <c r="S107" s="266">
        <v>43100</v>
      </c>
      <c r="T107" s="33"/>
      <c r="U107" s="33"/>
      <c r="V107" s="33"/>
      <c r="W107" s="33"/>
      <c r="X107" s="33"/>
      <c r="Y107" s="33"/>
    </row>
    <row r="108" spans="1:30" customFormat="1" ht="31.5">
      <c r="A108" s="87">
        <f t="shared" si="9"/>
        <v>89</v>
      </c>
      <c r="B108" s="234" t="s">
        <v>241</v>
      </c>
      <c r="C108" s="97">
        <v>1958</v>
      </c>
      <c r="D108" s="97"/>
      <c r="E108" s="89" t="s">
        <v>218</v>
      </c>
      <c r="F108" s="97">
        <v>2</v>
      </c>
      <c r="G108" s="97">
        <v>1</v>
      </c>
      <c r="H108" s="97"/>
      <c r="I108" s="97"/>
      <c r="J108" s="97"/>
      <c r="K108" s="98"/>
      <c r="L108" s="92">
        <v>359651</v>
      </c>
      <c r="M108" s="92">
        <v>0</v>
      </c>
      <c r="N108" s="92">
        <v>0</v>
      </c>
      <c r="O108" s="92">
        <f t="shared" si="7"/>
        <v>359651</v>
      </c>
      <c r="P108" s="92">
        <v>0</v>
      </c>
      <c r="Q108" s="93" t="e">
        <f t="shared" si="8"/>
        <v>#DIV/0!</v>
      </c>
      <c r="R108" s="94"/>
      <c r="S108" s="266">
        <v>43100</v>
      </c>
      <c r="Z108" s="33"/>
      <c r="AA108" s="33"/>
      <c r="AB108" s="33"/>
      <c r="AC108" s="33"/>
      <c r="AD108" s="33"/>
    </row>
    <row r="109" spans="1:30" customFormat="1" ht="15.75">
      <c r="A109" s="87">
        <f t="shared" si="9"/>
        <v>90</v>
      </c>
      <c r="B109" s="234" t="s">
        <v>233</v>
      </c>
      <c r="C109" s="97">
        <v>1965</v>
      </c>
      <c r="D109" s="97"/>
      <c r="E109" s="89" t="s">
        <v>219</v>
      </c>
      <c r="F109" s="97">
        <v>5</v>
      </c>
      <c r="G109" s="97">
        <v>5</v>
      </c>
      <c r="H109" s="97"/>
      <c r="I109" s="97"/>
      <c r="J109" s="97"/>
      <c r="K109" s="98"/>
      <c r="L109" s="92">
        <v>906779</v>
      </c>
      <c r="M109" s="92">
        <v>0</v>
      </c>
      <c r="N109" s="92">
        <v>0</v>
      </c>
      <c r="O109" s="92">
        <f t="shared" si="7"/>
        <v>906779</v>
      </c>
      <c r="P109" s="92">
        <v>0</v>
      </c>
      <c r="Q109" s="93" t="e">
        <f t="shared" si="8"/>
        <v>#DIV/0!</v>
      </c>
      <c r="R109" s="94"/>
      <c r="S109" s="266">
        <v>43100</v>
      </c>
    </row>
    <row r="110" spans="1:30" customFormat="1" ht="31.5">
      <c r="A110" s="87">
        <f t="shared" si="9"/>
        <v>91</v>
      </c>
      <c r="B110" s="234" t="s">
        <v>278</v>
      </c>
      <c r="C110" s="87">
        <v>1958</v>
      </c>
      <c r="D110" s="88"/>
      <c r="E110" s="89" t="s">
        <v>218</v>
      </c>
      <c r="F110" s="88">
        <v>2</v>
      </c>
      <c r="G110" s="88">
        <v>1</v>
      </c>
      <c r="H110" s="96"/>
      <c r="I110" s="96"/>
      <c r="J110" s="96"/>
      <c r="K110" s="81"/>
      <c r="L110" s="92">
        <v>886559</v>
      </c>
      <c r="M110" s="92">
        <v>0</v>
      </c>
      <c r="N110" s="92">
        <v>0</v>
      </c>
      <c r="O110" s="92">
        <f t="shared" si="7"/>
        <v>886559</v>
      </c>
      <c r="P110" s="92">
        <v>0</v>
      </c>
      <c r="Q110" s="93" t="e">
        <f t="shared" si="8"/>
        <v>#DIV/0!</v>
      </c>
      <c r="R110" s="94"/>
      <c r="S110" s="266">
        <v>43100</v>
      </c>
    </row>
    <row r="111" spans="1:30" customFormat="1" ht="31.5">
      <c r="A111" s="87">
        <f t="shared" si="9"/>
        <v>92</v>
      </c>
      <c r="B111" s="234" t="s">
        <v>347</v>
      </c>
      <c r="C111" s="88">
        <v>1959</v>
      </c>
      <c r="D111" s="88"/>
      <c r="E111" s="89" t="s">
        <v>218</v>
      </c>
      <c r="F111" s="88">
        <v>2</v>
      </c>
      <c r="G111" s="88">
        <v>1</v>
      </c>
      <c r="H111" s="90"/>
      <c r="I111" s="90"/>
      <c r="J111" s="90"/>
      <c r="K111" s="91"/>
      <c r="L111" s="92">
        <v>642210</v>
      </c>
      <c r="M111" s="92">
        <v>0</v>
      </c>
      <c r="N111" s="92">
        <v>0</v>
      </c>
      <c r="O111" s="92">
        <f t="shared" si="7"/>
        <v>642210</v>
      </c>
      <c r="P111" s="92">
        <v>0</v>
      </c>
      <c r="Q111" s="93" t="e">
        <f t="shared" si="8"/>
        <v>#DIV/0!</v>
      </c>
      <c r="R111" s="94"/>
      <c r="S111" s="266">
        <v>43100</v>
      </c>
    </row>
    <row r="112" spans="1:30" customFormat="1" ht="31.5">
      <c r="A112" s="87">
        <f t="shared" si="9"/>
        <v>93</v>
      </c>
      <c r="B112" s="225" t="s">
        <v>266</v>
      </c>
      <c r="C112" s="97">
        <v>1957</v>
      </c>
      <c r="D112" s="97"/>
      <c r="E112" s="89" t="s">
        <v>218</v>
      </c>
      <c r="F112" s="97">
        <v>4</v>
      </c>
      <c r="G112" s="97">
        <v>3</v>
      </c>
      <c r="H112" s="97"/>
      <c r="I112" s="97"/>
      <c r="J112" s="97"/>
      <c r="K112" s="98"/>
      <c r="L112" s="92">
        <v>1952489</v>
      </c>
      <c r="M112" s="92">
        <v>0</v>
      </c>
      <c r="N112" s="92">
        <v>0</v>
      </c>
      <c r="O112" s="92">
        <f t="shared" si="7"/>
        <v>1952489</v>
      </c>
      <c r="P112" s="92">
        <v>0</v>
      </c>
      <c r="Q112" s="93" t="e">
        <f t="shared" si="8"/>
        <v>#DIV/0!</v>
      </c>
      <c r="R112" s="94"/>
      <c r="S112" s="266">
        <v>43100</v>
      </c>
    </row>
    <row r="113" spans="1:30" customFormat="1" ht="15.75">
      <c r="A113" s="87">
        <f t="shared" si="9"/>
        <v>94</v>
      </c>
      <c r="B113" s="225" t="s">
        <v>310</v>
      </c>
      <c r="C113" s="88">
        <v>1983</v>
      </c>
      <c r="D113" s="88"/>
      <c r="E113" s="89" t="s">
        <v>219</v>
      </c>
      <c r="F113" s="88">
        <v>9</v>
      </c>
      <c r="G113" s="88">
        <v>8</v>
      </c>
      <c r="H113" s="90"/>
      <c r="I113" s="90"/>
      <c r="J113" s="90"/>
      <c r="K113" s="91"/>
      <c r="L113" s="92">
        <v>15157748</v>
      </c>
      <c r="M113" s="92">
        <v>0</v>
      </c>
      <c r="N113" s="92">
        <v>0</v>
      </c>
      <c r="O113" s="92">
        <f t="shared" si="7"/>
        <v>15157748</v>
      </c>
      <c r="P113" s="92">
        <v>0</v>
      </c>
      <c r="Q113" s="93" t="e">
        <f t="shared" si="8"/>
        <v>#DIV/0!</v>
      </c>
      <c r="R113" s="94"/>
      <c r="S113" s="266">
        <v>43100</v>
      </c>
    </row>
    <row r="114" spans="1:30" customFormat="1" ht="31.5">
      <c r="A114" s="87">
        <f t="shared" si="9"/>
        <v>95</v>
      </c>
      <c r="B114" s="234" t="s">
        <v>281</v>
      </c>
      <c r="C114" s="87">
        <v>1959</v>
      </c>
      <c r="D114" s="88"/>
      <c r="E114" s="89" t="s">
        <v>218</v>
      </c>
      <c r="F114" s="88">
        <v>4</v>
      </c>
      <c r="G114" s="88">
        <v>5</v>
      </c>
      <c r="H114" s="96"/>
      <c r="I114" s="96"/>
      <c r="J114" s="96"/>
      <c r="K114" s="81"/>
      <c r="L114" s="92">
        <v>2542298.37</v>
      </c>
      <c r="M114" s="92">
        <v>0</v>
      </c>
      <c r="N114" s="92">
        <v>0</v>
      </c>
      <c r="O114" s="92">
        <f t="shared" si="7"/>
        <v>2542298.37</v>
      </c>
      <c r="P114" s="92">
        <v>0</v>
      </c>
      <c r="Q114" s="93" t="e">
        <f t="shared" si="8"/>
        <v>#DIV/0!</v>
      </c>
      <c r="R114" s="94"/>
      <c r="S114" s="266">
        <v>43100</v>
      </c>
    </row>
    <row r="115" spans="1:30" customFormat="1" ht="15.75">
      <c r="A115" s="87">
        <f t="shared" si="9"/>
        <v>96</v>
      </c>
      <c r="B115" s="225" t="s">
        <v>248</v>
      </c>
      <c r="C115" s="97">
        <v>1983</v>
      </c>
      <c r="D115" s="97"/>
      <c r="E115" s="89" t="s">
        <v>219</v>
      </c>
      <c r="F115" s="97">
        <v>9</v>
      </c>
      <c r="G115" s="97">
        <v>1</v>
      </c>
      <c r="H115" s="97"/>
      <c r="I115" s="97"/>
      <c r="J115" s="97"/>
      <c r="K115" s="98"/>
      <c r="L115" s="92">
        <v>1114586</v>
      </c>
      <c r="M115" s="92">
        <v>0</v>
      </c>
      <c r="N115" s="92">
        <v>0</v>
      </c>
      <c r="O115" s="92">
        <f t="shared" si="7"/>
        <v>1114586</v>
      </c>
      <c r="P115" s="92">
        <v>0</v>
      </c>
      <c r="Q115" s="93" t="e">
        <f t="shared" si="8"/>
        <v>#DIV/0!</v>
      </c>
      <c r="R115" s="94"/>
      <c r="S115" s="266">
        <v>43100</v>
      </c>
      <c r="T115" s="1"/>
      <c r="U115" s="1"/>
      <c r="V115" s="1"/>
      <c r="W115" s="1"/>
      <c r="X115" s="1"/>
      <c r="Y115" s="1"/>
    </row>
    <row r="116" spans="1:30" customFormat="1" ht="15.75">
      <c r="A116" s="87">
        <f t="shared" si="9"/>
        <v>97</v>
      </c>
      <c r="B116" s="225" t="s">
        <v>301</v>
      </c>
      <c r="C116" s="88">
        <v>1975</v>
      </c>
      <c r="D116" s="88"/>
      <c r="E116" s="89" t="s">
        <v>219</v>
      </c>
      <c r="F116" s="88">
        <v>9</v>
      </c>
      <c r="G116" s="88">
        <v>3</v>
      </c>
      <c r="H116" s="90"/>
      <c r="I116" s="90"/>
      <c r="J116" s="90"/>
      <c r="K116" s="91"/>
      <c r="L116" s="92">
        <v>5623853</v>
      </c>
      <c r="M116" s="92">
        <v>0</v>
      </c>
      <c r="N116" s="92">
        <v>0</v>
      </c>
      <c r="O116" s="92">
        <f t="shared" ref="O116:O147" si="10">L116</f>
        <v>5623853</v>
      </c>
      <c r="P116" s="92">
        <v>0</v>
      </c>
      <c r="Q116" s="93" t="e">
        <f t="shared" ref="Q116:Q147" si="11">L116/I116</f>
        <v>#DIV/0!</v>
      </c>
      <c r="R116" s="94"/>
      <c r="S116" s="266">
        <v>43100</v>
      </c>
      <c r="Z116" s="1"/>
      <c r="AA116" s="1"/>
      <c r="AB116" s="1"/>
      <c r="AC116" s="1"/>
      <c r="AD116" s="1"/>
    </row>
    <row r="117" spans="1:30" customFormat="1" ht="15.75">
      <c r="A117" s="87">
        <f t="shared" si="9"/>
        <v>98</v>
      </c>
      <c r="B117" s="225" t="s">
        <v>244</v>
      </c>
      <c r="C117" s="97">
        <v>1976</v>
      </c>
      <c r="D117" s="97"/>
      <c r="E117" s="89" t="s">
        <v>219</v>
      </c>
      <c r="F117" s="97">
        <v>9</v>
      </c>
      <c r="G117" s="97">
        <v>4</v>
      </c>
      <c r="H117" s="97"/>
      <c r="I117" s="97"/>
      <c r="J117" s="97"/>
      <c r="K117" s="98"/>
      <c r="L117" s="92">
        <v>2721106</v>
      </c>
      <c r="M117" s="92">
        <v>0</v>
      </c>
      <c r="N117" s="92">
        <v>0</v>
      </c>
      <c r="O117" s="92">
        <f t="shared" si="10"/>
        <v>2721106</v>
      </c>
      <c r="P117" s="92">
        <v>0</v>
      </c>
      <c r="Q117" s="93" t="e">
        <f t="shared" si="11"/>
        <v>#DIV/0!</v>
      </c>
      <c r="R117" s="94"/>
      <c r="S117" s="266">
        <v>43100</v>
      </c>
    </row>
    <row r="118" spans="1:30" customFormat="1" ht="15.75">
      <c r="A118" s="87">
        <f t="shared" si="9"/>
        <v>99</v>
      </c>
      <c r="B118" s="234" t="s">
        <v>288</v>
      </c>
      <c r="C118" s="87">
        <v>1973</v>
      </c>
      <c r="D118" s="88"/>
      <c r="E118" s="89" t="s">
        <v>219</v>
      </c>
      <c r="F118" s="88">
        <v>9</v>
      </c>
      <c r="G118" s="88">
        <v>6</v>
      </c>
      <c r="H118" s="96"/>
      <c r="I118" s="96"/>
      <c r="J118" s="96"/>
      <c r="K118" s="81"/>
      <c r="L118" s="92">
        <v>9789326.5500000007</v>
      </c>
      <c r="M118" s="92">
        <v>0</v>
      </c>
      <c r="N118" s="92">
        <v>0</v>
      </c>
      <c r="O118" s="92">
        <f t="shared" si="10"/>
        <v>9789326.5500000007</v>
      </c>
      <c r="P118" s="92">
        <v>0</v>
      </c>
      <c r="Q118" s="93" t="e">
        <f t="shared" si="11"/>
        <v>#DIV/0!</v>
      </c>
      <c r="R118" s="94"/>
      <c r="S118" s="266">
        <v>43100</v>
      </c>
    </row>
    <row r="119" spans="1:30" customFormat="1" ht="31.5">
      <c r="A119" s="87">
        <f t="shared" si="9"/>
        <v>100</v>
      </c>
      <c r="B119" s="234" t="s">
        <v>249</v>
      </c>
      <c r="C119" s="97" t="s">
        <v>190</v>
      </c>
      <c r="D119" s="97"/>
      <c r="E119" s="89" t="s">
        <v>218</v>
      </c>
      <c r="F119" s="97">
        <v>3</v>
      </c>
      <c r="G119" s="97">
        <v>3</v>
      </c>
      <c r="H119" s="97"/>
      <c r="I119" s="97"/>
      <c r="J119" s="97"/>
      <c r="K119" s="98"/>
      <c r="L119" s="92">
        <v>1615074</v>
      </c>
      <c r="M119" s="92">
        <v>0</v>
      </c>
      <c r="N119" s="92">
        <v>0</v>
      </c>
      <c r="O119" s="92">
        <f t="shared" si="10"/>
        <v>1615074</v>
      </c>
      <c r="P119" s="92">
        <v>0</v>
      </c>
      <c r="Q119" s="93" t="e">
        <f t="shared" si="11"/>
        <v>#DIV/0!</v>
      </c>
      <c r="R119" s="94"/>
      <c r="S119" s="266">
        <v>43100</v>
      </c>
    </row>
    <row r="120" spans="1:30" customFormat="1" ht="31.5">
      <c r="A120" s="87">
        <f t="shared" si="9"/>
        <v>101</v>
      </c>
      <c r="B120" s="225" t="s">
        <v>265</v>
      </c>
      <c r="C120" s="97">
        <v>1953</v>
      </c>
      <c r="D120" s="97"/>
      <c r="E120" s="89" t="s">
        <v>218</v>
      </c>
      <c r="F120" s="97">
        <v>2</v>
      </c>
      <c r="G120" s="97">
        <v>2</v>
      </c>
      <c r="H120" s="97"/>
      <c r="I120" s="97"/>
      <c r="J120" s="97"/>
      <c r="K120" s="98"/>
      <c r="L120" s="92">
        <v>824390</v>
      </c>
      <c r="M120" s="92">
        <v>0</v>
      </c>
      <c r="N120" s="92">
        <v>0</v>
      </c>
      <c r="O120" s="92">
        <f t="shared" si="10"/>
        <v>824390</v>
      </c>
      <c r="P120" s="92">
        <v>0</v>
      </c>
      <c r="Q120" s="93" t="e">
        <f t="shared" si="11"/>
        <v>#DIV/0!</v>
      </c>
      <c r="R120" s="94"/>
      <c r="S120" s="266">
        <v>43100</v>
      </c>
    </row>
    <row r="121" spans="1:30" customFormat="1" ht="15.75">
      <c r="A121" s="87">
        <f t="shared" si="9"/>
        <v>102</v>
      </c>
      <c r="B121" s="234" t="s">
        <v>292</v>
      </c>
      <c r="C121" s="88">
        <v>1951</v>
      </c>
      <c r="D121" s="88"/>
      <c r="E121" s="89" t="s">
        <v>220</v>
      </c>
      <c r="F121" s="88">
        <v>2</v>
      </c>
      <c r="G121" s="88">
        <v>3</v>
      </c>
      <c r="H121" s="90"/>
      <c r="I121" s="90"/>
      <c r="J121" s="90"/>
      <c r="K121" s="91"/>
      <c r="L121" s="92">
        <v>2661189</v>
      </c>
      <c r="M121" s="92">
        <v>0</v>
      </c>
      <c r="N121" s="92">
        <v>0</v>
      </c>
      <c r="O121" s="92">
        <f t="shared" si="10"/>
        <v>2661189</v>
      </c>
      <c r="P121" s="92">
        <v>0</v>
      </c>
      <c r="Q121" s="93" t="e">
        <f t="shared" si="11"/>
        <v>#DIV/0!</v>
      </c>
      <c r="R121" s="94"/>
      <c r="S121" s="266">
        <v>43100</v>
      </c>
    </row>
    <row r="122" spans="1:30" s="33" customFormat="1" ht="31.5">
      <c r="A122" s="87">
        <f t="shared" si="9"/>
        <v>103</v>
      </c>
      <c r="B122" s="234" t="s">
        <v>276</v>
      </c>
      <c r="C122" s="87">
        <v>1959</v>
      </c>
      <c r="D122" s="88"/>
      <c r="E122" s="89" t="s">
        <v>218</v>
      </c>
      <c r="F122" s="88">
        <v>2</v>
      </c>
      <c r="G122" s="88">
        <v>1</v>
      </c>
      <c r="H122" s="96"/>
      <c r="I122" s="96"/>
      <c r="J122" s="96"/>
      <c r="K122" s="81"/>
      <c r="L122" s="92">
        <v>278220</v>
      </c>
      <c r="M122" s="92">
        <v>0</v>
      </c>
      <c r="N122" s="92">
        <v>0</v>
      </c>
      <c r="O122" s="92">
        <f t="shared" si="10"/>
        <v>278220</v>
      </c>
      <c r="P122" s="92">
        <v>0</v>
      </c>
      <c r="Q122" s="93" t="e">
        <f t="shared" si="11"/>
        <v>#DIV/0!</v>
      </c>
      <c r="R122" s="94"/>
      <c r="S122" s="266">
        <v>43100</v>
      </c>
      <c r="T122"/>
      <c r="U122"/>
      <c r="V122"/>
      <c r="W122"/>
      <c r="X122"/>
      <c r="Y122"/>
      <c r="Z122"/>
      <c r="AA122"/>
      <c r="AB122"/>
      <c r="AC122"/>
      <c r="AD122"/>
    </row>
    <row r="123" spans="1:30" customFormat="1" ht="31.5">
      <c r="A123" s="87">
        <f t="shared" si="9"/>
        <v>104</v>
      </c>
      <c r="B123" s="225" t="s">
        <v>229</v>
      </c>
      <c r="C123" s="97">
        <v>1928</v>
      </c>
      <c r="D123" s="97"/>
      <c r="E123" s="89" t="s">
        <v>218</v>
      </c>
      <c r="F123" s="97">
        <v>3</v>
      </c>
      <c r="G123" s="97">
        <v>6</v>
      </c>
      <c r="H123" s="97"/>
      <c r="I123" s="97"/>
      <c r="J123" s="97"/>
      <c r="K123" s="98"/>
      <c r="L123" s="92">
        <v>2511472</v>
      </c>
      <c r="M123" s="92">
        <v>0</v>
      </c>
      <c r="N123" s="92">
        <v>0</v>
      </c>
      <c r="O123" s="92">
        <f t="shared" si="10"/>
        <v>2511472</v>
      </c>
      <c r="P123" s="92">
        <v>0</v>
      </c>
      <c r="Q123" s="93" t="e">
        <f t="shared" si="11"/>
        <v>#DIV/0!</v>
      </c>
      <c r="R123" s="94"/>
      <c r="S123" s="266">
        <v>43100</v>
      </c>
    </row>
    <row r="124" spans="1:30" customFormat="1" ht="31.5">
      <c r="A124" s="87">
        <f t="shared" si="9"/>
        <v>105</v>
      </c>
      <c r="B124" s="225" t="s">
        <v>309</v>
      </c>
      <c r="C124" s="88">
        <v>1964</v>
      </c>
      <c r="D124" s="88"/>
      <c r="E124" s="89" t="s">
        <v>218</v>
      </c>
      <c r="F124" s="88">
        <v>4</v>
      </c>
      <c r="G124" s="88">
        <v>2</v>
      </c>
      <c r="H124" s="90"/>
      <c r="I124" s="90"/>
      <c r="J124" s="90"/>
      <c r="K124" s="91"/>
      <c r="L124" s="92">
        <v>871988</v>
      </c>
      <c r="M124" s="92">
        <v>0</v>
      </c>
      <c r="N124" s="92">
        <v>0</v>
      </c>
      <c r="O124" s="92">
        <f t="shared" si="10"/>
        <v>871988</v>
      </c>
      <c r="P124" s="92">
        <v>0</v>
      </c>
      <c r="Q124" s="93" t="e">
        <f t="shared" si="11"/>
        <v>#DIV/0!</v>
      </c>
      <c r="R124" s="94"/>
      <c r="S124" s="266">
        <v>43100</v>
      </c>
    </row>
    <row r="125" spans="1:30" customFormat="1" ht="31.5">
      <c r="A125" s="87">
        <f t="shared" si="9"/>
        <v>106</v>
      </c>
      <c r="B125" s="225" t="s">
        <v>308</v>
      </c>
      <c r="C125" s="88">
        <v>1966</v>
      </c>
      <c r="D125" s="88"/>
      <c r="E125" s="89" t="s">
        <v>218</v>
      </c>
      <c r="F125" s="88">
        <v>4</v>
      </c>
      <c r="G125" s="88">
        <v>4</v>
      </c>
      <c r="H125" s="90"/>
      <c r="I125" s="90"/>
      <c r="J125" s="90"/>
      <c r="K125" s="91"/>
      <c r="L125" s="92">
        <v>2113335</v>
      </c>
      <c r="M125" s="92">
        <v>0</v>
      </c>
      <c r="N125" s="92">
        <v>0</v>
      </c>
      <c r="O125" s="92">
        <f t="shared" si="10"/>
        <v>2113335</v>
      </c>
      <c r="P125" s="92">
        <v>0</v>
      </c>
      <c r="Q125" s="93" t="e">
        <f t="shared" si="11"/>
        <v>#DIV/0!</v>
      </c>
      <c r="R125" s="94"/>
      <c r="S125" s="266">
        <v>43100</v>
      </c>
    </row>
    <row r="126" spans="1:30" customFormat="1" ht="31.5">
      <c r="A126" s="87">
        <f t="shared" si="9"/>
        <v>107</v>
      </c>
      <c r="B126" s="234" t="s">
        <v>296</v>
      </c>
      <c r="C126" s="88">
        <v>1960</v>
      </c>
      <c r="D126" s="88"/>
      <c r="E126" s="89" t="s">
        <v>218</v>
      </c>
      <c r="F126" s="88">
        <v>2</v>
      </c>
      <c r="G126" s="88">
        <v>2</v>
      </c>
      <c r="H126" s="90"/>
      <c r="I126" s="90"/>
      <c r="J126" s="90"/>
      <c r="K126" s="91"/>
      <c r="L126" s="92">
        <v>996585</v>
      </c>
      <c r="M126" s="92">
        <v>0</v>
      </c>
      <c r="N126" s="92">
        <v>0</v>
      </c>
      <c r="O126" s="92">
        <f t="shared" si="10"/>
        <v>996585</v>
      </c>
      <c r="P126" s="92">
        <v>0</v>
      </c>
      <c r="Q126" s="93" t="e">
        <f t="shared" si="11"/>
        <v>#DIV/0!</v>
      </c>
      <c r="R126" s="94"/>
      <c r="S126" s="266">
        <v>43100</v>
      </c>
    </row>
    <row r="127" spans="1:30" customFormat="1" ht="31.5">
      <c r="A127" s="87">
        <f t="shared" si="9"/>
        <v>108</v>
      </c>
      <c r="B127" s="234" t="s">
        <v>240</v>
      </c>
      <c r="C127" s="97">
        <v>1955</v>
      </c>
      <c r="D127" s="97"/>
      <c r="E127" s="89" t="s">
        <v>218</v>
      </c>
      <c r="F127" s="97">
        <v>2</v>
      </c>
      <c r="G127" s="97">
        <v>2</v>
      </c>
      <c r="H127" s="97"/>
      <c r="I127" s="97"/>
      <c r="J127" s="97"/>
      <c r="K127" s="98"/>
      <c r="L127" s="92">
        <v>637739</v>
      </c>
      <c r="M127" s="92">
        <v>0</v>
      </c>
      <c r="N127" s="92">
        <v>0</v>
      </c>
      <c r="O127" s="92">
        <f t="shared" si="10"/>
        <v>637739</v>
      </c>
      <c r="P127" s="92">
        <v>0</v>
      </c>
      <c r="Q127" s="93" t="e">
        <f t="shared" si="11"/>
        <v>#DIV/0!</v>
      </c>
      <c r="R127" s="94"/>
      <c r="S127" s="266">
        <v>43100</v>
      </c>
    </row>
    <row r="128" spans="1:30" customFormat="1" ht="15.75">
      <c r="A128" s="87">
        <f t="shared" si="9"/>
        <v>109</v>
      </c>
      <c r="B128" s="225" t="s">
        <v>243</v>
      </c>
      <c r="C128" s="97">
        <v>1976</v>
      </c>
      <c r="D128" s="97"/>
      <c r="E128" s="89" t="s">
        <v>219</v>
      </c>
      <c r="F128" s="97">
        <v>9</v>
      </c>
      <c r="G128" s="97">
        <v>2</v>
      </c>
      <c r="H128" s="97"/>
      <c r="I128" s="97"/>
      <c r="J128" s="97"/>
      <c r="K128" s="98"/>
      <c r="L128" s="92">
        <v>1357217</v>
      </c>
      <c r="M128" s="92">
        <v>0</v>
      </c>
      <c r="N128" s="92">
        <v>0</v>
      </c>
      <c r="O128" s="92">
        <f t="shared" si="10"/>
        <v>1357217</v>
      </c>
      <c r="P128" s="92">
        <v>0</v>
      </c>
      <c r="Q128" s="93" t="e">
        <f t="shared" si="11"/>
        <v>#DIV/0!</v>
      </c>
      <c r="R128" s="94"/>
      <c r="S128" s="266">
        <v>43100</v>
      </c>
    </row>
    <row r="129" spans="1:30" customFormat="1" ht="31.5">
      <c r="A129" s="87">
        <f t="shared" si="9"/>
        <v>110</v>
      </c>
      <c r="B129" s="234" t="s">
        <v>269</v>
      </c>
      <c r="C129" s="97">
        <v>1952</v>
      </c>
      <c r="D129" s="97"/>
      <c r="E129" s="89" t="s">
        <v>218</v>
      </c>
      <c r="F129" s="97">
        <v>2</v>
      </c>
      <c r="G129" s="97">
        <v>2</v>
      </c>
      <c r="H129" s="97"/>
      <c r="I129" s="97"/>
      <c r="J129" s="97"/>
      <c r="K129" s="98"/>
      <c r="L129" s="92">
        <v>836226</v>
      </c>
      <c r="M129" s="92">
        <v>0</v>
      </c>
      <c r="N129" s="92">
        <v>0</v>
      </c>
      <c r="O129" s="92">
        <f t="shared" si="10"/>
        <v>836226</v>
      </c>
      <c r="P129" s="92">
        <v>0</v>
      </c>
      <c r="Q129" s="93" t="e">
        <f t="shared" si="11"/>
        <v>#DIV/0!</v>
      </c>
      <c r="R129" s="94"/>
      <c r="S129" s="266">
        <v>43100</v>
      </c>
    </row>
    <row r="130" spans="1:30" customFormat="1" ht="31.5">
      <c r="A130" s="87">
        <f t="shared" si="9"/>
        <v>111</v>
      </c>
      <c r="B130" s="234" t="s">
        <v>299</v>
      </c>
      <c r="C130" s="88">
        <v>1952</v>
      </c>
      <c r="D130" s="88"/>
      <c r="E130" s="89" t="s">
        <v>218</v>
      </c>
      <c r="F130" s="88">
        <v>2</v>
      </c>
      <c r="G130" s="88">
        <v>2</v>
      </c>
      <c r="H130" s="90"/>
      <c r="I130" s="90"/>
      <c r="J130" s="90"/>
      <c r="K130" s="91"/>
      <c r="L130" s="92">
        <v>640078</v>
      </c>
      <c r="M130" s="92">
        <v>0</v>
      </c>
      <c r="N130" s="92">
        <v>0</v>
      </c>
      <c r="O130" s="92">
        <f t="shared" si="10"/>
        <v>640078</v>
      </c>
      <c r="P130" s="92">
        <v>0</v>
      </c>
      <c r="Q130" s="93" t="e">
        <f t="shared" si="11"/>
        <v>#DIV/0!</v>
      </c>
      <c r="R130" s="94"/>
      <c r="S130" s="266">
        <v>43100</v>
      </c>
    </row>
    <row r="131" spans="1:30" customFormat="1" ht="31.5">
      <c r="A131" s="87">
        <f t="shared" si="9"/>
        <v>112</v>
      </c>
      <c r="B131" s="225" t="s">
        <v>236</v>
      </c>
      <c r="C131" s="97">
        <v>1959</v>
      </c>
      <c r="D131" s="97"/>
      <c r="E131" s="89" t="s">
        <v>218</v>
      </c>
      <c r="F131" s="97">
        <v>2</v>
      </c>
      <c r="G131" s="97">
        <v>2</v>
      </c>
      <c r="H131" s="97"/>
      <c r="I131" s="97"/>
      <c r="J131" s="97"/>
      <c r="K131" s="98"/>
      <c r="L131" s="92">
        <v>202649</v>
      </c>
      <c r="M131" s="92">
        <v>0</v>
      </c>
      <c r="N131" s="92">
        <v>0</v>
      </c>
      <c r="O131" s="92">
        <f t="shared" si="10"/>
        <v>202649</v>
      </c>
      <c r="P131" s="92">
        <v>0</v>
      </c>
      <c r="Q131" s="93" t="e">
        <f t="shared" si="11"/>
        <v>#DIV/0!</v>
      </c>
      <c r="R131" s="94"/>
      <c r="S131" s="266">
        <v>43100</v>
      </c>
    </row>
    <row r="132" spans="1:30" customFormat="1" ht="31.5">
      <c r="A132" s="87">
        <f t="shared" si="9"/>
        <v>113</v>
      </c>
      <c r="B132" s="234" t="s">
        <v>285</v>
      </c>
      <c r="C132" s="88">
        <v>1954</v>
      </c>
      <c r="D132" s="88"/>
      <c r="E132" s="89" t="s">
        <v>218</v>
      </c>
      <c r="F132" s="100" t="s">
        <v>191</v>
      </c>
      <c r="G132" s="88">
        <v>10</v>
      </c>
      <c r="H132" s="90"/>
      <c r="I132" s="90"/>
      <c r="J132" s="90"/>
      <c r="K132" s="91"/>
      <c r="L132" s="92">
        <v>7892437</v>
      </c>
      <c r="M132" s="92">
        <v>0</v>
      </c>
      <c r="N132" s="92">
        <v>0</v>
      </c>
      <c r="O132" s="92">
        <f t="shared" si="10"/>
        <v>7892437</v>
      </c>
      <c r="P132" s="92">
        <v>0</v>
      </c>
      <c r="Q132" s="93" t="e">
        <f t="shared" si="11"/>
        <v>#DIV/0!</v>
      </c>
      <c r="R132" s="94"/>
      <c r="S132" s="266">
        <v>43100</v>
      </c>
    </row>
    <row r="133" spans="1:30" customFormat="1" ht="31.5">
      <c r="A133" s="87">
        <f t="shared" si="9"/>
        <v>114</v>
      </c>
      <c r="B133" s="234" t="s">
        <v>237</v>
      </c>
      <c r="C133" s="97">
        <v>1950</v>
      </c>
      <c r="D133" s="97"/>
      <c r="E133" s="89" t="s">
        <v>218</v>
      </c>
      <c r="F133" s="97">
        <v>2</v>
      </c>
      <c r="G133" s="97">
        <v>1</v>
      </c>
      <c r="H133" s="97"/>
      <c r="I133" s="97"/>
      <c r="J133" s="97"/>
      <c r="K133" s="98"/>
      <c r="L133" s="92">
        <v>523389</v>
      </c>
      <c r="M133" s="92">
        <v>0</v>
      </c>
      <c r="N133" s="92">
        <v>0</v>
      </c>
      <c r="O133" s="92">
        <f t="shared" si="10"/>
        <v>523389</v>
      </c>
      <c r="P133" s="92">
        <v>0</v>
      </c>
      <c r="Q133" s="93" t="e">
        <f t="shared" si="11"/>
        <v>#DIV/0!</v>
      </c>
      <c r="R133" s="94"/>
      <c r="S133" s="266">
        <v>43100</v>
      </c>
    </row>
    <row r="134" spans="1:30" customFormat="1" ht="15.75">
      <c r="A134" s="87">
        <f t="shared" si="9"/>
        <v>115</v>
      </c>
      <c r="B134" s="234" t="s">
        <v>264</v>
      </c>
      <c r="C134" s="97">
        <v>1950</v>
      </c>
      <c r="D134" s="97"/>
      <c r="E134" s="89" t="s">
        <v>220</v>
      </c>
      <c r="F134" s="97">
        <v>2</v>
      </c>
      <c r="G134" s="97">
        <v>3</v>
      </c>
      <c r="H134" s="97"/>
      <c r="I134" s="97"/>
      <c r="J134" s="97"/>
      <c r="K134" s="98"/>
      <c r="L134" s="92">
        <v>1038920</v>
      </c>
      <c r="M134" s="92">
        <v>0</v>
      </c>
      <c r="N134" s="92">
        <v>0</v>
      </c>
      <c r="O134" s="92">
        <f t="shared" si="10"/>
        <v>1038920</v>
      </c>
      <c r="P134" s="92">
        <v>0</v>
      </c>
      <c r="Q134" s="93" t="e">
        <f t="shared" si="11"/>
        <v>#DIV/0!</v>
      </c>
      <c r="R134" s="94"/>
      <c r="S134" s="266">
        <v>43100</v>
      </c>
    </row>
    <row r="135" spans="1:30" s="1" customFormat="1" ht="15.75">
      <c r="A135" s="87">
        <f t="shared" si="9"/>
        <v>116</v>
      </c>
      <c r="B135" s="234" t="s">
        <v>258</v>
      </c>
      <c r="C135" s="97">
        <v>1950</v>
      </c>
      <c r="D135" s="97"/>
      <c r="E135" s="89" t="s">
        <v>220</v>
      </c>
      <c r="F135" s="97">
        <v>2</v>
      </c>
      <c r="G135" s="97">
        <v>2</v>
      </c>
      <c r="H135" s="97"/>
      <c r="I135" s="97"/>
      <c r="J135" s="97"/>
      <c r="K135" s="98"/>
      <c r="L135" s="92">
        <v>1742553</v>
      </c>
      <c r="M135" s="92">
        <v>0</v>
      </c>
      <c r="N135" s="92">
        <v>0</v>
      </c>
      <c r="O135" s="92">
        <f t="shared" si="10"/>
        <v>1742553</v>
      </c>
      <c r="P135" s="92">
        <v>0</v>
      </c>
      <c r="Q135" s="93" t="e">
        <f t="shared" si="11"/>
        <v>#DIV/0!</v>
      </c>
      <c r="R135" s="94"/>
      <c r="S135" s="266">
        <v>43100</v>
      </c>
      <c r="T135"/>
      <c r="U135"/>
      <c r="V135"/>
      <c r="W135"/>
      <c r="X135"/>
      <c r="Y135"/>
      <c r="Z135"/>
      <c r="AA135"/>
      <c r="AB135"/>
      <c r="AC135"/>
      <c r="AD135"/>
    </row>
    <row r="136" spans="1:30" customFormat="1" ht="31.5">
      <c r="A136" s="87">
        <f t="shared" si="9"/>
        <v>117</v>
      </c>
      <c r="B136" s="234" t="s">
        <v>250</v>
      </c>
      <c r="C136" s="97">
        <v>1948</v>
      </c>
      <c r="D136" s="97"/>
      <c r="E136" s="89" t="s">
        <v>218</v>
      </c>
      <c r="F136" s="97">
        <v>2</v>
      </c>
      <c r="G136" s="97">
        <v>3</v>
      </c>
      <c r="H136" s="97"/>
      <c r="I136" s="97"/>
      <c r="J136" s="97"/>
      <c r="K136" s="98"/>
      <c r="L136" s="92">
        <v>2124581</v>
      </c>
      <c r="M136" s="92">
        <v>0</v>
      </c>
      <c r="N136" s="92">
        <v>0</v>
      </c>
      <c r="O136" s="92">
        <f t="shared" si="10"/>
        <v>2124581</v>
      </c>
      <c r="P136" s="92">
        <v>0</v>
      </c>
      <c r="Q136" s="93" t="e">
        <f t="shared" si="11"/>
        <v>#DIV/0!</v>
      </c>
      <c r="R136" s="94"/>
      <c r="S136" s="266">
        <v>43100</v>
      </c>
    </row>
    <row r="137" spans="1:30" customFormat="1" ht="15.75">
      <c r="A137" s="87">
        <f t="shared" si="9"/>
        <v>118</v>
      </c>
      <c r="B137" s="234" t="s">
        <v>282</v>
      </c>
      <c r="C137" s="87">
        <v>1948</v>
      </c>
      <c r="D137" s="88"/>
      <c r="E137" s="89" t="s">
        <v>220</v>
      </c>
      <c r="F137" s="88">
        <v>2</v>
      </c>
      <c r="G137" s="88">
        <v>3</v>
      </c>
      <c r="H137" s="96"/>
      <c r="I137" s="96"/>
      <c r="J137" s="96"/>
      <c r="K137" s="81"/>
      <c r="L137" s="92">
        <v>2347478</v>
      </c>
      <c r="M137" s="92">
        <v>0</v>
      </c>
      <c r="N137" s="92">
        <v>0</v>
      </c>
      <c r="O137" s="92">
        <f t="shared" si="10"/>
        <v>2347478</v>
      </c>
      <c r="P137" s="92">
        <v>0</v>
      </c>
      <c r="Q137" s="93" t="e">
        <f t="shared" si="11"/>
        <v>#DIV/0!</v>
      </c>
      <c r="R137" s="94"/>
      <c r="S137" s="266">
        <v>43100</v>
      </c>
    </row>
    <row r="138" spans="1:30" customFormat="1" ht="31.5">
      <c r="A138" s="87">
        <f t="shared" si="9"/>
        <v>119</v>
      </c>
      <c r="B138" s="225" t="s">
        <v>267</v>
      </c>
      <c r="C138" s="97">
        <v>1948</v>
      </c>
      <c r="D138" s="97"/>
      <c r="E138" s="89" t="s">
        <v>218</v>
      </c>
      <c r="F138" s="97">
        <v>2</v>
      </c>
      <c r="G138" s="97">
        <v>3</v>
      </c>
      <c r="H138" s="97"/>
      <c r="I138" s="97"/>
      <c r="J138" s="97"/>
      <c r="K138" s="98"/>
      <c r="L138" s="92">
        <v>2468472</v>
      </c>
      <c r="M138" s="92">
        <v>0</v>
      </c>
      <c r="N138" s="92">
        <v>0</v>
      </c>
      <c r="O138" s="92">
        <f t="shared" si="10"/>
        <v>2468472</v>
      </c>
      <c r="P138" s="92">
        <v>0</v>
      </c>
      <c r="Q138" s="93" t="e">
        <f t="shared" si="11"/>
        <v>#DIV/0!</v>
      </c>
      <c r="R138" s="94"/>
      <c r="S138" s="266">
        <v>43100</v>
      </c>
    </row>
    <row r="139" spans="1:30" customFormat="1" ht="31.5">
      <c r="A139" s="87">
        <f t="shared" si="9"/>
        <v>120</v>
      </c>
      <c r="B139" s="234" t="s">
        <v>284</v>
      </c>
      <c r="C139" s="88">
        <v>1950</v>
      </c>
      <c r="D139" s="95"/>
      <c r="E139" s="89" t="s">
        <v>218</v>
      </c>
      <c r="F139" s="88">
        <v>2</v>
      </c>
      <c r="G139" s="88">
        <v>2</v>
      </c>
      <c r="H139" s="90"/>
      <c r="I139" s="90"/>
      <c r="J139" s="90"/>
      <c r="K139" s="91"/>
      <c r="L139" s="92">
        <v>1612780</v>
      </c>
      <c r="M139" s="92">
        <v>0</v>
      </c>
      <c r="N139" s="92">
        <v>0</v>
      </c>
      <c r="O139" s="92">
        <f t="shared" si="10"/>
        <v>1612780</v>
      </c>
      <c r="P139" s="92">
        <v>0</v>
      </c>
      <c r="Q139" s="93" t="e">
        <f t="shared" si="11"/>
        <v>#DIV/0!</v>
      </c>
      <c r="R139" s="94"/>
      <c r="S139" s="266">
        <v>43100</v>
      </c>
    </row>
    <row r="140" spans="1:30" customFormat="1" ht="31.5">
      <c r="A140" s="87">
        <f t="shared" si="9"/>
        <v>121</v>
      </c>
      <c r="B140" s="234" t="s">
        <v>256</v>
      </c>
      <c r="C140" s="97">
        <v>1947</v>
      </c>
      <c r="D140" s="97"/>
      <c r="E140" s="89" t="s">
        <v>218</v>
      </c>
      <c r="F140" s="97">
        <v>2</v>
      </c>
      <c r="G140" s="97">
        <v>2</v>
      </c>
      <c r="H140" s="97"/>
      <c r="I140" s="97"/>
      <c r="J140" s="97"/>
      <c r="K140" s="98"/>
      <c r="L140" s="92">
        <v>2580419</v>
      </c>
      <c r="M140" s="92">
        <v>0</v>
      </c>
      <c r="N140" s="92">
        <v>0</v>
      </c>
      <c r="O140" s="92">
        <f t="shared" si="10"/>
        <v>2580419</v>
      </c>
      <c r="P140" s="92">
        <v>0</v>
      </c>
      <c r="Q140" s="93" t="e">
        <f t="shared" si="11"/>
        <v>#DIV/0!</v>
      </c>
      <c r="R140" s="94"/>
      <c r="S140" s="266">
        <v>43100</v>
      </c>
    </row>
    <row r="141" spans="1:30" customFormat="1" ht="15.75">
      <c r="A141" s="87">
        <f t="shared" si="9"/>
        <v>122</v>
      </c>
      <c r="B141" s="225" t="s">
        <v>335</v>
      </c>
      <c r="C141" s="97">
        <v>1963</v>
      </c>
      <c r="D141" s="97"/>
      <c r="E141" s="89" t="s">
        <v>219</v>
      </c>
      <c r="F141" s="97">
        <v>5</v>
      </c>
      <c r="G141" s="97">
        <v>4</v>
      </c>
      <c r="H141" s="97"/>
      <c r="I141" s="97"/>
      <c r="J141" s="97"/>
      <c r="K141" s="98"/>
      <c r="L141" s="92">
        <v>1681645</v>
      </c>
      <c r="M141" s="92">
        <v>0</v>
      </c>
      <c r="N141" s="92">
        <v>0</v>
      </c>
      <c r="O141" s="92">
        <f t="shared" si="10"/>
        <v>1681645</v>
      </c>
      <c r="P141" s="92">
        <v>0</v>
      </c>
      <c r="Q141" s="93" t="e">
        <f t="shared" si="11"/>
        <v>#DIV/0!</v>
      </c>
      <c r="R141" s="94"/>
      <c r="S141" s="266">
        <v>43100</v>
      </c>
    </row>
    <row r="142" spans="1:30" customFormat="1" ht="31.5">
      <c r="A142" s="87">
        <f t="shared" si="9"/>
        <v>123</v>
      </c>
      <c r="B142" s="234" t="s">
        <v>255</v>
      </c>
      <c r="C142" s="97">
        <v>1950</v>
      </c>
      <c r="D142" s="97"/>
      <c r="E142" s="89" t="s">
        <v>218</v>
      </c>
      <c r="F142" s="97">
        <v>2</v>
      </c>
      <c r="G142" s="97">
        <v>2</v>
      </c>
      <c r="H142" s="97"/>
      <c r="I142" s="97"/>
      <c r="J142" s="97"/>
      <c r="K142" s="98"/>
      <c r="L142" s="92">
        <v>1318880</v>
      </c>
      <c r="M142" s="92">
        <v>0</v>
      </c>
      <c r="N142" s="92">
        <v>0</v>
      </c>
      <c r="O142" s="92">
        <f t="shared" si="10"/>
        <v>1318880</v>
      </c>
      <c r="P142" s="92">
        <v>0</v>
      </c>
      <c r="Q142" s="93" t="e">
        <f t="shared" si="11"/>
        <v>#DIV/0!</v>
      </c>
      <c r="R142" s="94"/>
      <c r="S142" s="266">
        <v>43100</v>
      </c>
    </row>
    <row r="143" spans="1:30" customFormat="1" ht="15.75">
      <c r="A143" s="87">
        <f t="shared" si="9"/>
        <v>124</v>
      </c>
      <c r="B143" s="234" t="s">
        <v>245</v>
      </c>
      <c r="C143" s="97">
        <v>1949</v>
      </c>
      <c r="D143" s="97"/>
      <c r="E143" s="89" t="s">
        <v>220</v>
      </c>
      <c r="F143" s="97">
        <v>2</v>
      </c>
      <c r="G143" s="97">
        <v>1</v>
      </c>
      <c r="H143" s="97"/>
      <c r="I143" s="97"/>
      <c r="J143" s="97"/>
      <c r="K143" s="98"/>
      <c r="L143" s="92">
        <v>1566345</v>
      </c>
      <c r="M143" s="92">
        <v>0</v>
      </c>
      <c r="N143" s="92">
        <v>0</v>
      </c>
      <c r="O143" s="92">
        <f t="shared" si="10"/>
        <v>1566345</v>
      </c>
      <c r="P143" s="92">
        <v>0</v>
      </c>
      <c r="Q143" s="93" t="e">
        <f t="shared" si="11"/>
        <v>#DIV/0!</v>
      </c>
      <c r="R143" s="94"/>
      <c r="S143" s="266">
        <v>43100</v>
      </c>
    </row>
    <row r="144" spans="1:30" customFormat="1" ht="31.5">
      <c r="A144" s="87">
        <f t="shared" si="9"/>
        <v>125</v>
      </c>
      <c r="B144" s="225" t="s">
        <v>449</v>
      </c>
      <c r="C144" s="88">
        <v>1984</v>
      </c>
      <c r="D144" s="88"/>
      <c r="E144" s="89" t="s">
        <v>219</v>
      </c>
      <c r="F144" s="88">
        <v>9</v>
      </c>
      <c r="G144" s="88">
        <v>1</v>
      </c>
      <c r="H144" s="90"/>
      <c r="I144" s="90"/>
      <c r="J144" s="90"/>
      <c r="K144" s="91"/>
      <c r="L144" s="92">
        <v>1910088</v>
      </c>
      <c r="M144" s="92">
        <v>0</v>
      </c>
      <c r="N144" s="92">
        <v>0</v>
      </c>
      <c r="O144" s="92">
        <f t="shared" si="10"/>
        <v>1910088</v>
      </c>
      <c r="P144" s="92">
        <v>0</v>
      </c>
      <c r="Q144" s="93" t="e">
        <f t="shared" si="11"/>
        <v>#DIV/0!</v>
      </c>
      <c r="R144" s="94"/>
      <c r="S144" s="266">
        <v>43100</v>
      </c>
    </row>
    <row r="145" spans="1:19" customFormat="1" ht="31.5">
      <c r="A145" s="87">
        <f t="shared" si="9"/>
        <v>126</v>
      </c>
      <c r="B145" s="234" t="s">
        <v>280</v>
      </c>
      <c r="C145" s="87">
        <v>1966</v>
      </c>
      <c r="D145" s="88"/>
      <c r="E145" s="89" t="s">
        <v>218</v>
      </c>
      <c r="F145" s="88">
        <v>5</v>
      </c>
      <c r="G145" s="88">
        <v>3</v>
      </c>
      <c r="H145" s="96"/>
      <c r="I145" s="96"/>
      <c r="J145" s="96"/>
      <c r="K145" s="81"/>
      <c r="L145" s="92">
        <v>2694957</v>
      </c>
      <c r="M145" s="92">
        <v>0</v>
      </c>
      <c r="N145" s="92">
        <v>0</v>
      </c>
      <c r="O145" s="92">
        <f t="shared" si="10"/>
        <v>2694957</v>
      </c>
      <c r="P145" s="92">
        <v>0</v>
      </c>
      <c r="Q145" s="93" t="e">
        <f t="shared" si="11"/>
        <v>#DIV/0!</v>
      </c>
      <c r="R145" s="94"/>
      <c r="S145" s="266">
        <v>43100</v>
      </c>
    </row>
    <row r="146" spans="1:19" customFormat="1" ht="31.5">
      <c r="A146" s="87">
        <f t="shared" si="9"/>
        <v>127</v>
      </c>
      <c r="B146" s="234" t="s">
        <v>367</v>
      </c>
      <c r="C146" s="97">
        <v>1958</v>
      </c>
      <c r="D146" s="97"/>
      <c r="E146" s="89" t="s">
        <v>218</v>
      </c>
      <c r="F146" s="97">
        <v>2</v>
      </c>
      <c r="G146" s="97">
        <v>1</v>
      </c>
      <c r="H146" s="97"/>
      <c r="I146" s="97"/>
      <c r="J146" s="97"/>
      <c r="K146" s="98"/>
      <c r="L146" s="92">
        <v>580578</v>
      </c>
      <c r="M146" s="92">
        <v>0</v>
      </c>
      <c r="N146" s="92">
        <v>0</v>
      </c>
      <c r="O146" s="92">
        <f t="shared" si="10"/>
        <v>580578</v>
      </c>
      <c r="P146" s="92">
        <v>0</v>
      </c>
      <c r="Q146" s="93" t="e">
        <f t="shared" si="11"/>
        <v>#DIV/0!</v>
      </c>
      <c r="R146" s="94"/>
      <c r="S146" s="266">
        <v>43100</v>
      </c>
    </row>
    <row r="147" spans="1:19" customFormat="1" ht="31.5">
      <c r="A147" s="87">
        <f t="shared" si="9"/>
        <v>128</v>
      </c>
      <c r="B147" s="234" t="s">
        <v>464</v>
      </c>
      <c r="C147" s="97">
        <v>1971</v>
      </c>
      <c r="D147" s="97"/>
      <c r="E147" s="89" t="s">
        <v>218</v>
      </c>
      <c r="F147" s="97">
        <v>2</v>
      </c>
      <c r="G147" s="97">
        <v>1</v>
      </c>
      <c r="H147" s="97"/>
      <c r="I147" s="97"/>
      <c r="J147" s="97"/>
      <c r="K147" s="98"/>
      <c r="L147" s="92">
        <v>615357</v>
      </c>
      <c r="M147" s="92">
        <v>0</v>
      </c>
      <c r="N147" s="92">
        <v>0</v>
      </c>
      <c r="O147" s="92">
        <f t="shared" si="10"/>
        <v>615357</v>
      </c>
      <c r="P147" s="92">
        <v>0</v>
      </c>
      <c r="Q147" s="93" t="e">
        <f t="shared" si="11"/>
        <v>#DIV/0!</v>
      </c>
      <c r="R147" s="94"/>
      <c r="S147" s="266">
        <v>43100</v>
      </c>
    </row>
    <row r="148" spans="1:19" customFormat="1" ht="31.5">
      <c r="A148" s="87">
        <f t="shared" si="9"/>
        <v>129</v>
      </c>
      <c r="B148" s="234" t="s">
        <v>385</v>
      </c>
      <c r="C148" s="97">
        <v>1957</v>
      </c>
      <c r="D148" s="97"/>
      <c r="E148" s="89" t="s">
        <v>218</v>
      </c>
      <c r="F148" s="97">
        <v>2</v>
      </c>
      <c r="G148" s="97">
        <v>1</v>
      </c>
      <c r="H148" s="97"/>
      <c r="I148" s="97"/>
      <c r="J148" s="97"/>
      <c r="K148" s="98"/>
      <c r="L148" s="92">
        <v>269948.13</v>
      </c>
      <c r="M148" s="92">
        <v>0</v>
      </c>
      <c r="N148" s="92">
        <v>0</v>
      </c>
      <c r="O148" s="92">
        <f t="shared" ref="O148:O179" si="12">L148</f>
        <v>269948.13</v>
      </c>
      <c r="P148" s="92">
        <v>0</v>
      </c>
      <c r="Q148" s="93" t="e">
        <f t="shared" ref="Q148:Q179" si="13">L148/I148</f>
        <v>#DIV/0!</v>
      </c>
      <c r="R148" s="94"/>
      <c r="S148" s="266">
        <v>43100</v>
      </c>
    </row>
    <row r="149" spans="1:19" customFormat="1" ht="15.75">
      <c r="A149" s="87">
        <f t="shared" si="9"/>
        <v>130</v>
      </c>
      <c r="B149" s="234" t="s">
        <v>238</v>
      </c>
      <c r="C149" s="97">
        <v>1924</v>
      </c>
      <c r="D149" s="97"/>
      <c r="E149" s="89" t="s">
        <v>221</v>
      </c>
      <c r="F149" s="97">
        <v>2</v>
      </c>
      <c r="G149" s="97">
        <v>2</v>
      </c>
      <c r="H149" s="97"/>
      <c r="I149" s="97"/>
      <c r="J149" s="97"/>
      <c r="K149" s="98"/>
      <c r="L149" s="92">
        <v>807980</v>
      </c>
      <c r="M149" s="92">
        <v>0</v>
      </c>
      <c r="N149" s="92">
        <v>0</v>
      </c>
      <c r="O149" s="92">
        <f t="shared" si="12"/>
        <v>807980</v>
      </c>
      <c r="P149" s="92">
        <v>0</v>
      </c>
      <c r="Q149" s="93" t="e">
        <f t="shared" si="13"/>
        <v>#DIV/0!</v>
      </c>
      <c r="R149" s="94"/>
      <c r="S149" s="266">
        <v>43100</v>
      </c>
    </row>
    <row r="150" spans="1:19" customFormat="1" ht="31.5">
      <c r="A150" s="87">
        <f t="shared" ref="A150:A219" si="14">A149+1</f>
        <v>131</v>
      </c>
      <c r="B150" s="234" t="s">
        <v>273</v>
      </c>
      <c r="C150" s="87">
        <v>1949</v>
      </c>
      <c r="D150" s="88"/>
      <c r="E150" s="89" t="s">
        <v>218</v>
      </c>
      <c r="F150" s="88">
        <v>2</v>
      </c>
      <c r="G150" s="88">
        <v>1</v>
      </c>
      <c r="H150" s="96"/>
      <c r="I150" s="96"/>
      <c r="J150" s="96"/>
      <c r="K150" s="81"/>
      <c r="L150" s="92">
        <v>661525</v>
      </c>
      <c r="M150" s="92">
        <v>0</v>
      </c>
      <c r="N150" s="92">
        <v>0</v>
      </c>
      <c r="O150" s="92">
        <f t="shared" si="12"/>
        <v>661525</v>
      </c>
      <c r="P150" s="92">
        <v>0</v>
      </c>
      <c r="Q150" s="93" t="e">
        <f t="shared" si="13"/>
        <v>#DIV/0!</v>
      </c>
      <c r="R150" s="94"/>
      <c r="S150" s="266">
        <v>43100</v>
      </c>
    </row>
    <row r="151" spans="1:19" customFormat="1" ht="15.75">
      <c r="A151" s="87">
        <f t="shared" si="14"/>
        <v>132</v>
      </c>
      <c r="B151" s="234" t="s">
        <v>297</v>
      </c>
      <c r="C151" s="88">
        <v>1981</v>
      </c>
      <c r="D151" s="88"/>
      <c r="E151" s="89" t="s">
        <v>219</v>
      </c>
      <c r="F151" s="88">
        <v>9</v>
      </c>
      <c r="G151" s="88">
        <v>2</v>
      </c>
      <c r="H151" s="90"/>
      <c r="I151" s="90"/>
      <c r="J151" s="90"/>
      <c r="K151" s="91"/>
      <c r="L151" s="92">
        <v>3719885</v>
      </c>
      <c r="M151" s="92">
        <v>0</v>
      </c>
      <c r="N151" s="92">
        <v>0</v>
      </c>
      <c r="O151" s="92">
        <f t="shared" si="12"/>
        <v>3719885</v>
      </c>
      <c r="P151" s="92">
        <v>0</v>
      </c>
      <c r="Q151" s="93" t="e">
        <f t="shared" si="13"/>
        <v>#DIV/0!</v>
      </c>
      <c r="R151" s="94"/>
      <c r="S151" s="266">
        <v>43100</v>
      </c>
    </row>
    <row r="152" spans="1:19" customFormat="1" ht="31.5">
      <c r="A152" s="87">
        <f t="shared" si="14"/>
        <v>133</v>
      </c>
      <c r="B152" s="234" t="s">
        <v>263</v>
      </c>
      <c r="C152" s="97">
        <v>1949</v>
      </c>
      <c r="D152" s="97"/>
      <c r="E152" s="89" t="s">
        <v>218</v>
      </c>
      <c r="F152" s="97">
        <v>2</v>
      </c>
      <c r="G152" s="97">
        <v>2</v>
      </c>
      <c r="H152" s="97"/>
      <c r="I152" s="97"/>
      <c r="J152" s="97"/>
      <c r="K152" s="98"/>
      <c r="L152" s="92">
        <v>1726391</v>
      </c>
      <c r="M152" s="92">
        <v>0</v>
      </c>
      <c r="N152" s="92">
        <v>0</v>
      </c>
      <c r="O152" s="92">
        <f t="shared" si="12"/>
        <v>1726391</v>
      </c>
      <c r="P152" s="92">
        <v>0</v>
      </c>
      <c r="Q152" s="93" t="e">
        <f t="shared" si="13"/>
        <v>#DIV/0!</v>
      </c>
      <c r="R152" s="94"/>
      <c r="S152" s="266">
        <v>43100</v>
      </c>
    </row>
    <row r="153" spans="1:19" customFormat="1" ht="15.75">
      <c r="A153" s="87">
        <f t="shared" si="14"/>
        <v>134</v>
      </c>
      <c r="B153" s="234" t="s">
        <v>235</v>
      </c>
      <c r="C153" s="97">
        <v>1950</v>
      </c>
      <c r="D153" s="97"/>
      <c r="E153" s="89" t="s">
        <v>220</v>
      </c>
      <c r="F153" s="97">
        <v>2</v>
      </c>
      <c r="G153" s="97">
        <v>1</v>
      </c>
      <c r="H153" s="97"/>
      <c r="I153" s="97"/>
      <c r="J153" s="97"/>
      <c r="K153" s="98"/>
      <c r="L153" s="92">
        <v>1521754</v>
      </c>
      <c r="M153" s="92">
        <v>0</v>
      </c>
      <c r="N153" s="92">
        <v>0</v>
      </c>
      <c r="O153" s="92">
        <f t="shared" si="12"/>
        <v>1521754</v>
      </c>
      <c r="P153" s="92">
        <v>0</v>
      </c>
      <c r="Q153" s="93" t="e">
        <f t="shared" si="13"/>
        <v>#DIV/0!</v>
      </c>
      <c r="R153" s="94"/>
      <c r="S153" s="266">
        <v>43100</v>
      </c>
    </row>
    <row r="154" spans="1:19" customFormat="1" ht="31.5">
      <c r="A154" s="87">
        <f t="shared" si="14"/>
        <v>135</v>
      </c>
      <c r="B154" s="225" t="s">
        <v>227</v>
      </c>
      <c r="C154" s="97">
        <v>1937</v>
      </c>
      <c r="D154" s="97"/>
      <c r="E154" s="89" t="s">
        <v>218</v>
      </c>
      <c r="F154" s="97">
        <v>2</v>
      </c>
      <c r="G154" s="97">
        <v>1</v>
      </c>
      <c r="H154" s="97"/>
      <c r="I154" s="97"/>
      <c r="J154" s="97"/>
      <c r="K154" s="98"/>
      <c r="L154" s="92">
        <v>671505</v>
      </c>
      <c r="M154" s="92">
        <v>0</v>
      </c>
      <c r="N154" s="92">
        <v>0</v>
      </c>
      <c r="O154" s="92">
        <f t="shared" si="12"/>
        <v>671505</v>
      </c>
      <c r="P154" s="92">
        <v>0</v>
      </c>
      <c r="Q154" s="93" t="e">
        <f t="shared" si="13"/>
        <v>#DIV/0!</v>
      </c>
      <c r="R154" s="94"/>
      <c r="S154" s="266">
        <v>43100</v>
      </c>
    </row>
    <row r="155" spans="1:19" customFormat="1" ht="31.5">
      <c r="A155" s="87">
        <f t="shared" si="14"/>
        <v>136</v>
      </c>
      <c r="B155" s="234" t="s">
        <v>339</v>
      </c>
      <c r="C155" s="97">
        <v>1961</v>
      </c>
      <c r="D155" s="97"/>
      <c r="E155" s="89" t="s">
        <v>218</v>
      </c>
      <c r="F155" s="97">
        <v>3</v>
      </c>
      <c r="G155" s="97">
        <v>2</v>
      </c>
      <c r="H155" s="97"/>
      <c r="I155" s="97"/>
      <c r="J155" s="97"/>
      <c r="K155" s="98"/>
      <c r="L155" s="92">
        <v>1081718</v>
      </c>
      <c r="M155" s="92">
        <v>0</v>
      </c>
      <c r="N155" s="92">
        <v>0</v>
      </c>
      <c r="O155" s="92">
        <f t="shared" si="12"/>
        <v>1081718</v>
      </c>
      <c r="P155" s="92">
        <v>0</v>
      </c>
      <c r="Q155" s="93" t="e">
        <f t="shared" si="13"/>
        <v>#DIV/0!</v>
      </c>
      <c r="R155" s="94"/>
      <c r="S155" s="266">
        <v>43100</v>
      </c>
    </row>
    <row r="156" spans="1:19" customFormat="1" ht="15.75">
      <c r="A156" s="87">
        <f t="shared" si="14"/>
        <v>137</v>
      </c>
      <c r="B156" s="234" t="s">
        <v>231</v>
      </c>
      <c r="C156" s="97">
        <v>1960</v>
      </c>
      <c r="D156" s="97"/>
      <c r="E156" s="89" t="s">
        <v>220</v>
      </c>
      <c r="F156" s="97">
        <v>3</v>
      </c>
      <c r="G156" s="97">
        <v>2</v>
      </c>
      <c r="H156" s="97"/>
      <c r="I156" s="97"/>
      <c r="J156" s="97"/>
      <c r="K156" s="98"/>
      <c r="L156" s="92">
        <v>206635</v>
      </c>
      <c r="M156" s="92">
        <v>0</v>
      </c>
      <c r="N156" s="92">
        <v>0</v>
      </c>
      <c r="O156" s="92">
        <f t="shared" si="12"/>
        <v>206635</v>
      </c>
      <c r="P156" s="92">
        <v>0</v>
      </c>
      <c r="Q156" s="93" t="e">
        <f t="shared" si="13"/>
        <v>#DIV/0!</v>
      </c>
      <c r="R156" s="94"/>
      <c r="S156" s="266">
        <v>43100</v>
      </c>
    </row>
    <row r="157" spans="1:19" customFormat="1" ht="15.75">
      <c r="A157" s="87">
        <f t="shared" si="14"/>
        <v>138</v>
      </c>
      <c r="B157" s="225" t="s">
        <v>300</v>
      </c>
      <c r="C157" s="88">
        <v>1961</v>
      </c>
      <c r="D157" s="88"/>
      <c r="E157" s="89" t="s">
        <v>220</v>
      </c>
      <c r="F157" s="88">
        <v>3</v>
      </c>
      <c r="G157" s="88">
        <v>2</v>
      </c>
      <c r="H157" s="90"/>
      <c r="I157" s="90"/>
      <c r="J157" s="90"/>
      <c r="K157" s="91"/>
      <c r="L157" s="92">
        <v>1044081.04</v>
      </c>
      <c r="M157" s="92">
        <v>0</v>
      </c>
      <c r="N157" s="92">
        <v>0</v>
      </c>
      <c r="O157" s="92">
        <f t="shared" si="12"/>
        <v>1044081.04</v>
      </c>
      <c r="P157" s="92">
        <v>0</v>
      </c>
      <c r="Q157" s="93" t="e">
        <f t="shared" si="13"/>
        <v>#DIV/0!</v>
      </c>
      <c r="R157" s="94"/>
      <c r="S157" s="266">
        <v>43100</v>
      </c>
    </row>
    <row r="158" spans="1:19" customFormat="1" ht="31.5">
      <c r="A158" s="87">
        <f t="shared" si="14"/>
        <v>139</v>
      </c>
      <c r="B158" s="225" t="s">
        <v>283</v>
      </c>
      <c r="C158" s="87">
        <v>1959</v>
      </c>
      <c r="D158" s="88"/>
      <c r="E158" s="89" t="s">
        <v>218</v>
      </c>
      <c r="F158" s="88">
        <v>2</v>
      </c>
      <c r="G158" s="88">
        <v>2</v>
      </c>
      <c r="H158" s="96"/>
      <c r="I158" s="96"/>
      <c r="J158" s="96"/>
      <c r="K158" s="81"/>
      <c r="L158" s="92">
        <v>1340000</v>
      </c>
      <c r="M158" s="92">
        <v>0</v>
      </c>
      <c r="N158" s="92">
        <v>0</v>
      </c>
      <c r="O158" s="92">
        <f t="shared" si="12"/>
        <v>1340000</v>
      </c>
      <c r="P158" s="92">
        <v>0</v>
      </c>
      <c r="Q158" s="93" t="e">
        <f t="shared" si="13"/>
        <v>#DIV/0!</v>
      </c>
      <c r="R158" s="94"/>
      <c r="S158" s="266">
        <v>43100</v>
      </c>
    </row>
    <row r="159" spans="1:19" customFormat="1" ht="15.75">
      <c r="A159" s="87">
        <f t="shared" si="14"/>
        <v>140</v>
      </c>
      <c r="B159" s="234" t="s">
        <v>450</v>
      </c>
      <c r="C159" s="87">
        <v>1975</v>
      </c>
      <c r="D159" s="88"/>
      <c r="E159" s="89" t="s">
        <v>219</v>
      </c>
      <c r="F159" s="88">
        <v>5</v>
      </c>
      <c r="G159" s="88">
        <v>6</v>
      </c>
      <c r="H159" s="96"/>
      <c r="I159" s="96"/>
      <c r="J159" s="96"/>
      <c r="K159" s="81"/>
      <c r="L159" s="92">
        <v>2294529</v>
      </c>
      <c r="M159" s="92">
        <v>0</v>
      </c>
      <c r="N159" s="92">
        <v>0</v>
      </c>
      <c r="O159" s="92">
        <f t="shared" si="12"/>
        <v>2294529</v>
      </c>
      <c r="P159" s="92">
        <v>0</v>
      </c>
      <c r="Q159" s="93" t="e">
        <f t="shared" si="13"/>
        <v>#DIV/0!</v>
      </c>
      <c r="R159" s="94"/>
      <c r="S159" s="266">
        <v>43100</v>
      </c>
    </row>
    <row r="160" spans="1:19" customFormat="1" ht="15.75">
      <c r="A160" s="87">
        <f t="shared" si="14"/>
        <v>141</v>
      </c>
      <c r="B160" s="234" t="s">
        <v>230</v>
      </c>
      <c r="C160" s="97">
        <v>1981</v>
      </c>
      <c r="D160" s="97"/>
      <c r="E160" s="89" t="s">
        <v>219</v>
      </c>
      <c r="F160" s="97">
        <v>9</v>
      </c>
      <c r="G160" s="97">
        <v>2</v>
      </c>
      <c r="H160" s="97"/>
      <c r="I160" s="97"/>
      <c r="J160" s="97"/>
      <c r="K160" s="98"/>
      <c r="L160" s="92">
        <v>2615616.2000000002</v>
      </c>
      <c r="M160" s="92">
        <v>0</v>
      </c>
      <c r="N160" s="92">
        <v>0</v>
      </c>
      <c r="O160" s="92">
        <f t="shared" si="12"/>
        <v>2615616.2000000002</v>
      </c>
      <c r="P160" s="92">
        <v>0</v>
      </c>
      <c r="Q160" s="93" t="e">
        <f t="shared" si="13"/>
        <v>#DIV/0!</v>
      </c>
      <c r="R160" s="94"/>
      <c r="S160" s="266">
        <v>43100</v>
      </c>
    </row>
    <row r="161" spans="1:30" customFormat="1" ht="31.5">
      <c r="A161" s="87">
        <f t="shared" si="14"/>
        <v>142</v>
      </c>
      <c r="B161" s="225" t="s">
        <v>295</v>
      </c>
      <c r="C161" s="88">
        <v>1964</v>
      </c>
      <c r="D161" s="88"/>
      <c r="E161" s="89" t="s">
        <v>218</v>
      </c>
      <c r="F161" s="88">
        <v>5</v>
      </c>
      <c r="G161" s="88">
        <v>3</v>
      </c>
      <c r="H161" s="90"/>
      <c r="I161" s="90"/>
      <c r="J161" s="90"/>
      <c r="K161" s="91"/>
      <c r="L161" s="92">
        <v>1561539</v>
      </c>
      <c r="M161" s="92">
        <v>0</v>
      </c>
      <c r="N161" s="92">
        <v>0</v>
      </c>
      <c r="O161" s="92">
        <f t="shared" si="12"/>
        <v>1561539</v>
      </c>
      <c r="P161" s="92">
        <v>0</v>
      </c>
      <c r="Q161" s="93" t="e">
        <f t="shared" si="13"/>
        <v>#DIV/0!</v>
      </c>
      <c r="R161" s="94"/>
      <c r="S161" s="266">
        <v>43100</v>
      </c>
    </row>
    <row r="162" spans="1:30" customFormat="1" ht="31.5">
      <c r="A162" s="87">
        <f t="shared" si="14"/>
        <v>143</v>
      </c>
      <c r="B162" s="234" t="s">
        <v>294</v>
      </c>
      <c r="C162" s="88">
        <v>1960</v>
      </c>
      <c r="D162" s="88"/>
      <c r="E162" s="89" t="s">
        <v>218</v>
      </c>
      <c r="F162" s="88">
        <v>5</v>
      </c>
      <c r="G162" s="88">
        <v>2</v>
      </c>
      <c r="H162" s="90"/>
      <c r="I162" s="90"/>
      <c r="J162" s="90"/>
      <c r="K162" s="91"/>
      <c r="L162" s="92">
        <v>1421187</v>
      </c>
      <c r="M162" s="92">
        <v>0</v>
      </c>
      <c r="N162" s="92">
        <v>0</v>
      </c>
      <c r="O162" s="92">
        <f t="shared" si="12"/>
        <v>1421187</v>
      </c>
      <c r="P162" s="92">
        <v>0</v>
      </c>
      <c r="Q162" s="93" t="e">
        <f t="shared" si="13"/>
        <v>#DIV/0!</v>
      </c>
      <c r="R162" s="94"/>
      <c r="S162" s="266">
        <v>43100</v>
      </c>
    </row>
    <row r="163" spans="1:30" customFormat="1" ht="15.75">
      <c r="A163" s="87">
        <f t="shared" si="14"/>
        <v>144</v>
      </c>
      <c r="B163" s="234" t="s">
        <v>270</v>
      </c>
      <c r="C163" s="97">
        <v>1962</v>
      </c>
      <c r="D163" s="97"/>
      <c r="E163" s="89" t="s">
        <v>219</v>
      </c>
      <c r="F163" s="97">
        <v>4</v>
      </c>
      <c r="G163" s="97">
        <v>4</v>
      </c>
      <c r="H163" s="97"/>
      <c r="I163" s="97"/>
      <c r="J163" s="97"/>
      <c r="K163" s="98"/>
      <c r="L163" s="92">
        <v>2469740</v>
      </c>
      <c r="M163" s="92">
        <v>0</v>
      </c>
      <c r="N163" s="92">
        <v>0</v>
      </c>
      <c r="O163" s="92">
        <f t="shared" si="12"/>
        <v>2469740</v>
      </c>
      <c r="P163" s="92">
        <v>0</v>
      </c>
      <c r="Q163" s="93" t="e">
        <f t="shared" si="13"/>
        <v>#DIV/0!</v>
      </c>
      <c r="R163" s="94"/>
      <c r="S163" s="266">
        <v>43100</v>
      </c>
    </row>
    <row r="164" spans="1:30" customFormat="1" ht="31.5">
      <c r="A164" s="87">
        <f t="shared" si="14"/>
        <v>145</v>
      </c>
      <c r="B164" s="234" t="s">
        <v>252</v>
      </c>
      <c r="C164" s="97">
        <v>1986</v>
      </c>
      <c r="D164" s="97"/>
      <c r="E164" s="89" t="s">
        <v>218</v>
      </c>
      <c r="F164" s="97">
        <v>9</v>
      </c>
      <c r="G164" s="97">
        <v>1</v>
      </c>
      <c r="H164" s="97"/>
      <c r="I164" s="97"/>
      <c r="J164" s="97"/>
      <c r="K164" s="98"/>
      <c r="L164" s="92">
        <v>1104857</v>
      </c>
      <c r="M164" s="92">
        <v>0</v>
      </c>
      <c r="N164" s="92">
        <v>0</v>
      </c>
      <c r="O164" s="92">
        <f t="shared" si="12"/>
        <v>1104857</v>
      </c>
      <c r="P164" s="92">
        <v>0</v>
      </c>
      <c r="Q164" s="93" t="e">
        <f t="shared" si="13"/>
        <v>#DIV/0!</v>
      </c>
      <c r="R164" s="94"/>
      <c r="S164" s="266">
        <v>43100</v>
      </c>
    </row>
    <row r="165" spans="1:30" customFormat="1" ht="31.5">
      <c r="A165" s="87">
        <f t="shared" si="14"/>
        <v>146</v>
      </c>
      <c r="B165" s="234" t="s">
        <v>304</v>
      </c>
      <c r="C165" s="88">
        <v>1989</v>
      </c>
      <c r="D165" s="88"/>
      <c r="E165" s="89" t="s">
        <v>218</v>
      </c>
      <c r="F165" s="88">
        <v>9</v>
      </c>
      <c r="G165" s="88">
        <v>1</v>
      </c>
      <c r="H165" s="90"/>
      <c r="I165" s="90"/>
      <c r="J165" s="90"/>
      <c r="K165" s="91"/>
      <c r="L165" s="92">
        <v>1877378</v>
      </c>
      <c r="M165" s="92">
        <v>0</v>
      </c>
      <c r="N165" s="92">
        <v>0</v>
      </c>
      <c r="O165" s="92">
        <f t="shared" si="12"/>
        <v>1877378</v>
      </c>
      <c r="P165" s="92">
        <v>0</v>
      </c>
      <c r="Q165" s="93" t="e">
        <f t="shared" si="13"/>
        <v>#DIV/0!</v>
      </c>
      <c r="R165" s="94"/>
      <c r="S165" s="266">
        <v>43100</v>
      </c>
    </row>
    <row r="166" spans="1:30" customFormat="1" ht="31.5">
      <c r="A166" s="87">
        <f t="shared" si="14"/>
        <v>147</v>
      </c>
      <c r="B166" s="234" t="s">
        <v>228</v>
      </c>
      <c r="C166" s="97" t="s">
        <v>190</v>
      </c>
      <c r="D166" s="97"/>
      <c r="E166" s="89" t="s">
        <v>218</v>
      </c>
      <c r="F166" s="97">
        <v>4</v>
      </c>
      <c r="G166" s="97">
        <v>2</v>
      </c>
      <c r="H166" s="97"/>
      <c r="I166" s="97"/>
      <c r="J166" s="97"/>
      <c r="K166" s="98"/>
      <c r="L166" s="92">
        <v>2945836</v>
      </c>
      <c r="M166" s="92">
        <v>0</v>
      </c>
      <c r="N166" s="92">
        <v>0</v>
      </c>
      <c r="O166" s="92">
        <f t="shared" si="12"/>
        <v>2945836</v>
      </c>
      <c r="P166" s="92">
        <v>0</v>
      </c>
      <c r="Q166" s="93" t="e">
        <f t="shared" si="13"/>
        <v>#DIV/0!</v>
      </c>
      <c r="R166" s="94"/>
      <c r="S166" s="266">
        <v>43100</v>
      </c>
    </row>
    <row r="167" spans="1:30" customFormat="1" ht="31.5">
      <c r="A167" s="87">
        <f t="shared" si="14"/>
        <v>148</v>
      </c>
      <c r="B167" s="234" t="s">
        <v>225</v>
      </c>
      <c r="C167" s="97">
        <v>1932</v>
      </c>
      <c r="D167" s="97"/>
      <c r="E167" s="89" t="s">
        <v>218</v>
      </c>
      <c r="F167" s="97">
        <v>5</v>
      </c>
      <c r="G167" s="97">
        <v>5</v>
      </c>
      <c r="H167" s="97"/>
      <c r="I167" s="97"/>
      <c r="J167" s="97"/>
      <c r="K167" s="98"/>
      <c r="L167" s="92">
        <v>1118494</v>
      </c>
      <c r="M167" s="92">
        <v>0</v>
      </c>
      <c r="N167" s="92">
        <v>0</v>
      </c>
      <c r="O167" s="92">
        <f t="shared" si="12"/>
        <v>1118494</v>
      </c>
      <c r="P167" s="92">
        <v>0</v>
      </c>
      <c r="Q167" s="93" t="e">
        <f t="shared" si="13"/>
        <v>#DIV/0!</v>
      </c>
      <c r="R167" s="94"/>
      <c r="S167" s="266">
        <v>43100</v>
      </c>
    </row>
    <row r="168" spans="1:30" customFormat="1" ht="31.5">
      <c r="A168" s="87">
        <f t="shared" si="14"/>
        <v>149</v>
      </c>
      <c r="B168" s="234" t="s">
        <v>232</v>
      </c>
      <c r="C168" s="97" t="s">
        <v>190</v>
      </c>
      <c r="D168" s="97"/>
      <c r="E168" s="89" t="s">
        <v>218</v>
      </c>
      <c r="F168" s="97">
        <v>3</v>
      </c>
      <c r="G168" s="97">
        <v>2</v>
      </c>
      <c r="H168" s="97"/>
      <c r="I168" s="97"/>
      <c r="J168" s="97"/>
      <c r="K168" s="98"/>
      <c r="L168" s="92">
        <v>2540427</v>
      </c>
      <c r="M168" s="92">
        <v>0</v>
      </c>
      <c r="N168" s="92">
        <v>0</v>
      </c>
      <c r="O168" s="92">
        <f t="shared" si="12"/>
        <v>2540427</v>
      </c>
      <c r="P168" s="92">
        <v>0</v>
      </c>
      <c r="Q168" s="93" t="e">
        <f t="shared" si="13"/>
        <v>#DIV/0!</v>
      </c>
      <c r="R168" s="94"/>
      <c r="S168" s="266">
        <v>43100</v>
      </c>
    </row>
    <row r="169" spans="1:30" customFormat="1" ht="31.5">
      <c r="A169" s="87">
        <f t="shared" si="14"/>
        <v>150</v>
      </c>
      <c r="B169" s="234" t="s">
        <v>275</v>
      </c>
      <c r="C169" s="87">
        <v>1951</v>
      </c>
      <c r="D169" s="88"/>
      <c r="E169" s="89" t="s">
        <v>218</v>
      </c>
      <c r="F169" s="88">
        <v>3</v>
      </c>
      <c r="G169" s="88">
        <v>3</v>
      </c>
      <c r="H169" s="96"/>
      <c r="I169" s="96"/>
      <c r="J169" s="96"/>
      <c r="K169" s="81"/>
      <c r="L169" s="92">
        <v>2253297</v>
      </c>
      <c r="M169" s="92">
        <v>0</v>
      </c>
      <c r="N169" s="92">
        <v>0</v>
      </c>
      <c r="O169" s="92">
        <f t="shared" si="12"/>
        <v>2253297</v>
      </c>
      <c r="P169" s="92">
        <v>0</v>
      </c>
      <c r="Q169" s="93" t="e">
        <f t="shared" si="13"/>
        <v>#DIV/0!</v>
      </c>
      <c r="R169" s="94"/>
      <c r="S169" s="266">
        <v>43100</v>
      </c>
    </row>
    <row r="170" spans="1:30" customFormat="1" ht="21.75" customHeight="1">
      <c r="A170" s="87">
        <f t="shared" si="14"/>
        <v>151</v>
      </c>
      <c r="B170" s="234" t="s">
        <v>286</v>
      </c>
      <c r="C170" s="88">
        <v>1971</v>
      </c>
      <c r="D170" s="88"/>
      <c r="E170" s="89" t="s">
        <v>219</v>
      </c>
      <c r="F170" s="88">
        <v>5</v>
      </c>
      <c r="G170" s="88">
        <v>4</v>
      </c>
      <c r="H170" s="90"/>
      <c r="I170" s="90"/>
      <c r="J170" s="90"/>
      <c r="K170" s="91"/>
      <c r="L170" s="92">
        <v>1390061</v>
      </c>
      <c r="M170" s="92">
        <v>0</v>
      </c>
      <c r="N170" s="92">
        <v>0</v>
      </c>
      <c r="O170" s="92">
        <f t="shared" si="12"/>
        <v>1390061</v>
      </c>
      <c r="P170" s="92">
        <v>0</v>
      </c>
      <c r="Q170" s="93" t="e">
        <f t="shared" si="13"/>
        <v>#DIV/0!</v>
      </c>
      <c r="R170" s="94"/>
      <c r="S170" s="266">
        <v>43100</v>
      </c>
    </row>
    <row r="171" spans="1:30" customFormat="1" ht="31.5">
      <c r="A171" s="87">
        <f t="shared" si="14"/>
        <v>152</v>
      </c>
      <c r="B171" s="225" t="s">
        <v>342</v>
      </c>
      <c r="C171" s="87">
        <v>1961</v>
      </c>
      <c r="D171" s="88"/>
      <c r="E171" s="89" t="s">
        <v>218</v>
      </c>
      <c r="F171" s="88">
        <v>5</v>
      </c>
      <c r="G171" s="88">
        <v>4</v>
      </c>
      <c r="H171" s="96"/>
      <c r="I171" s="96"/>
      <c r="J171" s="96"/>
      <c r="K171" s="81"/>
      <c r="L171" s="92">
        <v>3213804</v>
      </c>
      <c r="M171" s="92">
        <v>0</v>
      </c>
      <c r="N171" s="92">
        <v>0</v>
      </c>
      <c r="O171" s="92">
        <f t="shared" si="12"/>
        <v>3213804</v>
      </c>
      <c r="P171" s="92">
        <v>0</v>
      </c>
      <c r="Q171" s="93" t="e">
        <f t="shared" si="13"/>
        <v>#DIV/0!</v>
      </c>
      <c r="R171" s="94"/>
      <c r="S171" s="266">
        <v>43100</v>
      </c>
    </row>
    <row r="172" spans="1:30" customFormat="1" ht="31.5">
      <c r="A172" s="87">
        <f t="shared" si="14"/>
        <v>153</v>
      </c>
      <c r="B172" s="234" t="s">
        <v>298</v>
      </c>
      <c r="C172" s="88">
        <v>1958</v>
      </c>
      <c r="D172" s="88"/>
      <c r="E172" s="89" t="s">
        <v>218</v>
      </c>
      <c r="F172" s="88">
        <v>4</v>
      </c>
      <c r="G172" s="88">
        <v>3</v>
      </c>
      <c r="H172" s="90"/>
      <c r="I172" s="90"/>
      <c r="J172" s="90"/>
      <c r="K172" s="91"/>
      <c r="L172" s="92">
        <v>3202371</v>
      </c>
      <c r="M172" s="92">
        <v>0</v>
      </c>
      <c r="N172" s="92">
        <v>0</v>
      </c>
      <c r="O172" s="92">
        <f t="shared" si="12"/>
        <v>3202371</v>
      </c>
      <c r="P172" s="92">
        <v>0</v>
      </c>
      <c r="Q172" s="93" t="e">
        <f t="shared" si="13"/>
        <v>#DIV/0!</v>
      </c>
      <c r="R172" s="94"/>
      <c r="S172" s="266">
        <v>43100</v>
      </c>
    </row>
    <row r="173" spans="1:30" s="1" customFormat="1" ht="31.5">
      <c r="A173" s="87">
        <f t="shared" si="14"/>
        <v>154</v>
      </c>
      <c r="B173" s="234" t="s">
        <v>253</v>
      </c>
      <c r="C173" s="97">
        <v>1959</v>
      </c>
      <c r="D173" s="97"/>
      <c r="E173" s="89" t="s">
        <v>218</v>
      </c>
      <c r="F173" s="97">
        <v>2</v>
      </c>
      <c r="G173" s="97">
        <v>1</v>
      </c>
      <c r="H173" s="97"/>
      <c r="I173" s="97"/>
      <c r="J173" s="97"/>
      <c r="K173" s="98"/>
      <c r="L173" s="92">
        <v>709022</v>
      </c>
      <c r="M173" s="92">
        <v>0</v>
      </c>
      <c r="N173" s="92">
        <v>0</v>
      </c>
      <c r="O173" s="92">
        <f t="shared" si="12"/>
        <v>709022</v>
      </c>
      <c r="P173" s="92">
        <v>0</v>
      </c>
      <c r="Q173" s="93" t="e">
        <f t="shared" si="13"/>
        <v>#DIV/0!</v>
      </c>
      <c r="R173" s="94"/>
      <c r="S173" s="266">
        <v>43100</v>
      </c>
      <c r="T173"/>
      <c r="U173"/>
      <c r="V173"/>
      <c r="W173"/>
      <c r="X173"/>
      <c r="Y173"/>
      <c r="Z173"/>
      <c r="AA173"/>
      <c r="AB173"/>
      <c r="AC173"/>
      <c r="AD173"/>
    </row>
    <row r="174" spans="1:30" customFormat="1" ht="31.5">
      <c r="A174" s="87">
        <f t="shared" si="14"/>
        <v>155</v>
      </c>
      <c r="B174" s="234" t="s">
        <v>260</v>
      </c>
      <c r="C174" s="97">
        <v>1958</v>
      </c>
      <c r="D174" s="97"/>
      <c r="E174" s="89" t="s">
        <v>218</v>
      </c>
      <c r="F174" s="97">
        <v>2</v>
      </c>
      <c r="G174" s="97">
        <v>1</v>
      </c>
      <c r="H174" s="97"/>
      <c r="I174" s="97"/>
      <c r="J174" s="97"/>
      <c r="K174" s="98"/>
      <c r="L174" s="92">
        <v>1136930</v>
      </c>
      <c r="M174" s="92">
        <v>0</v>
      </c>
      <c r="N174" s="92">
        <v>0</v>
      </c>
      <c r="O174" s="92">
        <f t="shared" si="12"/>
        <v>1136930</v>
      </c>
      <c r="P174" s="92">
        <v>0</v>
      </c>
      <c r="Q174" s="93" t="e">
        <f t="shared" si="13"/>
        <v>#DIV/0!</v>
      </c>
      <c r="R174" s="94"/>
      <c r="S174" s="266">
        <v>43100</v>
      </c>
    </row>
    <row r="175" spans="1:30" customFormat="1" ht="31.5">
      <c r="A175" s="87">
        <f t="shared" si="14"/>
        <v>156</v>
      </c>
      <c r="B175" s="234" t="s">
        <v>349</v>
      </c>
      <c r="C175" s="88">
        <v>1958</v>
      </c>
      <c r="D175" s="88"/>
      <c r="E175" s="89" t="s">
        <v>218</v>
      </c>
      <c r="F175" s="88">
        <v>2</v>
      </c>
      <c r="G175" s="88">
        <v>2</v>
      </c>
      <c r="H175" s="90"/>
      <c r="I175" s="90"/>
      <c r="J175" s="90"/>
      <c r="K175" s="91"/>
      <c r="L175" s="92">
        <v>1320636</v>
      </c>
      <c r="M175" s="92">
        <v>0</v>
      </c>
      <c r="N175" s="92">
        <v>0</v>
      </c>
      <c r="O175" s="92">
        <f t="shared" si="12"/>
        <v>1320636</v>
      </c>
      <c r="P175" s="92">
        <v>0</v>
      </c>
      <c r="Q175" s="93" t="e">
        <f t="shared" si="13"/>
        <v>#DIV/0!</v>
      </c>
      <c r="R175" s="94"/>
      <c r="S175" s="266">
        <v>43100</v>
      </c>
    </row>
    <row r="176" spans="1:30" customFormat="1" ht="15.75">
      <c r="A176" s="87">
        <f t="shared" si="14"/>
        <v>157</v>
      </c>
      <c r="B176" s="234" t="s">
        <v>302</v>
      </c>
      <c r="C176" s="88">
        <v>1986</v>
      </c>
      <c r="D176" s="88"/>
      <c r="E176" s="89" t="s">
        <v>219</v>
      </c>
      <c r="F176" s="88">
        <v>9</v>
      </c>
      <c r="G176" s="88">
        <v>3</v>
      </c>
      <c r="H176" s="90"/>
      <c r="I176" s="90"/>
      <c r="J176" s="90"/>
      <c r="K176" s="91"/>
      <c r="L176" s="92">
        <v>4265098</v>
      </c>
      <c r="M176" s="92">
        <v>0</v>
      </c>
      <c r="N176" s="92">
        <v>0</v>
      </c>
      <c r="O176" s="92">
        <f t="shared" si="12"/>
        <v>4265098</v>
      </c>
      <c r="P176" s="92">
        <v>0</v>
      </c>
      <c r="Q176" s="93" t="e">
        <f t="shared" si="13"/>
        <v>#DIV/0!</v>
      </c>
      <c r="R176" s="94"/>
      <c r="S176" s="266">
        <v>43100</v>
      </c>
    </row>
    <row r="177" spans="1:30" customFormat="1" ht="31.5">
      <c r="A177" s="87">
        <f t="shared" si="14"/>
        <v>158</v>
      </c>
      <c r="B177" s="234" t="s">
        <v>341</v>
      </c>
      <c r="C177" s="87">
        <v>1963</v>
      </c>
      <c r="D177" s="88"/>
      <c r="E177" s="89" t="s">
        <v>218</v>
      </c>
      <c r="F177" s="88">
        <v>4</v>
      </c>
      <c r="G177" s="88">
        <v>4</v>
      </c>
      <c r="H177" s="96"/>
      <c r="I177" s="96"/>
      <c r="J177" s="96"/>
      <c r="K177" s="81"/>
      <c r="L177" s="92">
        <v>2115890</v>
      </c>
      <c r="M177" s="92">
        <v>0</v>
      </c>
      <c r="N177" s="92">
        <v>0</v>
      </c>
      <c r="O177" s="92">
        <f t="shared" si="12"/>
        <v>2115890</v>
      </c>
      <c r="P177" s="92">
        <v>0</v>
      </c>
      <c r="Q177" s="93" t="e">
        <f t="shared" si="13"/>
        <v>#DIV/0!</v>
      </c>
      <c r="R177" s="94"/>
      <c r="S177" s="266">
        <v>43100</v>
      </c>
    </row>
    <row r="178" spans="1:30" customFormat="1" ht="31.5">
      <c r="A178" s="87">
        <f t="shared" si="14"/>
        <v>159</v>
      </c>
      <c r="B178" s="225" t="s">
        <v>242</v>
      </c>
      <c r="C178" s="97">
        <v>1961</v>
      </c>
      <c r="D178" s="97"/>
      <c r="E178" s="89" t="s">
        <v>218</v>
      </c>
      <c r="F178" s="97">
        <v>3</v>
      </c>
      <c r="G178" s="97">
        <v>2</v>
      </c>
      <c r="H178" s="97"/>
      <c r="I178" s="97"/>
      <c r="J178" s="97"/>
      <c r="K178" s="98"/>
      <c r="L178" s="92">
        <v>482251.51</v>
      </c>
      <c r="M178" s="92">
        <v>0</v>
      </c>
      <c r="N178" s="92">
        <v>0</v>
      </c>
      <c r="O178" s="92">
        <f t="shared" si="12"/>
        <v>482251.51</v>
      </c>
      <c r="P178" s="92">
        <v>0</v>
      </c>
      <c r="Q178" s="93" t="e">
        <f t="shared" si="13"/>
        <v>#DIV/0!</v>
      </c>
      <c r="R178" s="94"/>
      <c r="S178" s="266">
        <v>43100</v>
      </c>
    </row>
    <row r="179" spans="1:30" customFormat="1" ht="31.5">
      <c r="A179" s="87">
        <f t="shared" si="14"/>
        <v>160</v>
      </c>
      <c r="B179" s="234" t="s">
        <v>279</v>
      </c>
      <c r="C179" s="87">
        <v>1959</v>
      </c>
      <c r="D179" s="88"/>
      <c r="E179" s="89" t="s">
        <v>218</v>
      </c>
      <c r="F179" s="88">
        <v>3</v>
      </c>
      <c r="G179" s="88">
        <v>2</v>
      </c>
      <c r="H179" s="96"/>
      <c r="I179" s="96"/>
      <c r="J179" s="96"/>
      <c r="K179" s="81"/>
      <c r="L179" s="92">
        <v>1018040.92</v>
      </c>
      <c r="M179" s="92">
        <v>0</v>
      </c>
      <c r="N179" s="92">
        <v>0</v>
      </c>
      <c r="O179" s="92">
        <f t="shared" si="12"/>
        <v>1018040.92</v>
      </c>
      <c r="P179" s="92">
        <v>0</v>
      </c>
      <c r="Q179" s="93" t="e">
        <f t="shared" si="13"/>
        <v>#DIV/0!</v>
      </c>
      <c r="R179" s="94"/>
      <c r="S179" s="266">
        <v>43100</v>
      </c>
    </row>
    <row r="180" spans="1:30" customFormat="1" ht="31.5">
      <c r="A180" s="87">
        <f t="shared" si="14"/>
        <v>161</v>
      </c>
      <c r="B180" s="234" t="s">
        <v>262</v>
      </c>
      <c r="C180" s="97">
        <v>1977</v>
      </c>
      <c r="D180" s="97"/>
      <c r="E180" s="89" t="s">
        <v>218</v>
      </c>
      <c r="F180" s="97">
        <v>9</v>
      </c>
      <c r="G180" s="97">
        <v>1</v>
      </c>
      <c r="H180" s="97"/>
      <c r="I180" s="97"/>
      <c r="J180" s="97"/>
      <c r="K180" s="98"/>
      <c r="L180" s="92">
        <v>1871554</v>
      </c>
      <c r="M180" s="92">
        <v>0</v>
      </c>
      <c r="N180" s="92">
        <v>0</v>
      </c>
      <c r="O180" s="92">
        <f t="shared" ref="O180:O187" si="15">L180</f>
        <v>1871554</v>
      </c>
      <c r="P180" s="92">
        <v>0</v>
      </c>
      <c r="Q180" s="93" t="e">
        <f t="shared" ref="Q180:Q187" si="16">L180/I180</f>
        <v>#DIV/0!</v>
      </c>
      <c r="R180" s="94"/>
      <c r="S180" s="266">
        <v>43100</v>
      </c>
    </row>
    <row r="181" spans="1:30" customFormat="1" ht="31.5">
      <c r="A181" s="87">
        <f t="shared" si="14"/>
        <v>162</v>
      </c>
      <c r="B181" s="225" t="s">
        <v>290</v>
      </c>
      <c r="C181" s="88">
        <v>1974</v>
      </c>
      <c r="D181" s="88"/>
      <c r="E181" s="89" t="s">
        <v>218</v>
      </c>
      <c r="F181" s="88">
        <v>5</v>
      </c>
      <c r="G181" s="88">
        <v>4</v>
      </c>
      <c r="H181" s="90"/>
      <c r="I181" s="90"/>
      <c r="J181" s="90"/>
      <c r="K181" s="91"/>
      <c r="L181" s="92">
        <v>2652530</v>
      </c>
      <c r="M181" s="92">
        <v>0</v>
      </c>
      <c r="N181" s="92">
        <v>0</v>
      </c>
      <c r="O181" s="92">
        <f t="shared" si="15"/>
        <v>2652530</v>
      </c>
      <c r="P181" s="92">
        <v>0</v>
      </c>
      <c r="Q181" s="93" t="e">
        <f t="shared" si="16"/>
        <v>#DIV/0!</v>
      </c>
      <c r="R181" s="94"/>
      <c r="S181" s="266">
        <v>43100</v>
      </c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customFormat="1" ht="15.75">
      <c r="A182" s="87">
        <f t="shared" si="14"/>
        <v>163</v>
      </c>
      <c r="B182" s="234" t="s">
        <v>356</v>
      </c>
      <c r="C182" s="88">
        <v>1974</v>
      </c>
      <c r="D182" s="88"/>
      <c r="E182" s="89" t="s">
        <v>219</v>
      </c>
      <c r="F182" s="88">
        <v>5</v>
      </c>
      <c r="G182" s="88">
        <v>6</v>
      </c>
      <c r="H182" s="90"/>
      <c r="I182" s="90"/>
      <c r="J182" s="90"/>
      <c r="K182" s="91"/>
      <c r="L182" s="92">
        <v>3645969</v>
      </c>
      <c r="M182" s="92">
        <v>0</v>
      </c>
      <c r="N182" s="92">
        <v>0</v>
      </c>
      <c r="O182" s="92">
        <f t="shared" si="15"/>
        <v>3645969</v>
      </c>
      <c r="P182" s="92">
        <v>0</v>
      </c>
      <c r="Q182" s="93" t="e">
        <f t="shared" si="16"/>
        <v>#DIV/0!</v>
      </c>
      <c r="R182" s="94"/>
      <c r="S182" s="266">
        <v>43100</v>
      </c>
    </row>
    <row r="183" spans="1:30" s="33" customFormat="1" ht="15.75">
      <c r="A183" s="87">
        <f t="shared" si="14"/>
        <v>164</v>
      </c>
      <c r="B183" s="234" t="s">
        <v>354</v>
      </c>
      <c r="C183" s="87">
        <v>1986</v>
      </c>
      <c r="D183" s="88"/>
      <c r="E183" s="89" t="s">
        <v>219</v>
      </c>
      <c r="F183" s="88">
        <v>9</v>
      </c>
      <c r="G183" s="88">
        <v>1</v>
      </c>
      <c r="H183" s="96"/>
      <c r="I183" s="96"/>
      <c r="J183" s="96"/>
      <c r="K183" s="81"/>
      <c r="L183" s="92">
        <v>771330</v>
      </c>
      <c r="M183" s="92">
        <v>0</v>
      </c>
      <c r="N183" s="92">
        <v>0</v>
      </c>
      <c r="O183" s="92">
        <f t="shared" si="15"/>
        <v>771330</v>
      </c>
      <c r="P183" s="92">
        <v>0</v>
      </c>
      <c r="Q183" s="93" t="e">
        <f t="shared" si="16"/>
        <v>#DIV/0!</v>
      </c>
      <c r="R183" s="94"/>
      <c r="S183" s="266">
        <v>43100</v>
      </c>
      <c r="T183"/>
      <c r="U183"/>
      <c r="V183"/>
      <c r="W183"/>
      <c r="X183"/>
      <c r="Y183"/>
      <c r="Z183"/>
      <c r="AA183"/>
      <c r="AB183"/>
      <c r="AC183"/>
      <c r="AD183"/>
    </row>
    <row r="184" spans="1:30" customFormat="1" ht="15.75">
      <c r="A184" s="87">
        <f t="shared" si="14"/>
        <v>165</v>
      </c>
      <c r="B184" s="225" t="s">
        <v>352</v>
      </c>
      <c r="C184" s="97">
        <v>1972</v>
      </c>
      <c r="D184" s="97"/>
      <c r="E184" s="89" t="s">
        <v>219</v>
      </c>
      <c r="F184" s="97">
        <v>9</v>
      </c>
      <c r="G184" s="97">
        <v>1</v>
      </c>
      <c r="H184" s="97"/>
      <c r="I184" s="97"/>
      <c r="J184" s="97"/>
      <c r="K184" s="98"/>
      <c r="L184" s="92">
        <v>1894719</v>
      </c>
      <c r="M184" s="92">
        <v>0</v>
      </c>
      <c r="N184" s="92">
        <v>0</v>
      </c>
      <c r="O184" s="92">
        <f t="shared" si="15"/>
        <v>1894719</v>
      </c>
      <c r="P184" s="92">
        <v>0</v>
      </c>
      <c r="Q184" s="93" t="e">
        <f t="shared" si="16"/>
        <v>#DIV/0!</v>
      </c>
      <c r="R184" s="94"/>
      <c r="S184" s="266">
        <v>43100</v>
      </c>
    </row>
    <row r="185" spans="1:30" customFormat="1" ht="31.5">
      <c r="A185" s="87">
        <f t="shared" si="14"/>
        <v>166</v>
      </c>
      <c r="B185" s="234" t="s">
        <v>355</v>
      </c>
      <c r="C185" s="87">
        <v>1964</v>
      </c>
      <c r="D185" s="88"/>
      <c r="E185" s="89" t="s">
        <v>218</v>
      </c>
      <c r="F185" s="88">
        <v>5</v>
      </c>
      <c r="G185" s="88">
        <v>3</v>
      </c>
      <c r="H185" s="96"/>
      <c r="I185" s="96"/>
      <c r="J185" s="96"/>
      <c r="K185" s="81"/>
      <c r="L185" s="92">
        <v>1492412</v>
      </c>
      <c r="M185" s="92">
        <v>0</v>
      </c>
      <c r="N185" s="92">
        <v>0</v>
      </c>
      <c r="O185" s="92">
        <f t="shared" si="15"/>
        <v>1492412</v>
      </c>
      <c r="P185" s="92">
        <v>0</v>
      </c>
      <c r="Q185" s="93" t="e">
        <f t="shared" si="16"/>
        <v>#DIV/0!</v>
      </c>
      <c r="R185" s="94"/>
      <c r="S185" s="266">
        <v>43100</v>
      </c>
    </row>
    <row r="186" spans="1:30" customFormat="1" ht="31.5">
      <c r="A186" s="87">
        <f t="shared" si="14"/>
        <v>167</v>
      </c>
      <c r="B186" s="225" t="s">
        <v>318</v>
      </c>
      <c r="C186" s="97">
        <v>1884</v>
      </c>
      <c r="D186" s="97"/>
      <c r="E186" s="89" t="s">
        <v>218</v>
      </c>
      <c r="F186" s="97">
        <v>2</v>
      </c>
      <c r="G186" s="97">
        <v>2</v>
      </c>
      <c r="H186" s="97"/>
      <c r="I186" s="97"/>
      <c r="J186" s="97"/>
      <c r="K186" s="98"/>
      <c r="L186" s="92">
        <v>651523.25</v>
      </c>
      <c r="M186" s="92">
        <v>0</v>
      </c>
      <c r="N186" s="92">
        <v>0</v>
      </c>
      <c r="O186" s="92">
        <f t="shared" si="15"/>
        <v>651523.25</v>
      </c>
      <c r="P186" s="92">
        <v>0</v>
      </c>
      <c r="Q186" s="93" t="e">
        <f t="shared" si="16"/>
        <v>#DIV/0!</v>
      </c>
      <c r="R186" s="94"/>
      <c r="S186" s="266">
        <v>43100</v>
      </c>
    </row>
    <row r="187" spans="1:30" customFormat="1" ht="15.75">
      <c r="A187" s="87">
        <f t="shared" si="14"/>
        <v>168</v>
      </c>
      <c r="B187" s="234" t="s">
        <v>353</v>
      </c>
      <c r="C187" s="97">
        <v>1948</v>
      </c>
      <c r="D187" s="97"/>
      <c r="E187" s="89" t="s">
        <v>220</v>
      </c>
      <c r="F187" s="97">
        <v>2</v>
      </c>
      <c r="G187" s="97">
        <v>2</v>
      </c>
      <c r="H187" s="97"/>
      <c r="I187" s="97"/>
      <c r="J187" s="97"/>
      <c r="K187" s="98"/>
      <c r="L187" s="92">
        <v>1221424.83</v>
      </c>
      <c r="M187" s="92">
        <v>0</v>
      </c>
      <c r="N187" s="92">
        <v>0</v>
      </c>
      <c r="O187" s="92">
        <f t="shared" si="15"/>
        <v>1221424.83</v>
      </c>
      <c r="P187" s="92">
        <v>0</v>
      </c>
      <c r="Q187" s="93" t="e">
        <f t="shared" si="16"/>
        <v>#DIV/0!</v>
      </c>
      <c r="R187" s="94"/>
      <c r="S187" s="266">
        <v>43100</v>
      </c>
    </row>
    <row r="188" spans="1:30" s="1" customFormat="1" ht="23.45" customHeight="1">
      <c r="A188" s="87"/>
      <c r="B188" s="1092" t="s">
        <v>91</v>
      </c>
      <c r="C188" s="1092"/>
      <c r="D188" s="1092"/>
      <c r="E188" s="1092"/>
      <c r="F188" s="1093"/>
      <c r="G188" s="1093"/>
      <c r="H188" s="785">
        <f t="shared" ref="H188:N188" si="17">SUM(H189:H204)</f>
        <v>25162</v>
      </c>
      <c r="I188" s="785">
        <f t="shared" si="17"/>
        <v>23147.800000000003</v>
      </c>
      <c r="J188" s="785">
        <f t="shared" si="17"/>
        <v>18031.420000000002</v>
      </c>
      <c r="K188" s="786">
        <f t="shared" si="17"/>
        <v>816</v>
      </c>
      <c r="L188" s="92">
        <f t="shared" si="17"/>
        <v>31255395.629999999</v>
      </c>
      <c r="M188" s="92">
        <f t="shared" si="17"/>
        <v>0</v>
      </c>
      <c r="N188" s="92">
        <f t="shared" si="17"/>
        <v>0</v>
      </c>
      <c r="O188" s="92">
        <f>SUM(O189:O204)</f>
        <v>31255395.629999999</v>
      </c>
      <c r="P188" s="92">
        <f>SUM(P189:P203)</f>
        <v>0</v>
      </c>
      <c r="Q188" s="86" t="s">
        <v>40</v>
      </c>
      <c r="R188" s="86" t="s">
        <v>40</v>
      </c>
      <c r="S188" s="266">
        <v>43100</v>
      </c>
    </row>
    <row r="189" spans="1:30" s="24" customFormat="1" ht="31.5">
      <c r="A189" s="87">
        <v>1</v>
      </c>
      <c r="B189" s="225" t="s">
        <v>927</v>
      </c>
      <c r="C189" s="88">
        <v>1962</v>
      </c>
      <c r="D189" s="88"/>
      <c r="E189" s="534" t="s">
        <v>218</v>
      </c>
      <c r="F189" s="787">
        <v>5</v>
      </c>
      <c r="G189" s="787">
        <v>4</v>
      </c>
      <c r="H189" s="787">
        <v>3005.3</v>
      </c>
      <c r="I189" s="787">
        <v>2844.5</v>
      </c>
      <c r="J189" s="787">
        <v>2525.6999999999998</v>
      </c>
      <c r="K189" s="787">
        <v>92</v>
      </c>
      <c r="L189" s="578">
        <f>O189</f>
        <v>3615424</v>
      </c>
      <c r="M189" s="92">
        <v>0</v>
      </c>
      <c r="N189" s="92">
        <v>0</v>
      </c>
      <c r="O189" s="92">
        <v>3615424</v>
      </c>
      <c r="P189" s="92">
        <v>0</v>
      </c>
      <c r="Q189" s="93">
        <f t="shared" ref="Q189:Q204" si="18">L189/I189</f>
        <v>1271.0226753383722</v>
      </c>
      <c r="R189" s="93">
        <v>7822</v>
      </c>
      <c r="S189" s="266">
        <v>43100</v>
      </c>
    </row>
    <row r="190" spans="1:30" s="24" customFormat="1" ht="31.5">
      <c r="A190" s="87">
        <f t="shared" si="14"/>
        <v>2</v>
      </c>
      <c r="B190" s="225" t="s">
        <v>928</v>
      </c>
      <c r="C190" s="88">
        <v>1992</v>
      </c>
      <c r="D190" s="88"/>
      <c r="E190" s="534" t="s">
        <v>218</v>
      </c>
      <c r="F190" s="787">
        <v>5</v>
      </c>
      <c r="G190" s="787">
        <v>7</v>
      </c>
      <c r="H190" s="787">
        <v>5555.6</v>
      </c>
      <c r="I190" s="787">
        <v>5004.6000000000004</v>
      </c>
      <c r="J190" s="787">
        <v>4087.1</v>
      </c>
      <c r="K190" s="787">
        <v>210</v>
      </c>
      <c r="L190" s="578">
        <f t="shared" ref="L190:L204" si="19">O190</f>
        <v>3435122.02</v>
      </c>
      <c r="M190" s="92">
        <v>0</v>
      </c>
      <c r="N190" s="92">
        <v>0</v>
      </c>
      <c r="O190" s="92">
        <v>3435122.02</v>
      </c>
      <c r="P190" s="92">
        <v>0</v>
      </c>
      <c r="Q190" s="93">
        <f t="shared" si="18"/>
        <v>686.39292251128961</v>
      </c>
      <c r="R190" s="93">
        <v>7822</v>
      </c>
      <c r="S190" s="266">
        <v>43100</v>
      </c>
    </row>
    <row r="191" spans="1:30" s="24" customFormat="1" ht="31.5">
      <c r="A191" s="87">
        <f t="shared" si="14"/>
        <v>3</v>
      </c>
      <c r="B191" s="225" t="s">
        <v>929</v>
      </c>
      <c r="C191" s="88">
        <v>1958</v>
      </c>
      <c r="D191" s="88"/>
      <c r="E191" s="534" t="s">
        <v>218</v>
      </c>
      <c r="F191" s="787">
        <v>2</v>
      </c>
      <c r="G191" s="787">
        <v>1</v>
      </c>
      <c r="H191" s="787">
        <v>498.8</v>
      </c>
      <c r="I191" s="787">
        <v>454.6</v>
      </c>
      <c r="J191" s="787">
        <v>454.6</v>
      </c>
      <c r="K191" s="787">
        <v>18</v>
      </c>
      <c r="L191" s="578">
        <f t="shared" si="19"/>
        <v>1525199</v>
      </c>
      <c r="M191" s="92">
        <v>0</v>
      </c>
      <c r="N191" s="92">
        <v>0</v>
      </c>
      <c r="O191" s="92">
        <v>1525199</v>
      </c>
      <c r="P191" s="92">
        <v>0</v>
      </c>
      <c r="Q191" s="93">
        <f t="shared" si="18"/>
        <v>3355.0351957765065</v>
      </c>
      <c r="R191" s="93">
        <v>7822</v>
      </c>
      <c r="S191" s="266">
        <v>43100</v>
      </c>
    </row>
    <row r="192" spans="1:30" s="24" customFormat="1" ht="31.5">
      <c r="A192" s="87">
        <f t="shared" si="14"/>
        <v>4</v>
      </c>
      <c r="B192" s="225" t="s">
        <v>930</v>
      </c>
      <c r="C192" s="87">
        <v>1956</v>
      </c>
      <c r="D192" s="233"/>
      <c r="E192" s="534" t="s">
        <v>218</v>
      </c>
      <c r="F192" s="787">
        <v>2</v>
      </c>
      <c r="G192" s="787">
        <v>3</v>
      </c>
      <c r="H192" s="787">
        <v>854.1</v>
      </c>
      <c r="I192" s="787">
        <v>811.6</v>
      </c>
      <c r="J192" s="787">
        <v>519.32000000000005</v>
      </c>
      <c r="K192" s="787">
        <v>28</v>
      </c>
      <c r="L192" s="578">
        <f t="shared" si="19"/>
        <v>2379167.9900000002</v>
      </c>
      <c r="M192" s="92">
        <v>0</v>
      </c>
      <c r="N192" s="92">
        <v>0</v>
      </c>
      <c r="O192" s="92">
        <v>2379167.9900000002</v>
      </c>
      <c r="P192" s="92">
        <v>0</v>
      </c>
      <c r="Q192" s="93">
        <f t="shared" si="18"/>
        <v>2931.4539058649584</v>
      </c>
      <c r="R192" s="93">
        <v>7822</v>
      </c>
      <c r="S192" s="266">
        <v>43100</v>
      </c>
    </row>
    <row r="193" spans="1:19" s="24" customFormat="1" ht="31.5">
      <c r="A193" s="87">
        <f t="shared" si="14"/>
        <v>5</v>
      </c>
      <c r="B193" s="225" t="s">
        <v>931</v>
      </c>
      <c r="C193" s="88">
        <v>1960</v>
      </c>
      <c r="D193" s="88"/>
      <c r="E193" s="534" t="s">
        <v>218</v>
      </c>
      <c r="F193" s="787">
        <v>3</v>
      </c>
      <c r="G193" s="787">
        <v>3</v>
      </c>
      <c r="H193" s="787">
        <v>1534.2</v>
      </c>
      <c r="I193" s="787">
        <v>1616.2</v>
      </c>
      <c r="J193" s="787">
        <v>1493.1</v>
      </c>
      <c r="K193" s="787">
        <v>47</v>
      </c>
      <c r="L193" s="578">
        <f t="shared" si="19"/>
        <v>2435193</v>
      </c>
      <c r="M193" s="92">
        <v>0</v>
      </c>
      <c r="N193" s="92">
        <v>0</v>
      </c>
      <c r="O193" s="92">
        <v>2435193</v>
      </c>
      <c r="P193" s="92">
        <v>0</v>
      </c>
      <c r="Q193" s="93">
        <f t="shared" si="18"/>
        <v>1506.7398836777627</v>
      </c>
      <c r="R193" s="93">
        <v>7822</v>
      </c>
      <c r="S193" s="266">
        <v>43100</v>
      </c>
    </row>
    <row r="194" spans="1:19" s="24" customFormat="1" ht="31.5">
      <c r="A194" s="87">
        <v>6</v>
      </c>
      <c r="B194" s="225" t="s">
        <v>932</v>
      </c>
      <c r="C194" s="88">
        <v>1936</v>
      </c>
      <c r="D194" s="88"/>
      <c r="E194" s="534" t="s">
        <v>218</v>
      </c>
      <c r="F194" s="787">
        <v>3</v>
      </c>
      <c r="G194" s="787">
        <v>4</v>
      </c>
      <c r="H194" s="787">
        <v>2389.4</v>
      </c>
      <c r="I194" s="787">
        <v>2172.1</v>
      </c>
      <c r="J194" s="787">
        <v>1560</v>
      </c>
      <c r="K194" s="787">
        <v>33</v>
      </c>
      <c r="L194" s="578">
        <f t="shared" si="19"/>
        <v>2705457.32</v>
      </c>
      <c r="M194" s="92">
        <v>0</v>
      </c>
      <c r="N194" s="92">
        <v>0</v>
      </c>
      <c r="O194" s="92">
        <v>2705457.32</v>
      </c>
      <c r="P194" s="92">
        <v>0</v>
      </c>
      <c r="Q194" s="93">
        <f t="shared" si="18"/>
        <v>1245.5491551954331</v>
      </c>
      <c r="R194" s="93">
        <v>7822</v>
      </c>
      <c r="S194" s="266">
        <v>43100</v>
      </c>
    </row>
    <row r="195" spans="1:19" s="24" customFormat="1" ht="31.5">
      <c r="A195" s="87">
        <v>7</v>
      </c>
      <c r="B195" s="225" t="s">
        <v>933</v>
      </c>
      <c r="C195" s="88">
        <v>1993</v>
      </c>
      <c r="D195" s="88"/>
      <c r="E195" s="534" t="s">
        <v>218</v>
      </c>
      <c r="F195" s="787">
        <v>3</v>
      </c>
      <c r="G195" s="787">
        <v>2</v>
      </c>
      <c r="H195" s="787">
        <v>870</v>
      </c>
      <c r="I195" s="787">
        <v>845.5</v>
      </c>
      <c r="J195" s="787">
        <v>799.3</v>
      </c>
      <c r="K195" s="787">
        <v>32</v>
      </c>
      <c r="L195" s="578">
        <f t="shared" si="19"/>
        <v>954408.5</v>
      </c>
      <c r="M195" s="92">
        <v>0</v>
      </c>
      <c r="N195" s="92">
        <v>0</v>
      </c>
      <c r="O195" s="92">
        <v>954408.5</v>
      </c>
      <c r="P195" s="92">
        <v>0</v>
      </c>
      <c r="Q195" s="93">
        <f t="shared" si="18"/>
        <v>1128.8095801301006</v>
      </c>
      <c r="R195" s="93">
        <v>7822</v>
      </c>
      <c r="S195" s="266">
        <v>43100</v>
      </c>
    </row>
    <row r="196" spans="1:19" s="24" customFormat="1" ht="31.5">
      <c r="A196" s="87">
        <v>8</v>
      </c>
      <c r="B196" s="225" t="s">
        <v>934</v>
      </c>
      <c r="C196" s="88">
        <v>1917</v>
      </c>
      <c r="D196" s="88"/>
      <c r="E196" s="534" t="s">
        <v>218</v>
      </c>
      <c r="F196" s="787">
        <v>3</v>
      </c>
      <c r="G196" s="787">
        <v>1</v>
      </c>
      <c r="H196" s="787">
        <v>978.9</v>
      </c>
      <c r="I196" s="787">
        <v>900.2</v>
      </c>
      <c r="J196" s="787">
        <v>229.3</v>
      </c>
      <c r="K196" s="787">
        <v>10</v>
      </c>
      <c r="L196" s="578">
        <f t="shared" si="19"/>
        <v>2430125</v>
      </c>
      <c r="M196" s="92">
        <v>0</v>
      </c>
      <c r="N196" s="92">
        <v>0</v>
      </c>
      <c r="O196" s="92">
        <v>2430125</v>
      </c>
      <c r="P196" s="92">
        <v>0</v>
      </c>
      <c r="Q196" s="93">
        <f t="shared" si="18"/>
        <v>2699.5389913352587</v>
      </c>
      <c r="R196" s="93">
        <v>7822</v>
      </c>
      <c r="S196" s="266">
        <v>43100</v>
      </c>
    </row>
    <row r="197" spans="1:19" s="24" customFormat="1" ht="31.5">
      <c r="A197" s="87">
        <v>9</v>
      </c>
      <c r="B197" s="225" t="s">
        <v>935</v>
      </c>
      <c r="C197" s="88">
        <v>1917</v>
      </c>
      <c r="D197" s="88"/>
      <c r="E197" s="534" t="s">
        <v>218</v>
      </c>
      <c r="F197" s="787">
        <v>3</v>
      </c>
      <c r="G197" s="787">
        <v>3</v>
      </c>
      <c r="H197" s="787">
        <v>2020.3</v>
      </c>
      <c r="I197" s="787">
        <v>1816.9</v>
      </c>
      <c r="J197" s="787">
        <v>1314.2</v>
      </c>
      <c r="K197" s="787">
        <v>47</v>
      </c>
      <c r="L197" s="578">
        <f t="shared" si="19"/>
        <v>2505651</v>
      </c>
      <c r="M197" s="92">
        <v>0</v>
      </c>
      <c r="N197" s="92">
        <v>0</v>
      </c>
      <c r="O197" s="92">
        <v>2505651</v>
      </c>
      <c r="P197" s="92">
        <v>0</v>
      </c>
      <c r="Q197" s="93">
        <f t="shared" si="18"/>
        <v>1379.0803016126367</v>
      </c>
      <c r="R197" s="93">
        <v>7822</v>
      </c>
      <c r="S197" s="266">
        <v>43100</v>
      </c>
    </row>
    <row r="198" spans="1:19" s="24" customFormat="1" ht="31.5">
      <c r="A198" s="87">
        <v>10</v>
      </c>
      <c r="B198" s="225" t="s">
        <v>936</v>
      </c>
      <c r="C198" s="88">
        <v>1961</v>
      </c>
      <c r="D198" s="88"/>
      <c r="E198" s="534" t="s">
        <v>218</v>
      </c>
      <c r="F198" s="787">
        <v>3</v>
      </c>
      <c r="G198" s="787">
        <v>2</v>
      </c>
      <c r="H198" s="787">
        <v>942.6</v>
      </c>
      <c r="I198" s="787">
        <v>942.6</v>
      </c>
      <c r="J198" s="787">
        <v>623.9</v>
      </c>
      <c r="K198" s="787">
        <v>34</v>
      </c>
      <c r="L198" s="578">
        <f t="shared" si="19"/>
        <v>1546987</v>
      </c>
      <c r="M198" s="92">
        <v>0</v>
      </c>
      <c r="N198" s="92">
        <v>0</v>
      </c>
      <c r="O198" s="92">
        <v>1546987</v>
      </c>
      <c r="P198" s="92">
        <v>0</v>
      </c>
      <c r="Q198" s="93">
        <f t="shared" si="18"/>
        <v>1641.1913855293867</v>
      </c>
      <c r="R198" s="93">
        <v>7822</v>
      </c>
      <c r="S198" s="266">
        <v>43100</v>
      </c>
    </row>
    <row r="199" spans="1:19" s="24" customFormat="1" ht="31.5">
      <c r="A199" s="87">
        <v>11</v>
      </c>
      <c r="B199" s="225" t="s">
        <v>937</v>
      </c>
      <c r="C199" s="88">
        <v>1961</v>
      </c>
      <c r="D199" s="88"/>
      <c r="E199" s="534" t="s">
        <v>218</v>
      </c>
      <c r="F199" s="787">
        <v>2</v>
      </c>
      <c r="G199" s="787">
        <v>1</v>
      </c>
      <c r="H199" s="787">
        <v>344.2</v>
      </c>
      <c r="I199" s="787">
        <v>314.5</v>
      </c>
      <c r="J199" s="787">
        <v>268.10000000000002</v>
      </c>
      <c r="K199" s="787">
        <v>15</v>
      </c>
      <c r="L199" s="578">
        <f t="shared" si="19"/>
        <v>709600</v>
      </c>
      <c r="M199" s="92">
        <v>0</v>
      </c>
      <c r="N199" s="92">
        <v>0</v>
      </c>
      <c r="O199" s="92">
        <v>709600</v>
      </c>
      <c r="P199" s="92">
        <v>0</v>
      </c>
      <c r="Q199" s="93">
        <f t="shared" si="18"/>
        <v>2256.2798092209855</v>
      </c>
      <c r="R199" s="93">
        <v>7822</v>
      </c>
      <c r="S199" s="266">
        <v>43100</v>
      </c>
    </row>
    <row r="200" spans="1:19" s="24" customFormat="1" ht="27" customHeight="1">
      <c r="A200" s="87">
        <v>12</v>
      </c>
      <c r="B200" s="225" t="s">
        <v>938</v>
      </c>
      <c r="C200" s="88">
        <v>1923</v>
      </c>
      <c r="D200" s="88"/>
      <c r="E200" s="534" t="s">
        <v>221</v>
      </c>
      <c r="F200" s="787">
        <v>2</v>
      </c>
      <c r="G200" s="787">
        <v>1</v>
      </c>
      <c r="H200" s="787">
        <v>194.8</v>
      </c>
      <c r="I200" s="787">
        <v>194</v>
      </c>
      <c r="J200" s="787">
        <v>115.7</v>
      </c>
      <c r="K200" s="787">
        <v>16</v>
      </c>
      <c r="L200" s="578">
        <f t="shared" si="19"/>
        <v>446509</v>
      </c>
      <c r="M200" s="92">
        <v>0</v>
      </c>
      <c r="N200" s="92">
        <v>0</v>
      </c>
      <c r="O200" s="92">
        <v>446509</v>
      </c>
      <c r="P200" s="92">
        <v>0</v>
      </c>
      <c r="Q200" s="93">
        <f t="shared" si="18"/>
        <v>2301.5927835051548</v>
      </c>
      <c r="R200" s="93">
        <v>7822</v>
      </c>
      <c r="S200" s="266">
        <v>43100</v>
      </c>
    </row>
    <row r="201" spans="1:19" s="24" customFormat="1" ht="31.5">
      <c r="A201" s="87">
        <v>13</v>
      </c>
      <c r="B201" s="225" t="s">
        <v>413</v>
      </c>
      <c r="C201" s="88">
        <v>1953</v>
      </c>
      <c r="D201" s="88"/>
      <c r="E201" s="534" t="s">
        <v>218</v>
      </c>
      <c r="F201" s="787">
        <v>2</v>
      </c>
      <c r="G201" s="787">
        <v>1</v>
      </c>
      <c r="H201" s="787">
        <v>518</v>
      </c>
      <c r="I201" s="787">
        <v>483.4</v>
      </c>
      <c r="J201" s="787">
        <v>403.7</v>
      </c>
      <c r="K201" s="787">
        <v>34</v>
      </c>
      <c r="L201" s="578">
        <f t="shared" si="19"/>
        <v>1205824</v>
      </c>
      <c r="M201" s="92">
        <v>0</v>
      </c>
      <c r="N201" s="92">
        <v>0</v>
      </c>
      <c r="O201" s="92">
        <v>1205824</v>
      </c>
      <c r="P201" s="92">
        <v>0</v>
      </c>
      <c r="Q201" s="93">
        <f t="shared" si="18"/>
        <v>2494.4642118328507</v>
      </c>
      <c r="R201" s="93">
        <v>7822</v>
      </c>
      <c r="S201" s="266">
        <v>43100</v>
      </c>
    </row>
    <row r="202" spans="1:19" s="24" customFormat="1" ht="31.5">
      <c r="A202" s="87">
        <v>14</v>
      </c>
      <c r="B202" s="225" t="s">
        <v>939</v>
      </c>
      <c r="C202" s="88">
        <v>1960</v>
      </c>
      <c r="D202" s="88"/>
      <c r="E202" s="534" t="s">
        <v>218</v>
      </c>
      <c r="F202" s="787">
        <v>2</v>
      </c>
      <c r="G202" s="787">
        <v>2</v>
      </c>
      <c r="H202" s="787">
        <v>312.8</v>
      </c>
      <c r="I202" s="787">
        <v>300</v>
      </c>
      <c r="J202" s="787">
        <v>44.5</v>
      </c>
      <c r="K202" s="787">
        <v>11</v>
      </c>
      <c r="L202" s="578">
        <f t="shared" si="19"/>
        <v>818595.8</v>
      </c>
      <c r="M202" s="92">
        <v>0</v>
      </c>
      <c r="N202" s="92">
        <v>0</v>
      </c>
      <c r="O202" s="92">
        <v>818595.8</v>
      </c>
      <c r="P202" s="92">
        <v>0</v>
      </c>
      <c r="Q202" s="93">
        <f t="shared" si="18"/>
        <v>2728.6526666666668</v>
      </c>
      <c r="R202" s="93">
        <v>7822</v>
      </c>
      <c r="S202" s="266">
        <v>43100</v>
      </c>
    </row>
    <row r="203" spans="1:19" s="24" customFormat="1" ht="31.5">
      <c r="A203" s="87">
        <f t="shared" si="14"/>
        <v>15</v>
      </c>
      <c r="B203" s="225" t="s">
        <v>940</v>
      </c>
      <c r="C203" s="88">
        <v>1983</v>
      </c>
      <c r="D203" s="88"/>
      <c r="E203" s="534" t="s">
        <v>834</v>
      </c>
      <c r="F203" s="787">
        <v>5</v>
      </c>
      <c r="G203" s="787">
        <v>2</v>
      </c>
      <c r="H203" s="787">
        <v>4292.2</v>
      </c>
      <c r="I203" s="787">
        <v>3595.1</v>
      </c>
      <c r="J203" s="787">
        <v>2978.5</v>
      </c>
      <c r="K203" s="787">
        <v>170</v>
      </c>
      <c r="L203" s="578">
        <f t="shared" si="19"/>
        <v>2707283</v>
      </c>
      <c r="M203" s="92">
        <v>0</v>
      </c>
      <c r="N203" s="92">
        <v>0</v>
      </c>
      <c r="O203" s="92">
        <v>2707283</v>
      </c>
      <c r="P203" s="92">
        <v>0</v>
      </c>
      <c r="Q203" s="93">
        <f t="shared" si="18"/>
        <v>753.04803760674258</v>
      </c>
      <c r="R203" s="93">
        <v>7822</v>
      </c>
      <c r="S203" s="266">
        <v>43100</v>
      </c>
    </row>
    <row r="204" spans="1:19" s="24" customFormat="1" ht="31.5">
      <c r="A204" s="87">
        <f t="shared" si="14"/>
        <v>16</v>
      </c>
      <c r="B204" s="225" t="s">
        <v>941</v>
      </c>
      <c r="C204" s="88">
        <v>1961</v>
      </c>
      <c r="D204" s="88"/>
      <c r="E204" s="534" t="s">
        <v>218</v>
      </c>
      <c r="F204" s="787">
        <v>2</v>
      </c>
      <c r="G204" s="787">
        <v>2</v>
      </c>
      <c r="H204" s="787">
        <v>850.8</v>
      </c>
      <c r="I204" s="787">
        <v>852</v>
      </c>
      <c r="J204" s="787">
        <v>614.4</v>
      </c>
      <c r="K204" s="787">
        <v>19</v>
      </c>
      <c r="L204" s="578">
        <f t="shared" si="19"/>
        <v>1834849</v>
      </c>
      <c r="M204" s="92">
        <v>0</v>
      </c>
      <c r="N204" s="92">
        <v>0</v>
      </c>
      <c r="O204" s="92">
        <v>1834849</v>
      </c>
      <c r="P204" s="92">
        <v>0</v>
      </c>
      <c r="Q204" s="93">
        <f t="shared" si="18"/>
        <v>2153.5786384976527</v>
      </c>
      <c r="R204" s="93">
        <v>7822</v>
      </c>
      <c r="S204" s="266">
        <v>43100</v>
      </c>
    </row>
    <row r="205" spans="1:19" s="24" customFormat="1" ht="24.6" customHeight="1">
      <c r="A205" s="258"/>
      <c r="B205" s="1088" t="s">
        <v>92</v>
      </c>
      <c r="C205" s="1088"/>
      <c r="D205" s="1088"/>
      <c r="E205" s="1088"/>
      <c r="F205" s="1089"/>
      <c r="G205" s="1089"/>
      <c r="H205" s="792">
        <f>H206</f>
        <v>432.8</v>
      </c>
      <c r="I205" s="793">
        <f t="shared" ref="I205:P205" si="20">I206</f>
        <v>396.8</v>
      </c>
      <c r="J205" s="793">
        <f t="shared" si="20"/>
        <v>245.1</v>
      </c>
      <c r="K205" s="794">
        <f t="shared" si="20"/>
        <v>27</v>
      </c>
      <c r="L205" s="264">
        <f t="shared" si="20"/>
        <v>366350</v>
      </c>
      <c r="M205" s="264">
        <f t="shared" si="20"/>
        <v>0</v>
      </c>
      <c r="N205" s="264">
        <f t="shared" si="20"/>
        <v>0</v>
      </c>
      <c r="O205" s="264">
        <f t="shared" si="20"/>
        <v>366350</v>
      </c>
      <c r="P205" s="264">
        <f t="shared" si="20"/>
        <v>0</v>
      </c>
      <c r="Q205" s="265" t="s">
        <v>40</v>
      </c>
      <c r="R205" s="795" t="s">
        <v>40</v>
      </c>
      <c r="S205" s="266">
        <v>43100</v>
      </c>
    </row>
    <row r="206" spans="1:19" s="1" customFormat="1" ht="25.9" customHeight="1">
      <c r="A206" s="258">
        <v>1</v>
      </c>
      <c r="B206" s="346" t="s">
        <v>645</v>
      </c>
      <c r="C206" s="334">
        <v>1953</v>
      </c>
      <c r="D206" s="334"/>
      <c r="E206" s="261" t="s">
        <v>646</v>
      </c>
      <c r="F206" s="334">
        <v>2</v>
      </c>
      <c r="G206" s="334">
        <v>1</v>
      </c>
      <c r="H206" s="335">
        <v>432.8</v>
      </c>
      <c r="I206" s="334">
        <v>396.8</v>
      </c>
      <c r="J206" s="334">
        <v>245.1</v>
      </c>
      <c r="K206" s="337">
        <v>27</v>
      </c>
      <c r="L206" s="264">
        <v>366350</v>
      </c>
      <c r="M206" s="264">
        <v>0</v>
      </c>
      <c r="N206" s="264">
        <v>0</v>
      </c>
      <c r="O206" s="264">
        <v>366350</v>
      </c>
      <c r="P206" s="264">
        <v>0</v>
      </c>
      <c r="Q206" s="338">
        <f>L206/I206</f>
        <v>923.26108870967744</v>
      </c>
      <c r="R206" s="265">
        <v>7822</v>
      </c>
      <c r="S206" s="266">
        <v>43100</v>
      </c>
    </row>
    <row r="207" spans="1:19" s="1" customFormat="1" ht="19.149999999999999" customHeight="1">
      <c r="A207" s="258"/>
      <c r="B207" s="1093" t="s">
        <v>93</v>
      </c>
      <c r="C207" s="1092"/>
      <c r="D207" s="1092"/>
      <c r="E207" s="1092"/>
      <c r="F207" s="1093"/>
      <c r="G207" s="1093"/>
      <c r="H207" s="603">
        <f>SUM(H208:H219)</f>
        <v>19486.900000000001</v>
      </c>
      <c r="I207" s="603">
        <f t="shared" ref="I207:P207" si="21">SUM(I208:I219)</f>
        <v>16904.800000000003</v>
      </c>
      <c r="J207" s="603">
        <f t="shared" si="21"/>
        <v>11753.659999999998</v>
      </c>
      <c r="K207" s="603">
        <f t="shared" si="21"/>
        <v>669</v>
      </c>
      <c r="L207" s="615">
        <f t="shared" si="21"/>
        <v>31146002</v>
      </c>
      <c r="M207" s="615">
        <f t="shared" si="21"/>
        <v>0</v>
      </c>
      <c r="N207" s="615">
        <f t="shared" si="21"/>
        <v>0</v>
      </c>
      <c r="O207" s="615">
        <f t="shared" si="21"/>
        <v>31146002</v>
      </c>
      <c r="P207" s="615">
        <f t="shared" si="21"/>
        <v>0</v>
      </c>
      <c r="Q207" s="298" t="s">
        <v>40</v>
      </c>
      <c r="R207" s="298" t="s">
        <v>40</v>
      </c>
      <c r="S207" s="266">
        <v>43100</v>
      </c>
    </row>
    <row r="208" spans="1:19" s="1" customFormat="1" ht="31.5">
      <c r="A208" s="604">
        <v>2</v>
      </c>
      <c r="B208" s="605" t="s">
        <v>778</v>
      </c>
      <c r="C208" s="606">
        <v>1961</v>
      </c>
      <c r="D208" s="295"/>
      <c r="E208" s="607" t="s">
        <v>218</v>
      </c>
      <c r="F208" s="374">
        <v>2</v>
      </c>
      <c r="G208" s="374">
        <v>2</v>
      </c>
      <c r="H208" s="374">
        <v>592.29999999999995</v>
      </c>
      <c r="I208" s="374">
        <v>550.9</v>
      </c>
      <c r="J208" s="374">
        <v>313.7</v>
      </c>
      <c r="K208" s="374">
        <v>27</v>
      </c>
      <c r="L208" s="608">
        <v>2706084</v>
      </c>
      <c r="M208" s="609">
        <v>0</v>
      </c>
      <c r="N208" s="264">
        <v>0</v>
      </c>
      <c r="O208" s="264">
        <f t="shared" ref="O208:O219" si="22">L208</f>
        <v>2706084</v>
      </c>
      <c r="P208" s="264">
        <v>0</v>
      </c>
      <c r="Q208" s="298">
        <f>L208/I208</f>
        <v>4912.1147213650393</v>
      </c>
      <c r="R208" s="265">
        <v>7822</v>
      </c>
      <c r="S208" s="266">
        <v>43100</v>
      </c>
    </row>
    <row r="209" spans="1:19" s="1" customFormat="1" ht="15.75">
      <c r="A209" s="604">
        <v>3</v>
      </c>
      <c r="B209" s="605" t="s">
        <v>779</v>
      </c>
      <c r="C209" s="606">
        <v>1962</v>
      </c>
      <c r="D209" s="295"/>
      <c r="E209" s="607" t="s">
        <v>220</v>
      </c>
      <c r="F209" s="374">
        <v>2</v>
      </c>
      <c r="G209" s="374">
        <v>2</v>
      </c>
      <c r="H209" s="374">
        <v>502.5</v>
      </c>
      <c r="I209" s="374">
        <v>442.1</v>
      </c>
      <c r="J209" s="374">
        <v>280.57</v>
      </c>
      <c r="K209" s="374">
        <v>25</v>
      </c>
      <c r="L209" s="608">
        <v>1419136</v>
      </c>
      <c r="M209" s="609">
        <v>0</v>
      </c>
      <c r="N209" s="264">
        <v>0</v>
      </c>
      <c r="O209" s="264">
        <f t="shared" si="22"/>
        <v>1419136</v>
      </c>
      <c r="P209" s="264">
        <v>0</v>
      </c>
      <c r="Q209" s="298">
        <f>L209/I209</f>
        <v>3209.9886903415513</v>
      </c>
      <c r="R209" s="265">
        <v>7822</v>
      </c>
      <c r="S209" s="266">
        <v>43100</v>
      </c>
    </row>
    <row r="210" spans="1:19" s="1" customFormat="1" ht="31.5">
      <c r="A210" s="604">
        <f t="shared" si="14"/>
        <v>4</v>
      </c>
      <c r="B210" s="605" t="s">
        <v>780</v>
      </c>
      <c r="C210" s="606">
        <v>1958</v>
      </c>
      <c r="D210" s="295"/>
      <c r="E210" s="607" t="s">
        <v>218</v>
      </c>
      <c r="F210" s="374">
        <v>2</v>
      </c>
      <c r="G210" s="374">
        <v>2</v>
      </c>
      <c r="H210" s="374">
        <v>1345.8</v>
      </c>
      <c r="I210" s="374">
        <v>1345.8</v>
      </c>
      <c r="J210" s="374">
        <v>720.55</v>
      </c>
      <c r="K210" s="374">
        <v>34</v>
      </c>
      <c r="L210" s="608">
        <v>3552093</v>
      </c>
      <c r="M210" s="609">
        <v>0</v>
      </c>
      <c r="N210" s="264">
        <v>0</v>
      </c>
      <c r="O210" s="264">
        <f t="shared" si="22"/>
        <v>3552093</v>
      </c>
      <c r="P210" s="264">
        <v>0</v>
      </c>
      <c r="Q210" s="298">
        <f t="shared" ref="Q210:Q219" si="23">L210/I210</f>
        <v>2639.3914400356666</v>
      </c>
      <c r="R210" s="265">
        <v>7822</v>
      </c>
      <c r="S210" s="266">
        <v>43100</v>
      </c>
    </row>
    <row r="211" spans="1:19" s="1" customFormat="1" ht="31.5">
      <c r="A211" s="604">
        <f t="shared" si="14"/>
        <v>5</v>
      </c>
      <c r="B211" s="605" t="s">
        <v>781</v>
      </c>
      <c r="C211" s="606">
        <v>1917</v>
      </c>
      <c r="D211" s="295"/>
      <c r="E211" s="607" t="s">
        <v>218</v>
      </c>
      <c r="F211" s="374">
        <v>3</v>
      </c>
      <c r="G211" s="374">
        <v>1</v>
      </c>
      <c r="H211" s="374">
        <v>766.5</v>
      </c>
      <c r="I211" s="374">
        <v>707.4</v>
      </c>
      <c r="J211" s="374">
        <v>344.9</v>
      </c>
      <c r="K211" s="374">
        <v>23</v>
      </c>
      <c r="L211" s="608">
        <v>2154879</v>
      </c>
      <c r="M211" s="609">
        <v>0</v>
      </c>
      <c r="N211" s="264">
        <v>0</v>
      </c>
      <c r="O211" s="264">
        <f t="shared" si="22"/>
        <v>2154879</v>
      </c>
      <c r="P211" s="264">
        <v>0</v>
      </c>
      <c r="Q211" s="298">
        <f t="shared" si="23"/>
        <v>3046.1959287531809</v>
      </c>
      <c r="R211" s="265">
        <v>7822</v>
      </c>
      <c r="S211" s="266">
        <v>43100</v>
      </c>
    </row>
    <row r="212" spans="1:19" s="1" customFormat="1" ht="31.5">
      <c r="A212" s="604">
        <f t="shared" si="14"/>
        <v>6</v>
      </c>
      <c r="B212" s="605" t="s">
        <v>782</v>
      </c>
      <c r="C212" s="606">
        <v>1965</v>
      </c>
      <c r="D212" s="295"/>
      <c r="E212" s="607" t="s">
        <v>218</v>
      </c>
      <c r="F212" s="374">
        <v>2</v>
      </c>
      <c r="G212" s="374">
        <v>3</v>
      </c>
      <c r="H212" s="374">
        <v>870.1</v>
      </c>
      <c r="I212" s="374">
        <v>670.2</v>
      </c>
      <c r="J212" s="374">
        <v>552.89</v>
      </c>
      <c r="K212" s="374">
        <v>26</v>
      </c>
      <c r="L212" s="608">
        <v>4352566</v>
      </c>
      <c r="M212" s="609">
        <v>0</v>
      </c>
      <c r="N212" s="264">
        <v>0</v>
      </c>
      <c r="O212" s="264">
        <f t="shared" si="22"/>
        <v>4352566</v>
      </c>
      <c r="P212" s="264">
        <v>0</v>
      </c>
      <c r="Q212" s="298">
        <f t="shared" si="23"/>
        <v>6494.4285287973735</v>
      </c>
      <c r="R212" s="265">
        <v>7822</v>
      </c>
      <c r="S212" s="266">
        <v>43100</v>
      </c>
    </row>
    <row r="213" spans="1:19" s="1" customFormat="1" ht="31.5">
      <c r="A213" s="604">
        <v>6</v>
      </c>
      <c r="B213" s="605" t="s">
        <v>783</v>
      </c>
      <c r="C213" s="606">
        <v>1917</v>
      </c>
      <c r="D213" s="295"/>
      <c r="E213" s="607" t="s">
        <v>218</v>
      </c>
      <c r="F213" s="374">
        <v>3</v>
      </c>
      <c r="G213" s="374">
        <v>1</v>
      </c>
      <c r="H213" s="374">
        <v>438.3</v>
      </c>
      <c r="I213" s="374">
        <v>438.3</v>
      </c>
      <c r="J213" s="374">
        <v>266.39</v>
      </c>
      <c r="K213" s="374">
        <v>21</v>
      </c>
      <c r="L213" s="608">
        <v>1202127</v>
      </c>
      <c r="M213" s="609">
        <v>0</v>
      </c>
      <c r="N213" s="264">
        <v>0</v>
      </c>
      <c r="O213" s="264">
        <f t="shared" si="22"/>
        <v>1202127</v>
      </c>
      <c r="P213" s="264">
        <v>0</v>
      </c>
      <c r="Q213" s="298">
        <f t="shared" si="23"/>
        <v>2742.7036276522927</v>
      </c>
      <c r="R213" s="265">
        <v>7822</v>
      </c>
      <c r="S213" s="266">
        <v>43100</v>
      </c>
    </row>
    <row r="214" spans="1:19" s="1" customFormat="1" ht="31.5">
      <c r="A214" s="604">
        <f t="shared" si="14"/>
        <v>7</v>
      </c>
      <c r="B214" s="605" t="s">
        <v>775</v>
      </c>
      <c r="C214" s="606">
        <v>1977</v>
      </c>
      <c r="D214" s="295"/>
      <c r="E214" s="607" t="s">
        <v>218</v>
      </c>
      <c r="F214" s="374">
        <v>5</v>
      </c>
      <c r="G214" s="374">
        <v>4</v>
      </c>
      <c r="H214" s="374">
        <v>3655</v>
      </c>
      <c r="I214" s="374">
        <v>3655</v>
      </c>
      <c r="J214" s="374">
        <v>2511.63</v>
      </c>
      <c r="K214" s="374">
        <v>170</v>
      </c>
      <c r="L214" s="608">
        <v>3401733</v>
      </c>
      <c r="M214" s="609">
        <v>0</v>
      </c>
      <c r="N214" s="264">
        <v>0</v>
      </c>
      <c r="O214" s="264">
        <f t="shared" si="22"/>
        <v>3401733</v>
      </c>
      <c r="P214" s="264">
        <v>0</v>
      </c>
      <c r="Q214" s="298">
        <f t="shared" si="23"/>
        <v>930.70670314637482</v>
      </c>
      <c r="R214" s="265">
        <v>7822</v>
      </c>
      <c r="S214" s="266">
        <v>43100</v>
      </c>
    </row>
    <row r="215" spans="1:19" s="1" customFormat="1" ht="31.5">
      <c r="A215" s="604">
        <f t="shared" si="14"/>
        <v>8</v>
      </c>
      <c r="B215" s="605" t="s">
        <v>784</v>
      </c>
      <c r="C215" s="606">
        <v>1963</v>
      </c>
      <c r="D215" s="295"/>
      <c r="E215" s="607" t="s">
        <v>218</v>
      </c>
      <c r="F215" s="374">
        <v>2</v>
      </c>
      <c r="G215" s="374">
        <v>1</v>
      </c>
      <c r="H215" s="374">
        <v>719.8</v>
      </c>
      <c r="I215" s="374">
        <v>461.7</v>
      </c>
      <c r="J215" s="374">
        <v>107.4</v>
      </c>
      <c r="K215" s="374">
        <v>46</v>
      </c>
      <c r="L215" s="608">
        <v>1763431</v>
      </c>
      <c r="M215" s="609">
        <v>0</v>
      </c>
      <c r="N215" s="264">
        <v>0</v>
      </c>
      <c r="O215" s="264">
        <f t="shared" si="22"/>
        <v>1763431</v>
      </c>
      <c r="P215" s="264">
        <v>0</v>
      </c>
      <c r="Q215" s="298">
        <f t="shared" si="23"/>
        <v>3819.4303660385531</v>
      </c>
      <c r="R215" s="265">
        <v>7822</v>
      </c>
      <c r="S215" s="266">
        <v>43100</v>
      </c>
    </row>
    <row r="216" spans="1:19" s="1" customFormat="1" ht="15.75">
      <c r="A216" s="604">
        <f t="shared" si="14"/>
        <v>9</v>
      </c>
      <c r="B216" s="605" t="s">
        <v>776</v>
      </c>
      <c r="C216" s="606">
        <v>1977</v>
      </c>
      <c r="D216" s="295"/>
      <c r="E216" s="607" t="s">
        <v>220</v>
      </c>
      <c r="F216" s="374">
        <v>5</v>
      </c>
      <c r="G216" s="374">
        <v>4</v>
      </c>
      <c r="H216" s="374">
        <v>3209.1</v>
      </c>
      <c r="I216" s="374">
        <v>2125.9</v>
      </c>
      <c r="J216" s="374">
        <v>1811.3</v>
      </c>
      <c r="K216" s="374">
        <v>101</v>
      </c>
      <c r="L216" s="608">
        <v>2572091</v>
      </c>
      <c r="M216" s="609">
        <v>0</v>
      </c>
      <c r="N216" s="264">
        <v>0</v>
      </c>
      <c r="O216" s="264">
        <f t="shared" si="22"/>
        <v>2572091</v>
      </c>
      <c r="P216" s="264">
        <v>0</v>
      </c>
      <c r="Q216" s="298">
        <f t="shared" si="23"/>
        <v>1209.8833435250951</v>
      </c>
      <c r="R216" s="265">
        <v>7822</v>
      </c>
      <c r="S216" s="266">
        <v>43100</v>
      </c>
    </row>
    <row r="217" spans="1:19" s="1" customFormat="1" ht="15.75">
      <c r="A217" s="604">
        <f t="shared" si="14"/>
        <v>10</v>
      </c>
      <c r="B217" s="605" t="s">
        <v>785</v>
      </c>
      <c r="C217" s="606">
        <v>1974</v>
      </c>
      <c r="D217" s="295"/>
      <c r="E217" s="607" t="s">
        <v>219</v>
      </c>
      <c r="F217" s="374">
        <v>5</v>
      </c>
      <c r="G217" s="374">
        <v>5</v>
      </c>
      <c r="H217" s="374">
        <v>3970.6</v>
      </c>
      <c r="I217" s="374">
        <v>3970.6</v>
      </c>
      <c r="J217" s="374">
        <v>2778.35</v>
      </c>
      <c r="K217" s="374">
        <v>121</v>
      </c>
      <c r="L217" s="608">
        <v>2660626</v>
      </c>
      <c r="M217" s="609">
        <v>0</v>
      </c>
      <c r="N217" s="264">
        <v>0</v>
      </c>
      <c r="O217" s="264">
        <f t="shared" si="22"/>
        <v>2660626</v>
      </c>
      <c r="P217" s="264">
        <v>0</v>
      </c>
      <c r="Q217" s="298">
        <f t="shared" si="23"/>
        <v>670.08159975822298</v>
      </c>
      <c r="R217" s="265">
        <v>7822</v>
      </c>
      <c r="S217" s="266">
        <v>43100</v>
      </c>
    </row>
    <row r="218" spans="1:19" s="1" customFormat="1" ht="31.5">
      <c r="A218" s="604">
        <f t="shared" si="14"/>
        <v>11</v>
      </c>
      <c r="B218" s="605" t="s">
        <v>786</v>
      </c>
      <c r="C218" s="606">
        <v>1959</v>
      </c>
      <c r="D218" s="295"/>
      <c r="E218" s="607" t="s">
        <v>218</v>
      </c>
      <c r="F218" s="374">
        <v>2</v>
      </c>
      <c r="G218" s="374">
        <v>2</v>
      </c>
      <c r="H218" s="374">
        <v>592</v>
      </c>
      <c r="I218" s="374">
        <v>545.20000000000005</v>
      </c>
      <c r="J218" s="374">
        <v>344.48</v>
      </c>
      <c r="K218" s="374">
        <v>32</v>
      </c>
      <c r="L218" s="608">
        <v>1458499</v>
      </c>
      <c r="M218" s="609">
        <v>0</v>
      </c>
      <c r="N218" s="264">
        <v>0</v>
      </c>
      <c r="O218" s="264">
        <f t="shared" si="22"/>
        <v>1458499</v>
      </c>
      <c r="P218" s="264">
        <v>0</v>
      </c>
      <c r="Q218" s="298">
        <f t="shared" si="23"/>
        <v>2675.1632428466614</v>
      </c>
      <c r="R218" s="265">
        <v>7822</v>
      </c>
      <c r="S218" s="266">
        <v>43100</v>
      </c>
    </row>
    <row r="219" spans="1:19" s="1" customFormat="1" ht="31.5">
      <c r="A219" s="604">
        <f t="shared" si="14"/>
        <v>12</v>
      </c>
      <c r="B219" s="605" t="s">
        <v>787</v>
      </c>
      <c r="C219" s="606">
        <v>1959</v>
      </c>
      <c r="D219" s="295"/>
      <c r="E219" s="607" t="s">
        <v>218</v>
      </c>
      <c r="F219" s="374">
        <v>3</v>
      </c>
      <c r="G219" s="374">
        <v>4</v>
      </c>
      <c r="H219" s="374">
        <v>2824.9</v>
      </c>
      <c r="I219" s="374">
        <v>1991.7</v>
      </c>
      <c r="J219" s="374">
        <v>1721.5</v>
      </c>
      <c r="K219" s="374">
        <v>43</v>
      </c>
      <c r="L219" s="608">
        <v>3902737</v>
      </c>
      <c r="M219" s="609">
        <v>0</v>
      </c>
      <c r="N219" s="264">
        <v>0</v>
      </c>
      <c r="O219" s="264">
        <f t="shared" si="22"/>
        <v>3902737</v>
      </c>
      <c r="P219" s="264">
        <v>0</v>
      </c>
      <c r="Q219" s="298">
        <f t="shared" si="23"/>
        <v>1959.5004267710999</v>
      </c>
      <c r="R219" s="265">
        <v>7822</v>
      </c>
      <c r="S219" s="266">
        <v>43100</v>
      </c>
    </row>
    <row r="220" spans="1:19" s="1" customFormat="1" ht="15.75">
      <c r="A220" s="258"/>
      <c r="B220" s="610"/>
      <c r="C220" s="295"/>
      <c r="D220" s="295"/>
      <c r="E220" s="261"/>
      <c r="F220" s="611"/>
      <c r="G220" s="611"/>
      <c r="H220" s="612"/>
      <c r="I220" s="613"/>
      <c r="J220" s="613"/>
      <c r="K220" s="611"/>
      <c r="L220" s="537"/>
      <c r="M220" s="264"/>
      <c r="N220" s="264"/>
      <c r="O220" s="264"/>
      <c r="P220" s="264"/>
      <c r="Q220" s="298"/>
      <c r="R220" s="265"/>
      <c r="S220" s="266"/>
    </row>
    <row r="221" spans="1:19" s="1" customFormat="1" ht="15.75">
      <c r="A221" s="258"/>
      <c r="B221" s="614"/>
      <c r="C221" s="295"/>
      <c r="D221" s="295"/>
      <c r="E221" s="261"/>
      <c r="F221" s="297"/>
      <c r="G221" s="297"/>
      <c r="H221" s="483"/>
      <c r="I221" s="296"/>
      <c r="J221" s="296"/>
      <c r="K221" s="297"/>
      <c r="L221" s="264"/>
      <c r="M221" s="264"/>
      <c r="N221" s="264"/>
      <c r="O221" s="264"/>
      <c r="P221" s="264"/>
      <c r="Q221" s="298"/>
      <c r="R221" s="265"/>
      <c r="S221" s="266"/>
    </row>
    <row r="222" spans="1:19" s="1" customFormat="1" ht="15.75">
      <c r="A222" s="258"/>
      <c r="B222" s="614"/>
      <c r="C222" s="295"/>
      <c r="D222" s="295"/>
      <c r="E222" s="261"/>
      <c r="F222" s="297"/>
      <c r="G222" s="297"/>
      <c r="H222" s="483"/>
      <c r="I222" s="296"/>
      <c r="J222" s="296"/>
      <c r="K222" s="297"/>
      <c r="L222" s="264"/>
      <c r="M222" s="264"/>
      <c r="N222" s="264"/>
      <c r="O222" s="264"/>
      <c r="P222" s="264"/>
      <c r="Q222" s="298"/>
      <c r="R222" s="265"/>
      <c r="S222" s="266"/>
    </row>
    <row r="223" spans="1:19" s="1" customFormat="1" ht="15.75">
      <c r="A223" s="258"/>
      <c r="B223" s="614"/>
      <c r="C223" s="295"/>
      <c r="D223" s="295"/>
      <c r="E223" s="261"/>
      <c r="F223" s="297"/>
      <c r="G223" s="297"/>
      <c r="H223" s="483"/>
      <c r="I223" s="296"/>
      <c r="J223" s="296"/>
      <c r="K223" s="297"/>
      <c r="L223" s="264"/>
      <c r="M223" s="264"/>
      <c r="N223" s="264"/>
      <c r="O223" s="264"/>
      <c r="P223" s="264"/>
      <c r="Q223" s="298"/>
      <c r="R223" s="265"/>
      <c r="S223" s="266"/>
    </row>
    <row r="224" spans="1:19" s="1" customFormat="1" ht="15.75">
      <c r="A224" s="258"/>
      <c r="B224" s="614"/>
      <c r="C224" s="295"/>
      <c r="D224" s="295"/>
      <c r="E224" s="261"/>
      <c r="F224" s="297"/>
      <c r="G224" s="297"/>
      <c r="H224" s="483"/>
      <c r="I224" s="296"/>
      <c r="J224" s="296"/>
      <c r="K224" s="297"/>
      <c r="L224" s="264"/>
      <c r="M224" s="264"/>
      <c r="N224" s="264"/>
      <c r="O224" s="264"/>
      <c r="P224" s="264"/>
      <c r="Q224" s="298"/>
      <c r="R224" s="265"/>
      <c r="S224" s="266"/>
    </row>
    <row r="225" spans="1:30" s="1" customFormat="1" ht="15.75">
      <c r="A225" s="258"/>
      <c r="B225" s="614"/>
      <c r="C225" s="295"/>
      <c r="D225" s="295"/>
      <c r="E225" s="261"/>
      <c r="F225" s="297"/>
      <c r="G225" s="297"/>
      <c r="H225" s="483"/>
      <c r="I225" s="296"/>
      <c r="J225" s="296"/>
      <c r="K225" s="297"/>
      <c r="L225" s="264"/>
      <c r="M225" s="264"/>
      <c r="N225" s="264"/>
      <c r="O225" s="264"/>
      <c r="P225" s="264"/>
      <c r="Q225" s="298"/>
      <c r="R225" s="265"/>
      <c r="S225" s="266"/>
    </row>
    <row r="226" spans="1:30" s="1" customFormat="1" ht="15.75">
      <c r="A226" s="258"/>
      <c r="B226" s="614"/>
      <c r="C226" s="295"/>
      <c r="D226" s="295"/>
      <c r="E226" s="261"/>
      <c r="F226" s="297"/>
      <c r="G226" s="297"/>
      <c r="H226" s="483"/>
      <c r="I226" s="296"/>
      <c r="J226" s="296"/>
      <c r="K226" s="297"/>
      <c r="L226" s="264"/>
      <c r="M226" s="264"/>
      <c r="N226" s="264"/>
      <c r="O226" s="264"/>
      <c r="P226" s="264"/>
      <c r="Q226" s="298"/>
      <c r="R226" s="265"/>
      <c r="S226" s="266"/>
    </row>
    <row r="227" spans="1:30" s="1" customFormat="1" ht="15.75">
      <c r="A227" s="258"/>
      <c r="B227" s="614"/>
      <c r="C227" s="295"/>
      <c r="D227" s="295"/>
      <c r="E227" s="261"/>
      <c r="F227" s="297"/>
      <c r="G227" s="297"/>
      <c r="H227" s="483"/>
      <c r="I227" s="296"/>
      <c r="J227" s="296"/>
      <c r="K227" s="297"/>
      <c r="L227" s="264"/>
      <c r="M227" s="264"/>
      <c r="N227" s="264"/>
      <c r="O227" s="264"/>
      <c r="P227" s="264"/>
      <c r="Q227" s="298"/>
      <c r="R227" s="265"/>
      <c r="S227" s="266"/>
    </row>
    <row r="228" spans="1:30" s="1" customFormat="1" ht="15.75">
      <c r="A228" s="258"/>
      <c r="B228" s="614"/>
      <c r="C228" s="295"/>
      <c r="D228" s="295"/>
      <c r="E228" s="261"/>
      <c r="F228" s="297"/>
      <c r="G228" s="297"/>
      <c r="H228" s="483"/>
      <c r="I228" s="296"/>
      <c r="J228" s="296"/>
      <c r="K228" s="297"/>
      <c r="L228" s="264"/>
      <c r="M228" s="264"/>
      <c r="N228" s="264"/>
      <c r="O228" s="264"/>
      <c r="P228" s="264"/>
      <c r="Q228" s="298"/>
      <c r="R228" s="265"/>
      <c r="S228" s="266"/>
    </row>
    <row r="229" spans="1:30" s="1" customFormat="1" ht="15.75">
      <c r="A229" s="258"/>
      <c r="B229" s="614"/>
      <c r="C229" s="295"/>
      <c r="D229" s="295"/>
      <c r="E229" s="261"/>
      <c r="F229" s="297"/>
      <c r="G229" s="297"/>
      <c r="H229" s="483"/>
      <c r="I229" s="296"/>
      <c r="J229" s="296"/>
      <c r="K229" s="297"/>
      <c r="L229" s="264"/>
      <c r="M229" s="264"/>
      <c r="N229" s="264"/>
      <c r="O229" s="264"/>
      <c r="P229" s="264"/>
      <c r="Q229" s="298"/>
      <c r="R229" s="265"/>
      <c r="S229" s="266"/>
    </row>
    <row r="230" spans="1:30" s="1" customFormat="1" ht="15.75">
      <c r="A230" s="258"/>
      <c r="B230" s="614"/>
      <c r="C230" s="295"/>
      <c r="D230" s="295"/>
      <c r="E230" s="261"/>
      <c r="F230" s="297"/>
      <c r="G230" s="297"/>
      <c r="H230" s="483"/>
      <c r="I230" s="296"/>
      <c r="J230" s="296"/>
      <c r="K230" s="297"/>
      <c r="L230" s="264"/>
      <c r="M230" s="264"/>
      <c r="N230" s="264"/>
      <c r="O230" s="264"/>
      <c r="P230" s="264"/>
      <c r="Q230" s="298"/>
      <c r="R230" s="265"/>
      <c r="S230" s="266"/>
    </row>
    <row r="231" spans="1:30" s="1" customFormat="1" ht="15.75">
      <c r="A231" s="352"/>
      <c r="B231" s="1109" t="s">
        <v>94</v>
      </c>
      <c r="C231" s="1109"/>
      <c r="D231" s="1109"/>
      <c r="E231" s="1109"/>
      <c r="F231" s="1109"/>
      <c r="G231" s="1109"/>
      <c r="H231" s="353">
        <f>SUM(H232:H240)</f>
        <v>27680.9</v>
      </c>
      <c r="I231" s="353">
        <f t="shared" ref="I231:P231" si="24">SUM(I232:I240)</f>
        <v>25196.170000000002</v>
      </c>
      <c r="J231" s="353">
        <f t="shared" si="24"/>
        <v>23604.800000000003</v>
      </c>
      <c r="K231" s="353">
        <f t="shared" si="24"/>
        <v>984</v>
      </c>
      <c r="L231" s="359">
        <f t="shared" si="24"/>
        <v>26467626</v>
      </c>
      <c r="M231" s="359">
        <f t="shared" si="24"/>
        <v>0</v>
      </c>
      <c r="N231" s="359">
        <f t="shared" si="24"/>
        <v>0</v>
      </c>
      <c r="O231" s="359">
        <f t="shared" si="24"/>
        <v>26467626</v>
      </c>
      <c r="P231" s="359">
        <f t="shared" si="24"/>
        <v>0</v>
      </c>
      <c r="Q231" s="86" t="s">
        <v>40</v>
      </c>
      <c r="R231" s="86" t="s">
        <v>40</v>
      </c>
      <c r="S231" s="266">
        <v>43100</v>
      </c>
    </row>
    <row r="232" spans="1:30" s="36" customFormat="1" ht="31.5">
      <c r="A232" s="258">
        <v>13</v>
      </c>
      <c r="B232" s="354" t="s">
        <v>529</v>
      </c>
      <c r="C232" s="347">
        <v>1958</v>
      </c>
      <c r="D232" s="261"/>
      <c r="E232" s="261" t="s">
        <v>218</v>
      </c>
      <c r="F232" s="356">
        <v>2</v>
      </c>
      <c r="G232" s="356">
        <v>3</v>
      </c>
      <c r="H232" s="357">
        <v>1472.8</v>
      </c>
      <c r="I232" s="357">
        <v>1340.4</v>
      </c>
      <c r="J232" s="349">
        <v>1340.4</v>
      </c>
      <c r="K232" s="350">
        <v>35</v>
      </c>
      <c r="L232" s="264">
        <v>3993146</v>
      </c>
      <c r="M232" s="264">
        <v>0</v>
      </c>
      <c r="N232" s="264">
        <v>0</v>
      </c>
      <c r="O232" s="264">
        <f t="shared" ref="O232:O240" si="25">L232</f>
        <v>3993146</v>
      </c>
      <c r="P232" s="264">
        <v>0</v>
      </c>
      <c r="Q232" s="349">
        <f t="shared" ref="Q232:Q240" si="26">L232/I232</f>
        <v>2979.0704267382871</v>
      </c>
      <c r="R232" s="265">
        <v>7822</v>
      </c>
      <c r="S232" s="266">
        <v>43100</v>
      </c>
    </row>
    <row r="233" spans="1:30" s="1" customFormat="1" ht="31.5">
      <c r="A233" s="258">
        <f t="shared" ref="A233:A240" si="27">A232+1</f>
        <v>14</v>
      </c>
      <c r="B233" s="354" t="s">
        <v>530</v>
      </c>
      <c r="C233" s="347">
        <v>1989</v>
      </c>
      <c r="D233" s="261"/>
      <c r="E233" s="261" t="s">
        <v>218</v>
      </c>
      <c r="F233" s="356">
        <v>5</v>
      </c>
      <c r="G233" s="356">
        <v>5</v>
      </c>
      <c r="H233" s="357">
        <v>3077.7</v>
      </c>
      <c r="I233" s="357">
        <v>2760.9</v>
      </c>
      <c r="J233" s="349">
        <v>2631.3</v>
      </c>
      <c r="K233" s="350">
        <v>112</v>
      </c>
      <c r="L233" s="264">
        <v>2211975</v>
      </c>
      <c r="M233" s="264">
        <v>0</v>
      </c>
      <c r="N233" s="264">
        <v>0</v>
      </c>
      <c r="O233" s="264">
        <f t="shared" si="25"/>
        <v>2211975</v>
      </c>
      <c r="P233" s="264">
        <v>0</v>
      </c>
      <c r="Q233" s="349">
        <f t="shared" si="26"/>
        <v>801.17896338150604</v>
      </c>
      <c r="R233" s="265">
        <v>7822</v>
      </c>
      <c r="S233" s="266">
        <v>43100</v>
      </c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</row>
    <row r="234" spans="1:30" s="1" customFormat="1" ht="15.75">
      <c r="A234" s="258">
        <f t="shared" si="27"/>
        <v>15</v>
      </c>
      <c r="B234" s="354" t="s">
        <v>531</v>
      </c>
      <c r="C234" s="347">
        <v>1970</v>
      </c>
      <c r="D234" s="261"/>
      <c r="E234" s="261" t="s">
        <v>219</v>
      </c>
      <c r="F234" s="356">
        <v>5</v>
      </c>
      <c r="G234" s="356">
        <v>6</v>
      </c>
      <c r="H234" s="357">
        <v>4832.8</v>
      </c>
      <c r="I234" s="357">
        <v>4328.2</v>
      </c>
      <c r="J234" s="348">
        <v>4026.5</v>
      </c>
      <c r="K234" s="350">
        <v>157</v>
      </c>
      <c r="L234" s="264">
        <v>4161815</v>
      </c>
      <c r="M234" s="264">
        <v>0</v>
      </c>
      <c r="N234" s="264">
        <v>0</v>
      </c>
      <c r="O234" s="264">
        <f t="shared" si="25"/>
        <v>4161815</v>
      </c>
      <c r="P234" s="264">
        <v>0</v>
      </c>
      <c r="Q234" s="349">
        <f t="shared" si="26"/>
        <v>961.55792246199348</v>
      </c>
      <c r="R234" s="265">
        <v>7822</v>
      </c>
      <c r="S234" s="266">
        <v>43100</v>
      </c>
    </row>
    <row r="235" spans="1:30" s="1" customFormat="1" ht="15.75">
      <c r="A235" s="258">
        <f t="shared" si="27"/>
        <v>16</v>
      </c>
      <c r="B235" s="355" t="s">
        <v>532</v>
      </c>
      <c r="C235" s="347">
        <v>1974</v>
      </c>
      <c r="D235" s="261"/>
      <c r="E235" s="261" t="s">
        <v>219</v>
      </c>
      <c r="F235" s="356">
        <v>5</v>
      </c>
      <c r="G235" s="356">
        <v>4</v>
      </c>
      <c r="H235" s="357">
        <v>2805.2</v>
      </c>
      <c r="I235" s="357">
        <v>2696.5</v>
      </c>
      <c r="J235" s="349">
        <v>2652.7</v>
      </c>
      <c r="K235" s="350">
        <v>104</v>
      </c>
      <c r="L235" s="264">
        <v>2678707</v>
      </c>
      <c r="M235" s="264">
        <v>0</v>
      </c>
      <c r="N235" s="264">
        <v>0</v>
      </c>
      <c r="O235" s="264">
        <f t="shared" si="25"/>
        <v>2678707</v>
      </c>
      <c r="P235" s="264">
        <v>0</v>
      </c>
      <c r="Q235" s="349">
        <f t="shared" si="26"/>
        <v>993.40144631930275</v>
      </c>
      <c r="R235" s="265">
        <v>7822</v>
      </c>
      <c r="S235" s="266">
        <v>43100</v>
      </c>
    </row>
    <row r="236" spans="1:30" s="1" customFormat="1" ht="31.5">
      <c r="A236" s="258">
        <f t="shared" si="27"/>
        <v>17</v>
      </c>
      <c r="B236" s="354" t="s">
        <v>533</v>
      </c>
      <c r="C236" s="347">
        <v>1977</v>
      </c>
      <c r="D236" s="261"/>
      <c r="E236" s="261" t="s">
        <v>218</v>
      </c>
      <c r="F236" s="356">
        <v>5</v>
      </c>
      <c r="G236" s="356">
        <v>4</v>
      </c>
      <c r="H236" s="357">
        <v>2967.8</v>
      </c>
      <c r="I236" s="357">
        <v>2815.7</v>
      </c>
      <c r="J236" s="349">
        <v>2754</v>
      </c>
      <c r="K236" s="350">
        <v>117</v>
      </c>
      <c r="L236" s="264">
        <v>2783301</v>
      </c>
      <c r="M236" s="264">
        <v>0</v>
      </c>
      <c r="N236" s="264">
        <v>0</v>
      </c>
      <c r="O236" s="264">
        <f t="shared" si="25"/>
        <v>2783301</v>
      </c>
      <c r="P236" s="264">
        <v>0</v>
      </c>
      <c r="Q236" s="349">
        <f t="shared" si="26"/>
        <v>988.49344745533972</v>
      </c>
      <c r="R236" s="265">
        <v>7822</v>
      </c>
      <c r="S236" s="266">
        <v>43100</v>
      </c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</row>
    <row r="237" spans="1:30" s="1" customFormat="1" ht="31.5">
      <c r="A237" s="258">
        <f t="shared" si="27"/>
        <v>18</v>
      </c>
      <c r="B237" s="354" t="s">
        <v>534</v>
      </c>
      <c r="C237" s="347">
        <v>1960</v>
      </c>
      <c r="D237" s="261"/>
      <c r="E237" s="261" t="s">
        <v>218</v>
      </c>
      <c r="F237" s="356">
        <v>3</v>
      </c>
      <c r="G237" s="356">
        <v>3</v>
      </c>
      <c r="H237" s="357">
        <v>1944</v>
      </c>
      <c r="I237" s="357">
        <v>1776.8</v>
      </c>
      <c r="J237" s="348">
        <v>1541.1</v>
      </c>
      <c r="K237" s="350">
        <v>61</v>
      </c>
      <c r="L237" s="264">
        <v>3450795</v>
      </c>
      <c r="M237" s="264">
        <v>0</v>
      </c>
      <c r="N237" s="264">
        <v>0</v>
      </c>
      <c r="O237" s="264">
        <f t="shared" si="25"/>
        <v>3450795</v>
      </c>
      <c r="P237" s="264">
        <v>0</v>
      </c>
      <c r="Q237" s="349">
        <f t="shared" si="26"/>
        <v>1942.1403647005855</v>
      </c>
      <c r="R237" s="265">
        <v>7822</v>
      </c>
      <c r="S237" s="266">
        <v>43100</v>
      </c>
    </row>
    <row r="238" spans="1:30" s="1" customFormat="1" ht="15.75">
      <c r="A238" s="258">
        <f t="shared" si="27"/>
        <v>19</v>
      </c>
      <c r="B238" s="354" t="s">
        <v>535</v>
      </c>
      <c r="C238" s="347">
        <v>1960</v>
      </c>
      <c r="D238" s="261"/>
      <c r="E238" s="261" t="s">
        <v>538</v>
      </c>
      <c r="F238" s="356">
        <v>2</v>
      </c>
      <c r="G238" s="356">
        <v>2</v>
      </c>
      <c r="H238" s="358">
        <v>446.4</v>
      </c>
      <c r="I238" s="358">
        <v>385.37</v>
      </c>
      <c r="J238" s="349">
        <v>269.8</v>
      </c>
      <c r="K238" s="350">
        <v>15</v>
      </c>
      <c r="L238" s="264">
        <v>919216</v>
      </c>
      <c r="M238" s="264">
        <v>0</v>
      </c>
      <c r="N238" s="264">
        <v>0</v>
      </c>
      <c r="O238" s="264">
        <f t="shared" si="25"/>
        <v>919216</v>
      </c>
      <c r="P238" s="264">
        <v>0</v>
      </c>
      <c r="Q238" s="349">
        <f t="shared" si="26"/>
        <v>2385.2816773490413</v>
      </c>
      <c r="R238" s="265">
        <v>7822</v>
      </c>
      <c r="S238" s="266">
        <v>43100</v>
      </c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</row>
    <row r="239" spans="1:30" s="36" customFormat="1" ht="15.75">
      <c r="A239" s="258">
        <f t="shared" si="27"/>
        <v>20</v>
      </c>
      <c r="B239" s="354" t="s">
        <v>536</v>
      </c>
      <c r="C239" s="347">
        <v>1991</v>
      </c>
      <c r="D239" s="261"/>
      <c r="E239" s="261" t="s">
        <v>219</v>
      </c>
      <c r="F239" s="356">
        <v>5</v>
      </c>
      <c r="G239" s="356">
        <v>5</v>
      </c>
      <c r="H239" s="357">
        <v>3981.1</v>
      </c>
      <c r="I239" s="357">
        <v>3488.1</v>
      </c>
      <c r="J239" s="349">
        <v>2967.5</v>
      </c>
      <c r="K239" s="350">
        <v>140</v>
      </c>
      <c r="L239" s="264">
        <v>2376610</v>
      </c>
      <c r="M239" s="264">
        <v>0</v>
      </c>
      <c r="N239" s="264">
        <v>0</v>
      </c>
      <c r="O239" s="264">
        <f t="shared" si="25"/>
        <v>2376610</v>
      </c>
      <c r="P239" s="264">
        <v>0</v>
      </c>
      <c r="Q239" s="349">
        <f t="shared" si="26"/>
        <v>681.34801181158798</v>
      </c>
      <c r="R239" s="265">
        <v>7822</v>
      </c>
      <c r="S239" s="266">
        <v>43100</v>
      </c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</row>
    <row r="240" spans="1:30" s="37" customFormat="1" ht="31.5">
      <c r="A240" s="258">
        <f t="shared" si="27"/>
        <v>21</v>
      </c>
      <c r="B240" s="354" t="s">
        <v>537</v>
      </c>
      <c r="C240" s="347">
        <v>1991</v>
      </c>
      <c r="D240" s="261"/>
      <c r="E240" s="261" t="s">
        <v>218</v>
      </c>
      <c r="F240" s="356">
        <v>5</v>
      </c>
      <c r="G240" s="356">
        <v>6</v>
      </c>
      <c r="H240" s="357">
        <v>6153.1</v>
      </c>
      <c r="I240" s="357">
        <v>5604.2</v>
      </c>
      <c r="J240" s="349">
        <v>5421.5</v>
      </c>
      <c r="K240" s="350">
        <v>243</v>
      </c>
      <c r="L240" s="264">
        <v>3892061</v>
      </c>
      <c r="M240" s="264">
        <v>0</v>
      </c>
      <c r="N240" s="264">
        <v>0</v>
      </c>
      <c r="O240" s="264">
        <f t="shared" si="25"/>
        <v>3892061</v>
      </c>
      <c r="P240" s="264">
        <v>0</v>
      </c>
      <c r="Q240" s="349">
        <f t="shared" si="26"/>
        <v>694.49002533813928</v>
      </c>
      <c r="R240" s="265">
        <v>7822</v>
      </c>
      <c r="S240" s="266">
        <v>43100</v>
      </c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</row>
    <row r="241" spans="1:30" s="37" customFormat="1" ht="15.75">
      <c r="A241" s="258"/>
      <c r="B241" s="346"/>
      <c r="C241" s="261"/>
      <c r="D241" s="261"/>
      <c r="E241" s="261"/>
      <c r="F241" s="347"/>
      <c r="G241" s="347"/>
      <c r="H241" s="348"/>
      <c r="I241" s="348"/>
      <c r="J241" s="348"/>
      <c r="K241" s="350"/>
      <c r="L241" s="264"/>
      <c r="M241" s="264"/>
      <c r="N241" s="264"/>
      <c r="O241" s="264"/>
      <c r="P241" s="264"/>
      <c r="Q241" s="349"/>
      <c r="R241" s="265"/>
      <c r="S241" s="266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s="37" customFormat="1" ht="15.75">
      <c r="A242" s="258"/>
      <c r="B242" s="346"/>
      <c r="C242" s="261"/>
      <c r="D242" s="261"/>
      <c r="E242" s="261"/>
      <c r="F242" s="347"/>
      <c r="G242" s="347"/>
      <c r="H242" s="348"/>
      <c r="I242" s="349"/>
      <c r="J242" s="349"/>
      <c r="K242" s="350"/>
      <c r="L242" s="264"/>
      <c r="M242" s="264"/>
      <c r="N242" s="264"/>
      <c r="O242" s="264"/>
      <c r="P242" s="264"/>
      <c r="Q242" s="349"/>
      <c r="R242" s="265"/>
      <c r="S242" s="266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s="37" customFormat="1" ht="15.75">
      <c r="A243" s="258"/>
      <c r="B243" s="351"/>
      <c r="C243" s="261"/>
      <c r="D243" s="261"/>
      <c r="E243" s="261"/>
      <c r="F243" s="347"/>
      <c r="G243" s="347"/>
      <c r="H243" s="348"/>
      <c r="I243" s="349"/>
      <c r="J243" s="349"/>
      <c r="K243" s="350"/>
      <c r="L243" s="264"/>
      <c r="M243" s="264"/>
      <c r="N243" s="264"/>
      <c r="O243" s="264"/>
      <c r="P243" s="264"/>
      <c r="Q243" s="349"/>
      <c r="R243" s="265"/>
      <c r="S243" s="266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s="1" customFormat="1" ht="20.45" customHeight="1">
      <c r="A244" s="258"/>
      <c r="B244" s="1067" t="s">
        <v>123</v>
      </c>
      <c r="C244" s="1067"/>
      <c r="D244" s="1067"/>
      <c r="E244" s="1067"/>
      <c r="F244" s="1067"/>
      <c r="G244" s="1067"/>
      <c r="H244" s="296">
        <f>SUM(H245:H249)</f>
        <v>34678.06</v>
      </c>
      <c r="I244" s="296">
        <f t="shared" ref="I244:P244" si="28">SUM(I245:I249)</f>
        <v>20430.3</v>
      </c>
      <c r="J244" s="296">
        <f t="shared" si="28"/>
        <v>10666.880000000001</v>
      </c>
      <c r="K244" s="296">
        <f t="shared" si="28"/>
        <v>1002</v>
      </c>
      <c r="L244" s="592">
        <f t="shared" si="28"/>
        <v>11767484</v>
      </c>
      <c r="M244" s="592">
        <f t="shared" si="28"/>
        <v>0</v>
      </c>
      <c r="N244" s="592">
        <f t="shared" si="28"/>
        <v>0</v>
      </c>
      <c r="O244" s="592">
        <f t="shared" si="28"/>
        <v>11767484</v>
      </c>
      <c r="P244" s="592">
        <f t="shared" si="28"/>
        <v>0</v>
      </c>
      <c r="Q244" s="298" t="s">
        <v>40</v>
      </c>
      <c r="R244" s="295" t="s">
        <v>40</v>
      </c>
      <c r="S244" s="266">
        <v>43100</v>
      </c>
    </row>
    <row r="245" spans="1:30" s="1" customFormat="1" ht="33" customHeight="1">
      <c r="A245" s="258">
        <v>22</v>
      </c>
      <c r="B245" s="310" t="s">
        <v>732</v>
      </c>
      <c r="C245" s="334">
        <v>2004</v>
      </c>
      <c r="D245" s="334"/>
      <c r="E245" s="261" t="s">
        <v>734</v>
      </c>
      <c r="F245" s="295">
        <v>5</v>
      </c>
      <c r="G245" s="295">
        <v>7</v>
      </c>
      <c r="H245" s="296">
        <v>9679.56</v>
      </c>
      <c r="I245" s="295">
        <v>5484.6</v>
      </c>
      <c r="J245" s="295">
        <v>2358.38</v>
      </c>
      <c r="K245" s="337">
        <v>299</v>
      </c>
      <c r="L245" s="264">
        <v>3438972</v>
      </c>
      <c r="M245" s="264">
        <f>SUM(M246:M259)</f>
        <v>0</v>
      </c>
      <c r="N245" s="264">
        <v>0</v>
      </c>
      <c r="O245" s="264">
        <f>L245</f>
        <v>3438972</v>
      </c>
      <c r="P245" s="264">
        <v>0</v>
      </c>
      <c r="Q245" s="298">
        <f t="shared" ref="Q245:Q259" si="29">L245/I245</f>
        <v>627.02330160813915</v>
      </c>
      <c r="R245" s="265">
        <v>7822</v>
      </c>
      <c r="S245" s="266">
        <v>43100</v>
      </c>
    </row>
    <row r="246" spans="1:30" s="1" customFormat="1" ht="28.15" customHeight="1">
      <c r="A246" s="258">
        <f>A245+1</f>
        <v>23</v>
      </c>
      <c r="B246" s="310" t="s">
        <v>363</v>
      </c>
      <c r="C246" s="334">
        <v>2004</v>
      </c>
      <c r="D246" s="334"/>
      <c r="E246" s="261" t="s">
        <v>735</v>
      </c>
      <c r="F246" s="295">
        <v>5</v>
      </c>
      <c r="G246" s="295">
        <v>4</v>
      </c>
      <c r="H246" s="296">
        <v>8574.2999999999993</v>
      </c>
      <c r="I246" s="295">
        <v>4885.1000000000004</v>
      </c>
      <c r="J246" s="295">
        <v>2569.56</v>
      </c>
      <c r="K246" s="337">
        <v>269</v>
      </c>
      <c r="L246" s="264">
        <v>2804575</v>
      </c>
      <c r="M246" s="264">
        <f>SUM(M247:M260)</f>
        <v>0</v>
      </c>
      <c r="N246" s="264">
        <v>0</v>
      </c>
      <c r="O246" s="264">
        <f>L246</f>
        <v>2804575</v>
      </c>
      <c r="P246" s="264">
        <v>0</v>
      </c>
      <c r="Q246" s="298">
        <f t="shared" si="29"/>
        <v>574.10800188327767</v>
      </c>
      <c r="R246" s="265">
        <v>7822</v>
      </c>
      <c r="S246" s="266">
        <v>43100</v>
      </c>
    </row>
    <row r="247" spans="1:30" s="1" customFormat="1" ht="33" customHeight="1">
      <c r="A247" s="258">
        <f>A246+1</f>
        <v>24</v>
      </c>
      <c r="B247" s="310" t="s">
        <v>733</v>
      </c>
      <c r="C247" s="334">
        <v>1994</v>
      </c>
      <c r="D247" s="295"/>
      <c r="E247" s="261" t="s">
        <v>734</v>
      </c>
      <c r="F247" s="295">
        <v>5</v>
      </c>
      <c r="G247" s="295">
        <v>4</v>
      </c>
      <c r="H247" s="296">
        <v>5877.3</v>
      </c>
      <c r="I247" s="295">
        <v>3126.5</v>
      </c>
      <c r="J247" s="295">
        <v>1813.68</v>
      </c>
      <c r="K247" s="337">
        <v>160</v>
      </c>
      <c r="L247" s="264">
        <v>1993932</v>
      </c>
      <c r="M247" s="264">
        <f>SUM(M248:M261)</f>
        <v>0</v>
      </c>
      <c r="N247" s="264">
        <v>0</v>
      </c>
      <c r="O247" s="264">
        <f>L247</f>
        <v>1993932</v>
      </c>
      <c r="P247" s="264">
        <v>0</v>
      </c>
      <c r="Q247" s="298">
        <f t="shared" si="29"/>
        <v>637.75211898288819</v>
      </c>
      <c r="R247" s="265">
        <v>7822</v>
      </c>
      <c r="S247" s="266">
        <v>43100</v>
      </c>
    </row>
    <row r="248" spans="1:30" s="1" customFormat="1" ht="33" customHeight="1">
      <c r="A248" s="258"/>
      <c r="B248" s="310" t="s">
        <v>942</v>
      </c>
      <c r="C248" s="334">
        <v>1966</v>
      </c>
      <c r="D248" s="295"/>
      <c r="E248" s="261" t="s">
        <v>218</v>
      </c>
      <c r="F248" s="295">
        <v>5</v>
      </c>
      <c r="G248" s="295">
        <v>4</v>
      </c>
      <c r="H248" s="296">
        <v>5298</v>
      </c>
      <c r="I248" s="295">
        <v>3567.1</v>
      </c>
      <c r="J248" s="295">
        <v>1608.76</v>
      </c>
      <c r="K248" s="337">
        <v>96</v>
      </c>
      <c r="L248" s="264">
        <v>1656223</v>
      </c>
      <c r="M248" s="264">
        <v>0</v>
      </c>
      <c r="N248" s="264">
        <v>0</v>
      </c>
      <c r="O248" s="264">
        <v>1656223</v>
      </c>
      <c r="P248" s="264">
        <v>0</v>
      </c>
      <c r="Q248" s="298">
        <f t="shared" si="29"/>
        <v>464.30517787558523</v>
      </c>
      <c r="R248" s="265">
        <v>7822</v>
      </c>
      <c r="S248" s="266">
        <v>43100</v>
      </c>
    </row>
    <row r="249" spans="1:30" s="1" customFormat="1" ht="33" customHeight="1">
      <c r="A249" s="258"/>
      <c r="B249" s="310" t="s">
        <v>357</v>
      </c>
      <c r="C249" s="334">
        <v>1964</v>
      </c>
      <c r="D249" s="295"/>
      <c r="E249" s="261" t="s">
        <v>218</v>
      </c>
      <c r="F249" s="295">
        <v>5</v>
      </c>
      <c r="G249" s="295">
        <v>4</v>
      </c>
      <c r="H249" s="296">
        <v>5248.9</v>
      </c>
      <c r="I249" s="295">
        <v>3367</v>
      </c>
      <c r="J249" s="295">
        <v>2316.5</v>
      </c>
      <c r="K249" s="337">
        <v>178</v>
      </c>
      <c r="L249" s="264">
        <v>1873782</v>
      </c>
      <c r="M249" s="264">
        <v>0</v>
      </c>
      <c r="N249" s="264">
        <v>0</v>
      </c>
      <c r="O249" s="264">
        <v>1873782</v>
      </c>
      <c r="P249" s="264">
        <v>0</v>
      </c>
      <c r="Q249" s="298">
        <f t="shared" si="29"/>
        <v>556.51381051381054</v>
      </c>
      <c r="R249" s="265">
        <v>7822</v>
      </c>
      <c r="S249" s="266">
        <v>43100</v>
      </c>
    </row>
    <row r="250" spans="1:30" s="1" customFormat="1" ht="15.75">
      <c r="A250" s="258"/>
      <c r="B250" s="310"/>
      <c r="C250" s="334"/>
      <c r="D250" s="295"/>
      <c r="E250" s="261"/>
      <c r="F250" s="295"/>
      <c r="G250" s="295"/>
      <c r="H250" s="296"/>
      <c r="I250" s="295"/>
      <c r="J250" s="295"/>
      <c r="K250" s="337"/>
      <c r="L250" s="264"/>
      <c r="M250" s="264"/>
      <c r="N250" s="264"/>
      <c r="O250" s="264"/>
      <c r="P250" s="264"/>
      <c r="Q250" s="298"/>
      <c r="R250" s="265"/>
      <c r="S250" s="266">
        <v>43100</v>
      </c>
    </row>
    <row r="251" spans="1:30" s="1" customFormat="1" ht="15.75">
      <c r="A251" s="258"/>
      <c r="B251" s="310"/>
      <c r="C251" s="567"/>
      <c r="D251" s="295"/>
      <c r="E251" s="261"/>
      <c r="F251" s="295"/>
      <c r="G251" s="295"/>
      <c r="H251" s="296"/>
      <c r="I251" s="295"/>
      <c r="J251" s="295"/>
      <c r="K251" s="337"/>
      <c r="L251" s="264"/>
      <c r="M251" s="264"/>
      <c r="N251" s="264"/>
      <c r="O251" s="264"/>
      <c r="P251" s="264"/>
      <c r="Q251" s="298"/>
      <c r="R251" s="265"/>
      <c r="S251" s="266">
        <v>43100</v>
      </c>
    </row>
    <row r="252" spans="1:30" s="1" customFormat="1" ht="15.75">
      <c r="A252" s="258"/>
      <c r="B252" s="310"/>
      <c r="C252" s="567"/>
      <c r="D252" s="295"/>
      <c r="E252" s="261"/>
      <c r="F252" s="295"/>
      <c r="G252" s="295"/>
      <c r="H252" s="296"/>
      <c r="I252" s="295"/>
      <c r="J252" s="295"/>
      <c r="K252" s="337"/>
      <c r="L252" s="264"/>
      <c r="M252" s="264"/>
      <c r="N252" s="264"/>
      <c r="O252" s="264"/>
      <c r="P252" s="264"/>
      <c r="Q252" s="298"/>
      <c r="R252" s="265"/>
      <c r="S252" s="266">
        <v>43100</v>
      </c>
    </row>
    <row r="253" spans="1:30" s="1" customFormat="1" ht="15.75">
      <c r="A253" s="258"/>
      <c r="B253" s="310"/>
      <c r="C253" s="334"/>
      <c r="D253" s="295"/>
      <c r="E253" s="261"/>
      <c r="F253" s="295"/>
      <c r="G253" s="295"/>
      <c r="H253" s="296"/>
      <c r="I253" s="295"/>
      <c r="J253" s="295"/>
      <c r="K253" s="337"/>
      <c r="L253" s="264"/>
      <c r="M253" s="264"/>
      <c r="N253" s="264"/>
      <c r="O253" s="264"/>
      <c r="P253" s="264"/>
      <c r="Q253" s="298"/>
      <c r="R253" s="381"/>
      <c r="S253" s="266">
        <v>43100</v>
      </c>
    </row>
    <row r="254" spans="1:30" s="1" customFormat="1" ht="15.75">
      <c r="A254" s="258"/>
      <c r="B254" s="310"/>
      <c r="C254" s="334"/>
      <c r="D254" s="295"/>
      <c r="E254" s="261"/>
      <c r="F254" s="295"/>
      <c r="G254" s="295"/>
      <c r="H254" s="296"/>
      <c r="I254" s="295"/>
      <c r="J254" s="295"/>
      <c r="K254" s="337"/>
      <c r="L254" s="264"/>
      <c r="M254" s="264"/>
      <c r="N254" s="264"/>
      <c r="O254" s="264"/>
      <c r="P254" s="264"/>
      <c r="Q254" s="298"/>
      <c r="R254" s="265"/>
      <c r="S254" s="266">
        <v>43100</v>
      </c>
    </row>
    <row r="255" spans="1:30" s="1" customFormat="1" ht="15.75">
      <c r="A255" s="258"/>
      <c r="B255" s="310"/>
      <c r="C255" s="334"/>
      <c r="D255" s="295"/>
      <c r="E255" s="261"/>
      <c r="F255" s="295"/>
      <c r="G255" s="295"/>
      <c r="H255" s="296"/>
      <c r="I255" s="295"/>
      <c r="J255" s="295"/>
      <c r="K255" s="337"/>
      <c r="L255" s="264"/>
      <c r="M255" s="264"/>
      <c r="N255" s="264"/>
      <c r="O255" s="264"/>
      <c r="P255" s="264"/>
      <c r="Q255" s="298"/>
      <c r="R255" s="265"/>
      <c r="S255" s="266">
        <v>43100</v>
      </c>
    </row>
    <row r="256" spans="1:30" s="1" customFormat="1" ht="15.75">
      <c r="A256" s="258"/>
      <c r="B256" s="310"/>
      <c r="C256" s="334"/>
      <c r="D256" s="295"/>
      <c r="E256" s="261"/>
      <c r="F256" s="295"/>
      <c r="G256" s="295"/>
      <c r="H256" s="296"/>
      <c r="I256" s="295"/>
      <c r="J256" s="295"/>
      <c r="K256" s="337"/>
      <c r="L256" s="264"/>
      <c r="M256" s="264"/>
      <c r="N256" s="264"/>
      <c r="O256" s="264"/>
      <c r="P256" s="264"/>
      <c r="Q256" s="298"/>
      <c r="R256" s="265"/>
      <c r="S256" s="266">
        <v>43100</v>
      </c>
    </row>
    <row r="257" spans="1:19" s="1" customFormat="1" ht="35.450000000000003" customHeight="1">
      <c r="A257" s="258"/>
      <c r="B257" s="1067" t="s">
        <v>864</v>
      </c>
      <c r="C257" s="1067"/>
      <c r="D257" s="1067"/>
      <c r="E257" s="1067"/>
      <c r="F257" s="1067"/>
      <c r="G257" s="1067"/>
      <c r="H257" s="296">
        <f>H258+H259</f>
        <v>4284.7</v>
      </c>
      <c r="I257" s="296">
        <f t="shared" ref="I257:P257" si="30">I258+I259</f>
        <v>3030.4</v>
      </c>
      <c r="J257" s="296">
        <f t="shared" si="30"/>
        <v>2763.5</v>
      </c>
      <c r="K257" s="296">
        <f t="shared" si="30"/>
        <v>97</v>
      </c>
      <c r="L257" s="592">
        <f t="shared" si="30"/>
        <v>2812692</v>
      </c>
      <c r="M257" s="592">
        <f t="shared" si="30"/>
        <v>0</v>
      </c>
      <c r="N257" s="592">
        <f t="shared" si="30"/>
        <v>0</v>
      </c>
      <c r="O257" s="592">
        <f t="shared" si="30"/>
        <v>2812692</v>
      </c>
      <c r="P257" s="592">
        <f t="shared" si="30"/>
        <v>0</v>
      </c>
      <c r="Q257" s="298" t="s">
        <v>40</v>
      </c>
      <c r="R257" s="295" t="s">
        <v>40</v>
      </c>
      <c r="S257" s="266">
        <v>43100</v>
      </c>
    </row>
    <row r="258" spans="1:19" s="1" customFormat="1" ht="31.5">
      <c r="A258" s="258"/>
      <c r="B258" s="310" t="s">
        <v>865</v>
      </c>
      <c r="C258" s="334">
        <v>1961</v>
      </c>
      <c r="D258" s="295"/>
      <c r="E258" s="261" t="s">
        <v>218</v>
      </c>
      <c r="F258" s="295">
        <v>3</v>
      </c>
      <c r="G258" s="295">
        <v>3</v>
      </c>
      <c r="H258" s="296">
        <v>2106.6999999999998</v>
      </c>
      <c r="I258" s="295">
        <v>1512.5</v>
      </c>
      <c r="J258" s="295">
        <v>1432</v>
      </c>
      <c r="K258" s="337">
        <v>50</v>
      </c>
      <c r="L258" s="264">
        <v>1914360</v>
      </c>
      <c r="M258" s="264">
        <v>0</v>
      </c>
      <c r="N258" s="264">
        <v>0</v>
      </c>
      <c r="O258" s="264">
        <v>1914360</v>
      </c>
      <c r="P258" s="264">
        <v>0</v>
      </c>
      <c r="Q258" s="298">
        <f t="shared" si="29"/>
        <v>1265.692561983471</v>
      </c>
      <c r="R258" s="265">
        <v>7822</v>
      </c>
      <c r="S258" s="266">
        <v>43100</v>
      </c>
    </row>
    <row r="259" spans="1:19" s="1" customFormat="1" ht="31.5">
      <c r="A259" s="258"/>
      <c r="B259" s="310" t="s">
        <v>866</v>
      </c>
      <c r="C259" s="334">
        <v>1963</v>
      </c>
      <c r="D259" s="295"/>
      <c r="E259" s="261" t="s">
        <v>218</v>
      </c>
      <c r="F259" s="295">
        <v>3</v>
      </c>
      <c r="G259" s="295">
        <v>3</v>
      </c>
      <c r="H259" s="296">
        <v>2178</v>
      </c>
      <c r="I259" s="295">
        <v>1517.9</v>
      </c>
      <c r="J259" s="295">
        <v>1331.5</v>
      </c>
      <c r="K259" s="337">
        <v>47</v>
      </c>
      <c r="L259" s="264">
        <v>898332</v>
      </c>
      <c r="M259" s="264">
        <v>0</v>
      </c>
      <c r="N259" s="264">
        <v>0</v>
      </c>
      <c r="O259" s="264">
        <v>898332</v>
      </c>
      <c r="P259" s="264">
        <v>0</v>
      </c>
      <c r="Q259" s="298">
        <f t="shared" si="29"/>
        <v>591.82554845510242</v>
      </c>
      <c r="R259" s="265">
        <v>7822</v>
      </c>
      <c r="S259" s="266">
        <v>43100</v>
      </c>
    </row>
    <row r="260" spans="1:19" s="13" customFormat="1" ht="28.15" customHeight="1">
      <c r="A260" s="258"/>
      <c r="B260" s="1067" t="s">
        <v>72</v>
      </c>
      <c r="C260" s="1067"/>
      <c r="D260" s="1067"/>
      <c r="E260" s="1067"/>
      <c r="F260" s="1067"/>
      <c r="G260" s="1067"/>
      <c r="H260" s="296">
        <f>H261</f>
        <v>3033.7</v>
      </c>
      <c r="I260" s="295">
        <f t="shared" ref="I260:R260" si="31">I261</f>
        <v>2730.3</v>
      </c>
      <c r="J260" s="295">
        <f t="shared" si="31"/>
        <v>2430.5</v>
      </c>
      <c r="K260" s="297">
        <f t="shared" si="31"/>
        <v>100</v>
      </c>
      <c r="L260" s="264">
        <f t="shared" si="31"/>
        <v>5868972</v>
      </c>
      <c r="M260" s="264">
        <f t="shared" si="31"/>
        <v>0</v>
      </c>
      <c r="N260" s="264">
        <f t="shared" si="31"/>
        <v>0</v>
      </c>
      <c r="O260" s="264">
        <f t="shared" si="31"/>
        <v>5868972</v>
      </c>
      <c r="P260" s="264">
        <f t="shared" si="31"/>
        <v>0</v>
      </c>
      <c r="Q260" s="298" t="str">
        <f t="shared" si="31"/>
        <v>Х</v>
      </c>
      <c r="R260" s="295" t="str">
        <f t="shared" si="31"/>
        <v>Х</v>
      </c>
      <c r="S260" s="266">
        <v>43100</v>
      </c>
    </row>
    <row r="261" spans="1:19" s="13" customFormat="1" ht="24.6" customHeight="1">
      <c r="A261" s="258"/>
      <c r="B261" s="1067" t="s">
        <v>95</v>
      </c>
      <c r="C261" s="1067"/>
      <c r="D261" s="1067"/>
      <c r="E261" s="1067"/>
      <c r="F261" s="1067"/>
      <c r="G261" s="1067"/>
      <c r="H261" s="296">
        <f>SUM(H262:H268)</f>
        <v>3033.7</v>
      </c>
      <c r="I261" s="296">
        <f t="shared" ref="I261:P261" si="32">SUM(I262:I268)</f>
        <v>2730.3</v>
      </c>
      <c r="J261" s="296">
        <f t="shared" si="32"/>
        <v>2430.5</v>
      </c>
      <c r="K261" s="296">
        <f t="shared" si="32"/>
        <v>100</v>
      </c>
      <c r="L261" s="734">
        <f t="shared" si="32"/>
        <v>5868972</v>
      </c>
      <c r="M261" s="734">
        <f t="shared" si="32"/>
        <v>0</v>
      </c>
      <c r="N261" s="734">
        <f t="shared" si="32"/>
        <v>0</v>
      </c>
      <c r="O261" s="734">
        <f t="shared" si="32"/>
        <v>5868972</v>
      </c>
      <c r="P261" s="734">
        <f t="shared" si="32"/>
        <v>0</v>
      </c>
      <c r="Q261" s="298" t="s">
        <v>40</v>
      </c>
      <c r="R261" s="334" t="s">
        <v>40</v>
      </c>
      <c r="S261" s="266">
        <v>43100</v>
      </c>
    </row>
    <row r="262" spans="1:19" s="1" customFormat="1" ht="22.9" customHeight="1">
      <c r="A262" s="258">
        <v>25</v>
      </c>
      <c r="B262" s="287" t="s">
        <v>619</v>
      </c>
      <c r="C262" s="260">
        <v>1972</v>
      </c>
      <c r="D262" s="260"/>
      <c r="E262" s="261" t="s">
        <v>220</v>
      </c>
      <c r="F262" s="260">
        <v>2</v>
      </c>
      <c r="G262" s="260">
        <v>1</v>
      </c>
      <c r="H262" s="262">
        <v>351.8</v>
      </c>
      <c r="I262" s="260">
        <v>351.1</v>
      </c>
      <c r="J262" s="309">
        <v>351.1</v>
      </c>
      <c r="K262" s="263">
        <v>11</v>
      </c>
      <c r="L262" s="264">
        <v>620394</v>
      </c>
      <c r="M262" s="264">
        <v>0</v>
      </c>
      <c r="N262" s="264">
        <v>0</v>
      </c>
      <c r="O262" s="264">
        <f t="shared" ref="O262:O268" si="33">L262</f>
        <v>620394</v>
      </c>
      <c r="P262" s="264">
        <v>0</v>
      </c>
      <c r="Q262" s="265">
        <f t="shared" ref="Q262:Q268" si="34">L262/I262</f>
        <v>1767.0008544574193</v>
      </c>
      <c r="R262" s="531">
        <v>7822</v>
      </c>
      <c r="S262" s="266">
        <v>43100</v>
      </c>
    </row>
    <row r="263" spans="1:19" s="1" customFormat="1" ht="29.45" customHeight="1">
      <c r="A263" s="258">
        <f>A262+1</f>
        <v>26</v>
      </c>
      <c r="B263" s="287" t="s">
        <v>620</v>
      </c>
      <c r="C263" s="260">
        <v>1969</v>
      </c>
      <c r="D263" s="260"/>
      <c r="E263" s="261" t="s">
        <v>220</v>
      </c>
      <c r="F263" s="260">
        <v>2</v>
      </c>
      <c r="G263" s="260">
        <v>1</v>
      </c>
      <c r="H263" s="262">
        <v>363.6</v>
      </c>
      <c r="I263" s="260">
        <v>336</v>
      </c>
      <c r="J263" s="309">
        <v>336</v>
      </c>
      <c r="K263" s="263">
        <v>11</v>
      </c>
      <c r="L263" s="264">
        <v>620324</v>
      </c>
      <c r="M263" s="264">
        <v>0</v>
      </c>
      <c r="N263" s="264">
        <v>0</v>
      </c>
      <c r="O263" s="264">
        <f t="shared" si="33"/>
        <v>620324</v>
      </c>
      <c r="P263" s="264">
        <v>0</v>
      </c>
      <c r="Q263" s="265">
        <f t="shared" si="34"/>
        <v>1846.202380952381</v>
      </c>
      <c r="R263" s="531">
        <v>7822</v>
      </c>
      <c r="S263" s="266">
        <v>43100</v>
      </c>
    </row>
    <row r="264" spans="1:19" s="1" customFormat="1" ht="31.5">
      <c r="A264" s="258">
        <f>A263+1</f>
        <v>27</v>
      </c>
      <c r="B264" s="287" t="s">
        <v>621</v>
      </c>
      <c r="C264" s="260">
        <v>1971</v>
      </c>
      <c r="D264" s="260"/>
      <c r="E264" s="261" t="s">
        <v>218</v>
      </c>
      <c r="F264" s="260">
        <v>2</v>
      </c>
      <c r="G264" s="260">
        <v>2</v>
      </c>
      <c r="H264" s="262">
        <v>520.6</v>
      </c>
      <c r="I264" s="260">
        <v>466</v>
      </c>
      <c r="J264" s="260">
        <v>466</v>
      </c>
      <c r="K264" s="263">
        <v>18</v>
      </c>
      <c r="L264" s="264">
        <v>626838</v>
      </c>
      <c r="M264" s="264">
        <v>0</v>
      </c>
      <c r="N264" s="264">
        <v>0</v>
      </c>
      <c r="O264" s="264">
        <f t="shared" si="33"/>
        <v>626838</v>
      </c>
      <c r="P264" s="264">
        <v>0</v>
      </c>
      <c r="Q264" s="265">
        <f t="shared" si="34"/>
        <v>1345.145922746781</v>
      </c>
      <c r="R264" s="265">
        <v>7822</v>
      </c>
      <c r="S264" s="266">
        <v>43100</v>
      </c>
    </row>
    <row r="265" spans="1:19" s="1" customFormat="1" ht="31.5">
      <c r="A265" s="258">
        <f>A264+1</f>
        <v>28</v>
      </c>
      <c r="B265" s="287" t="s">
        <v>622</v>
      </c>
      <c r="C265" s="260">
        <v>1966</v>
      </c>
      <c r="D265" s="260"/>
      <c r="E265" s="261" t="s">
        <v>218</v>
      </c>
      <c r="F265" s="260">
        <v>2</v>
      </c>
      <c r="G265" s="260">
        <v>2</v>
      </c>
      <c r="H265" s="262">
        <v>604.4</v>
      </c>
      <c r="I265" s="260">
        <v>545.6</v>
      </c>
      <c r="J265" s="260">
        <v>506.9</v>
      </c>
      <c r="K265" s="263">
        <v>26</v>
      </c>
      <c r="L265" s="264">
        <v>2055193</v>
      </c>
      <c r="M265" s="264">
        <v>0</v>
      </c>
      <c r="N265" s="264">
        <v>0</v>
      </c>
      <c r="O265" s="264">
        <f t="shared" si="33"/>
        <v>2055193</v>
      </c>
      <c r="P265" s="264">
        <v>0</v>
      </c>
      <c r="Q265" s="265">
        <f t="shared" si="34"/>
        <v>3766.8493401759529</v>
      </c>
      <c r="R265" s="265">
        <v>7822</v>
      </c>
      <c r="S265" s="266">
        <v>43100</v>
      </c>
    </row>
    <row r="266" spans="1:19" s="1" customFormat="1" ht="31.5">
      <c r="A266" s="258">
        <f>A265+1</f>
        <v>29</v>
      </c>
      <c r="B266" s="287" t="s">
        <v>392</v>
      </c>
      <c r="C266" s="260">
        <v>1962</v>
      </c>
      <c r="D266" s="260"/>
      <c r="E266" s="261" t="s">
        <v>218</v>
      </c>
      <c r="F266" s="260">
        <v>2</v>
      </c>
      <c r="G266" s="260">
        <v>1</v>
      </c>
      <c r="H266" s="262">
        <v>342.6</v>
      </c>
      <c r="I266" s="260">
        <v>307.39999999999998</v>
      </c>
      <c r="J266" s="260">
        <v>237.3</v>
      </c>
      <c r="K266" s="263">
        <v>15</v>
      </c>
      <c r="L266" s="264">
        <v>626290</v>
      </c>
      <c r="M266" s="264">
        <v>0</v>
      </c>
      <c r="N266" s="264">
        <v>0</v>
      </c>
      <c r="O266" s="264">
        <f t="shared" si="33"/>
        <v>626290</v>
      </c>
      <c r="P266" s="264">
        <v>0</v>
      </c>
      <c r="Q266" s="265">
        <f t="shared" si="34"/>
        <v>2037.3780091086533</v>
      </c>
      <c r="R266" s="265">
        <v>7822</v>
      </c>
      <c r="S266" s="266">
        <v>43100</v>
      </c>
    </row>
    <row r="267" spans="1:19" s="1" customFormat="1" ht="31.5">
      <c r="A267" s="258">
        <f>A266+1</f>
        <v>30</v>
      </c>
      <c r="B267" s="287" t="s">
        <v>623</v>
      </c>
      <c r="C267" s="260">
        <v>1962</v>
      </c>
      <c r="D267" s="260"/>
      <c r="E267" s="261" t="s">
        <v>218</v>
      </c>
      <c r="F267" s="260">
        <v>2</v>
      </c>
      <c r="G267" s="260">
        <v>1</v>
      </c>
      <c r="H267" s="262">
        <v>416.7</v>
      </c>
      <c r="I267" s="260">
        <v>327.8</v>
      </c>
      <c r="J267" s="260">
        <v>136.80000000000001</v>
      </c>
      <c r="K267" s="263">
        <v>7</v>
      </c>
      <c r="L267" s="264">
        <v>555216</v>
      </c>
      <c r="M267" s="264">
        <v>0</v>
      </c>
      <c r="N267" s="264">
        <v>0</v>
      </c>
      <c r="O267" s="264">
        <f t="shared" si="33"/>
        <v>555216</v>
      </c>
      <c r="P267" s="264">
        <v>0</v>
      </c>
      <c r="Q267" s="265">
        <f t="shared" si="34"/>
        <v>1693.7644905430141</v>
      </c>
      <c r="R267" s="265">
        <v>7822</v>
      </c>
      <c r="S267" s="266">
        <v>43100</v>
      </c>
    </row>
    <row r="268" spans="1:19" s="1" customFormat="1" ht="31.5">
      <c r="A268" s="258">
        <v>31</v>
      </c>
      <c r="B268" s="287" t="s">
        <v>628</v>
      </c>
      <c r="C268" s="260">
        <v>1966</v>
      </c>
      <c r="D268" s="260"/>
      <c r="E268" s="261" t="s">
        <v>218</v>
      </c>
      <c r="F268" s="260">
        <v>2</v>
      </c>
      <c r="G268" s="260">
        <v>2</v>
      </c>
      <c r="H268" s="262">
        <v>434</v>
      </c>
      <c r="I268" s="260">
        <v>396.4</v>
      </c>
      <c r="J268" s="309">
        <v>396.4</v>
      </c>
      <c r="K268" s="263">
        <v>12</v>
      </c>
      <c r="L268" s="264">
        <v>764717</v>
      </c>
      <c r="M268" s="264">
        <v>0</v>
      </c>
      <c r="N268" s="264">
        <v>0</v>
      </c>
      <c r="O268" s="264">
        <f t="shared" si="33"/>
        <v>764717</v>
      </c>
      <c r="P268" s="264">
        <v>0</v>
      </c>
      <c r="Q268" s="265">
        <f t="shared" si="34"/>
        <v>1929.1548940464179</v>
      </c>
      <c r="R268" s="265">
        <v>7822</v>
      </c>
      <c r="S268" s="266">
        <v>43100</v>
      </c>
    </row>
    <row r="269" spans="1:19" s="1" customFormat="1" ht="15.75" customHeight="1">
      <c r="A269" s="87"/>
      <c r="B269" s="1105" t="s">
        <v>41</v>
      </c>
      <c r="C269" s="1105"/>
      <c r="D269" s="1105"/>
      <c r="E269" s="1105"/>
      <c r="F269" s="1105"/>
      <c r="G269" s="1105"/>
      <c r="H269" s="90">
        <f>H270</f>
        <v>21724.199999999997</v>
      </c>
      <c r="I269" s="90">
        <f t="shared" ref="I269:P269" si="35">I270</f>
        <v>17960.030000000002</v>
      </c>
      <c r="J269" s="90">
        <f t="shared" si="35"/>
        <v>16982.93</v>
      </c>
      <c r="K269" s="91">
        <f t="shared" si="35"/>
        <v>832</v>
      </c>
      <c r="L269" s="92">
        <f t="shared" si="35"/>
        <v>22562280</v>
      </c>
      <c r="M269" s="92">
        <f t="shared" si="35"/>
        <v>0</v>
      </c>
      <c r="N269" s="92">
        <f t="shared" si="35"/>
        <v>0</v>
      </c>
      <c r="O269" s="92">
        <f t="shared" si="35"/>
        <v>22562280</v>
      </c>
      <c r="P269" s="92">
        <f t="shared" si="35"/>
        <v>0</v>
      </c>
      <c r="Q269" s="93" t="s">
        <v>40</v>
      </c>
      <c r="R269" s="105" t="s">
        <v>40</v>
      </c>
      <c r="S269" s="266">
        <v>43100</v>
      </c>
    </row>
    <row r="270" spans="1:19" s="1" customFormat="1" ht="30.6" customHeight="1">
      <c r="A270" s="87"/>
      <c r="B270" s="1106" t="s">
        <v>96</v>
      </c>
      <c r="C270" s="1106"/>
      <c r="D270" s="1105"/>
      <c r="E270" s="1105"/>
      <c r="F270" s="1106"/>
      <c r="G270" s="1106"/>
      <c r="H270" s="551">
        <f t="shared" ref="H270:P270" si="36">SUM(H271:H280)</f>
        <v>21724.199999999997</v>
      </c>
      <c r="I270" s="551">
        <f t="shared" si="36"/>
        <v>17960.030000000002</v>
      </c>
      <c r="J270" s="551">
        <f t="shared" si="36"/>
        <v>16982.93</v>
      </c>
      <c r="K270" s="91">
        <f t="shared" si="36"/>
        <v>832</v>
      </c>
      <c r="L270" s="580">
        <f t="shared" si="36"/>
        <v>22562280</v>
      </c>
      <c r="M270" s="92">
        <f t="shared" si="36"/>
        <v>0</v>
      </c>
      <c r="N270" s="92">
        <f t="shared" si="36"/>
        <v>0</v>
      </c>
      <c r="O270" s="92">
        <f t="shared" si="36"/>
        <v>22562280</v>
      </c>
      <c r="P270" s="92">
        <f t="shared" si="36"/>
        <v>0</v>
      </c>
      <c r="Q270" s="93" t="s">
        <v>40</v>
      </c>
      <c r="R270" s="105" t="s">
        <v>40</v>
      </c>
      <c r="S270" s="266">
        <v>43100</v>
      </c>
    </row>
    <row r="271" spans="1:19" s="1" customFormat="1" ht="31.5">
      <c r="A271" s="554">
        <f>A2517+1</f>
        <v>1</v>
      </c>
      <c r="B271" s="680" t="s">
        <v>813</v>
      </c>
      <c r="C271" s="681">
        <v>1966</v>
      </c>
      <c r="D271" s="679"/>
      <c r="E271" s="534" t="s">
        <v>218</v>
      </c>
      <c r="F271" s="686">
        <v>5</v>
      </c>
      <c r="G271" s="686">
        <v>2</v>
      </c>
      <c r="H271" s="684">
        <v>2171.1999999999998</v>
      </c>
      <c r="I271" s="684">
        <v>1607.3</v>
      </c>
      <c r="J271" s="684">
        <f>I271-30.6</f>
        <v>1576.7</v>
      </c>
      <c r="K271" s="687">
        <v>64</v>
      </c>
      <c r="L271" s="690">
        <v>2342562</v>
      </c>
      <c r="M271" s="578">
        <v>0</v>
      </c>
      <c r="N271" s="92">
        <v>0</v>
      </c>
      <c r="O271" s="92">
        <f>L271</f>
        <v>2342562</v>
      </c>
      <c r="P271" s="92">
        <v>0</v>
      </c>
      <c r="Q271" s="93">
        <f t="shared" ref="Q271:Q280" si="37">L271/I271</f>
        <v>1457.4516269520313</v>
      </c>
      <c r="R271" s="93">
        <v>7822</v>
      </c>
      <c r="S271" s="266">
        <v>43100</v>
      </c>
    </row>
    <row r="272" spans="1:19" s="1" customFormat="1" ht="31.5">
      <c r="A272" s="554">
        <f>A271+1</f>
        <v>2</v>
      </c>
      <c r="B272" s="680" t="s">
        <v>814</v>
      </c>
      <c r="C272" s="681">
        <v>1933</v>
      </c>
      <c r="D272" s="679"/>
      <c r="E272" s="534" t="s">
        <v>218</v>
      </c>
      <c r="F272" s="686">
        <v>3</v>
      </c>
      <c r="G272" s="686">
        <v>3</v>
      </c>
      <c r="H272" s="684">
        <v>2335.1</v>
      </c>
      <c r="I272" s="684">
        <v>1526.5</v>
      </c>
      <c r="J272" s="684">
        <f>I272-173.6</f>
        <v>1352.9</v>
      </c>
      <c r="K272" s="687">
        <v>90</v>
      </c>
      <c r="L272" s="690">
        <v>2815415</v>
      </c>
      <c r="M272" s="578">
        <v>0</v>
      </c>
      <c r="N272" s="92">
        <v>0</v>
      </c>
      <c r="O272" s="92">
        <f t="shared" ref="O272:O278" si="38">L272</f>
        <v>2815415</v>
      </c>
      <c r="P272" s="92">
        <v>0</v>
      </c>
      <c r="Q272" s="93">
        <f t="shared" si="37"/>
        <v>1844.3596462495905</v>
      </c>
      <c r="R272" s="93">
        <v>7822</v>
      </c>
      <c r="S272" s="266">
        <v>43100</v>
      </c>
    </row>
    <row r="273" spans="1:34" s="1" customFormat="1" ht="31.5">
      <c r="A273" s="554">
        <f>A272+1</f>
        <v>3</v>
      </c>
      <c r="B273" s="680" t="s">
        <v>815</v>
      </c>
      <c r="C273" s="681">
        <v>1964</v>
      </c>
      <c r="D273" s="679"/>
      <c r="E273" s="534" t="s">
        <v>218</v>
      </c>
      <c r="F273" s="686">
        <v>5</v>
      </c>
      <c r="G273" s="686">
        <v>4</v>
      </c>
      <c r="H273" s="684">
        <v>5031</v>
      </c>
      <c r="I273" s="684">
        <v>3189.4</v>
      </c>
      <c r="J273" s="684">
        <f>I273-83.7</f>
        <v>3105.7000000000003</v>
      </c>
      <c r="K273" s="687">
        <v>112</v>
      </c>
      <c r="L273" s="690">
        <v>3917668</v>
      </c>
      <c r="M273" s="578">
        <v>0</v>
      </c>
      <c r="N273" s="92">
        <v>0</v>
      </c>
      <c r="O273" s="92">
        <f t="shared" si="38"/>
        <v>3917668</v>
      </c>
      <c r="P273" s="92">
        <v>0</v>
      </c>
      <c r="Q273" s="93">
        <f t="shared" si="37"/>
        <v>1228.340126669593</v>
      </c>
      <c r="R273" s="93">
        <v>7822</v>
      </c>
      <c r="S273" s="266">
        <v>43100</v>
      </c>
    </row>
    <row r="274" spans="1:34" s="1" customFormat="1" ht="31.5">
      <c r="A274" s="554">
        <v>4</v>
      </c>
      <c r="B274" s="680" t="s">
        <v>816</v>
      </c>
      <c r="C274" s="681">
        <v>1990</v>
      </c>
      <c r="D274" s="679"/>
      <c r="E274" s="534" t="s">
        <v>218</v>
      </c>
      <c r="F274" s="686">
        <v>5</v>
      </c>
      <c r="G274" s="686">
        <v>6</v>
      </c>
      <c r="H274" s="684">
        <v>4196.8999999999996</v>
      </c>
      <c r="I274" s="684">
        <v>4190</v>
      </c>
      <c r="J274" s="684">
        <f>I274-170.3</f>
        <v>4019.7</v>
      </c>
      <c r="K274" s="687">
        <v>204</v>
      </c>
      <c r="L274" s="690">
        <v>3136577</v>
      </c>
      <c r="M274" s="578">
        <v>0</v>
      </c>
      <c r="N274" s="92">
        <v>0</v>
      </c>
      <c r="O274" s="92">
        <f t="shared" si="38"/>
        <v>3136577</v>
      </c>
      <c r="P274" s="92">
        <v>0</v>
      </c>
      <c r="Q274" s="93">
        <f t="shared" si="37"/>
        <v>748.5863961813842</v>
      </c>
      <c r="R274" s="93">
        <v>7822</v>
      </c>
      <c r="S274" s="266">
        <v>43100</v>
      </c>
    </row>
    <row r="275" spans="1:34" s="1" customFormat="1" ht="31.5">
      <c r="A275" s="554">
        <f>A274+1</f>
        <v>5</v>
      </c>
      <c r="B275" s="680" t="s">
        <v>817</v>
      </c>
      <c r="C275" s="681"/>
      <c r="D275" s="679"/>
      <c r="E275" s="534" t="s">
        <v>218</v>
      </c>
      <c r="F275" s="686">
        <v>2</v>
      </c>
      <c r="G275" s="686">
        <v>2</v>
      </c>
      <c r="H275" s="684">
        <v>587.9</v>
      </c>
      <c r="I275" s="684">
        <v>541.4</v>
      </c>
      <c r="J275" s="684">
        <f>I275-226.8</f>
        <v>314.59999999999997</v>
      </c>
      <c r="K275" s="687">
        <v>42</v>
      </c>
      <c r="L275" s="690">
        <v>1046329</v>
      </c>
      <c r="M275" s="578">
        <v>0</v>
      </c>
      <c r="N275" s="92">
        <v>0</v>
      </c>
      <c r="O275" s="92">
        <f t="shared" si="38"/>
        <v>1046329</v>
      </c>
      <c r="P275" s="92">
        <v>0</v>
      </c>
      <c r="Q275" s="93">
        <f t="shared" si="37"/>
        <v>1932.6357591429628</v>
      </c>
      <c r="R275" s="93">
        <v>7822</v>
      </c>
      <c r="S275" s="266">
        <v>43100</v>
      </c>
    </row>
    <row r="276" spans="1:34" s="1" customFormat="1" ht="31.5">
      <c r="A276" s="554">
        <f>A275+1</f>
        <v>6</v>
      </c>
      <c r="B276" s="680" t="s">
        <v>818</v>
      </c>
      <c r="C276" s="681">
        <v>1955</v>
      </c>
      <c r="D276" s="679"/>
      <c r="E276" s="534" t="s">
        <v>218</v>
      </c>
      <c r="F276" s="686">
        <v>3</v>
      </c>
      <c r="G276" s="686">
        <v>2</v>
      </c>
      <c r="H276" s="684">
        <v>1065.8</v>
      </c>
      <c r="I276" s="684">
        <v>959.8</v>
      </c>
      <c r="J276" s="684">
        <f>I276-123.4</f>
        <v>836.4</v>
      </c>
      <c r="K276" s="687">
        <v>38</v>
      </c>
      <c r="L276" s="690">
        <v>2290833</v>
      </c>
      <c r="M276" s="578">
        <v>0</v>
      </c>
      <c r="N276" s="92">
        <v>0</v>
      </c>
      <c r="O276" s="92">
        <f t="shared" si="38"/>
        <v>2290833</v>
      </c>
      <c r="P276" s="92">
        <v>0</v>
      </c>
      <c r="Q276" s="93">
        <f t="shared" si="37"/>
        <v>2386.7816211710774</v>
      </c>
      <c r="R276" s="93">
        <v>7822</v>
      </c>
      <c r="S276" s="266">
        <v>43100</v>
      </c>
    </row>
    <row r="277" spans="1:34" s="1" customFormat="1" ht="31.5">
      <c r="A277" s="554">
        <v>7</v>
      </c>
      <c r="B277" s="680" t="s">
        <v>819</v>
      </c>
      <c r="C277" s="681">
        <v>1952</v>
      </c>
      <c r="D277" s="679"/>
      <c r="E277" s="534" t="s">
        <v>218</v>
      </c>
      <c r="F277" s="686">
        <v>3</v>
      </c>
      <c r="G277" s="686">
        <v>2</v>
      </c>
      <c r="H277" s="684">
        <v>924.5</v>
      </c>
      <c r="I277" s="684">
        <v>878.6</v>
      </c>
      <c r="J277" s="684">
        <f>I277-65.6</f>
        <v>813</v>
      </c>
      <c r="K277" s="687">
        <v>37</v>
      </c>
      <c r="L277" s="690">
        <v>1932078</v>
      </c>
      <c r="M277" s="578">
        <v>0</v>
      </c>
      <c r="N277" s="92">
        <v>0</v>
      </c>
      <c r="O277" s="92">
        <f>L277</f>
        <v>1932078</v>
      </c>
      <c r="P277" s="92">
        <v>0</v>
      </c>
      <c r="Q277" s="93">
        <f t="shared" si="37"/>
        <v>2199.0416571818801</v>
      </c>
      <c r="R277" s="93">
        <v>7822</v>
      </c>
      <c r="S277" s="266">
        <v>43100</v>
      </c>
    </row>
    <row r="278" spans="1:34" s="1" customFormat="1" ht="31.5">
      <c r="A278" s="554">
        <f>A277+1</f>
        <v>8</v>
      </c>
      <c r="B278" s="680" t="s">
        <v>820</v>
      </c>
      <c r="C278" s="681">
        <v>1973</v>
      </c>
      <c r="D278" s="679"/>
      <c r="E278" s="534" t="s">
        <v>218</v>
      </c>
      <c r="F278" s="686">
        <v>5</v>
      </c>
      <c r="G278" s="686">
        <v>6</v>
      </c>
      <c r="H278" s="684">
        <v>4335.5</v>
      </c>
      <c r="I278" s="684">
        <v>4074.77</v>
      </c>
      <c r="J278" s="684">
        <f>I278-103.1</f>
        <v>3971.67</v>
      </c>
      <c r="K278" s="687">
        <v>197</v>
      </c>
      <c r="L278" s="690">
        <v>3354962</v>
      </c>
      <c r="M278" s="578">
        <v>0</v>
      </c>
      <c r="N278" s="92">
        <v>0</v>
      </c>
      <c r="O278" s="92">
        <f t="shared" si="38"/>
        <v>3354962</v>
      </c>
      <c r="P278" s="92">
        <v>0</v>
      </c>
      <c r="Q278" s="93">
        <f t="shared" si="37"/>
        <v>823.35002957222127</v>
      </c>
      <c r="R278" s="93">
        <v>7822</v>
      </c>
      <c r="S278" s="266">
        <v>43100</v>
      </c>
    </row>
    <row r="279" spans="1:34" s="1" customFormat="1" ht="15.75">
      <c r="A279" s="554">
        <f>A278+1</f>
        <v>9</v>
      </c>
      <c r="B279" s="680" t="s">
        <v>821</v>
      </c>
      <c r="C279" s="681">
        <v>1933</v>
      </c>
      <c r="D279" s="679"/>
      <c r="E279" s="534" t="s">
        <v>824</v>
      </c>
      <c r="F279" s="686">
        <v>2</v>
      </c>
      <c r="G279" s="686">
        <v>2</v>
      </c>
      <c r="H279" s="684">
        <v>447.8</v>
      </c>
      <c r="I279" s="684">
        <v>365.06</v>
      </c>
      <c r="J279" s="684">
        <f>I279</f>
        <v>365.06</v>
      </c>
      <c r="K279" s="687">
        <v>18</v>
      </c>
      <c r="L279" s="690">
        <v>280050</v>
      </c>
      <c r="M279" s="578">
        <v>0</v>
      </c>
      <c r="N279" s="92">
        <v>0</v>
      </c>
      <c r="O279" s="92">
        <f>L279</f>
        <v>280050</v>
      </c>
      <c r="P279" s="92">
        <v>0</v>
      </c>
      <c r="Q279" s="93">
        <f t="shared" si="37"/>
        <v>767.13416972552454</v>
      </c>
      <c r="R279" s="93">
        <v>7822</v>
      </c>
      <c r="S279" s="266">
        <v>43100</v>
      </c>
    </row>
    <row r="280" spans="1:34" s="1" customFormat="1" ht="31.5">
      <c r="A280" s="554">
        <v>10</v>
      </c>
      <c r="B280" s="197" t="s">
        <v>822</v>
      </c>
      <c r="C280" s="192">
        <v>1969</v>
      </c>
      <c r="D280" s="679"/>
      <c r="E280" s="534" t="s">
        <v>823</v>
      </c>
      <c r="F280" s="110">
        <v>2</v>
      </c>
      <c r="G280" s="110">
        <v>2</v>
      </c>
      <c r="H280" s="685">
        <v>628.5</v>
      </c>
      <c r="I280" s="685">
        <v>627.20000000000005</v>
      </c>
      <c r="J280" s="685">
        <f>I280</f>
        <v>627.20000000000005</v>
      </c>
      <c r="K280" s="687">
        <v>30</v>
      </c>
      <c r="L280" s="689">
        <v>1445806</v>
      </c>
      <c r="M280" s="578">
        <v>0</v>
      </c>
      <c r="N280" s="92">
        <v>0</v>
      </c>
      <c r="O280" s="92">
        <f>L280</f>
        <v>1445806</v>
      </c>
      <c r="P280" s="92">
        <v>0</v>
      </c>
      <c r="Q280" s="93">
        <f t="shared" si="37"/>
        <v>2305.1753826530612</v>
      </c>
      <c r="R280" s="93">
        <v>7822</v>
      </c>
      <c r="S280" s="266">
        <v>43100</v>
      </c>
    </row>
    <row r="281" spans="1:34" s="1" customFormat="1" ht="15.75">
      <c r="A281" s="87"/>
      <c r="B281" s="1107" t="s">
        <v>68</v>
      </c>
      <c r="C281" s="1107"/>
      <c r="D281" s="1066"/>
      <c r="E281" s="1066"/>
      <c r="F281" s="1107"/>
      <c r="G281" s="1107"/>
      <c r="H281" s="682">
        <f>H282</f>
        <v>362.9</v>
      </c>
      <c r="I281" s="683">
        <f t="shared" ref="I281:P281" si="39">I282</f>
        <v>247.4</v>
      </c>
      <c r="J281" s="683">
        <f t="shared" si="39"/>
        <v>159.80000000000001</v>
      </c>
      <c r="K281" s="98">
        <f t="shared" si="39"/>
        <v>15</v>
      </c>
      <c r="L281" s="688">
        <f t="shared" si="39"/>
        <v>241114</v>
      </c>
      <c r="M281" s="92">
        <f t="shared" si="39"/>
        <v>0</v>
      </c>
      <c r="N281" s="92">
        <f t="shared" si="39"/>
        <v>0</v>
      </c>
      <c r="O281" s="92">
        <f t="shared" si="39"/>
        <v>241114</v>
      </c>
      <c r="P281" s="92">
        <f t="shared" si="39"/>
        <v>0</v>
      </c>
      <c r="Q281" s="86" t="s">
        <v>40</v>
      </c>
      <c r="R281" s="86" t="s">
        <v>40</v>
      </c>
      <c r="S281" s="266">
        <v>43100</v>
      </c>
    </row>
    <row r="282" spans="1:34" s="1" customFormat="1" ht="15.75" customHeight="1">
      <c r="A282" s="87"/>
      <c r="B282" s="1068" t="s">
        <v>97</v>
      </c>
      <c r="C282" s="1068"/>
      <c r="D282" s="1068"/>
      <c r="E282" s="1068"/>
      <c r="F282" s="1068"/>
      <c r="G282" s="1068"/>
      <c r="H282" s="107">
        <f>H283</f>
        <v>362.9</v>
      </c>
      <c r="I282" s="86">
        <f t="shared" ref="I282:P282" si="40">I283</f>
        <v>247.4</v>
      </c>
      <c r="J282" s="86">
        <f t="shared" si="40"/>
        <v>159.80000000000001</v>
      </c>
      <c r="K282" s="98">
        <f t="shared" si="40"/>
        <v>15</v>
      </c>
      <c r="L282" s="92">
        <f t="shared" si="40"/>
        <v>241114</v>
      </c>
      <c r="M282" s="92">
        <f t="shared" si="40"/>
        <v>0</v>
      </c>
      <c r="N282" s="92">
        <f t="shared" si="40"/>
        <v>0</v>
      </c>
      <c r="O282" s="92">
        <f t="shared" si="40"/>
        <v>241114</v>
      </c>
      <c r="P282" s="92">
        <f t="shared" si="40"/>
        <v>0</v>
      </c>
      <c r="Q282" s="86" t="s">
        <v>40</v>
      </c>
      <c r="R282" s="86" t="s">
        <v>40</v>
      </c>
      <c r="S282" s="266">
        <v>43100</v>
      </c>
    </row>
    <row r="283" spans="1:34" s="1" customFormat="1" ht="31.5">
      <c r="A283" s="258">
        <f>A280+1</f>
        <v>11</v>
      </c>
      <c r="B283" s="310" t="s">
        <v>505</v>
      </c>
      <c r="C283" s="295">
        <v>1946</v>
      </c>
      <c r="D283" s="295"/>
      <c r="E283" s="261" t="s">
        <v>218</v>
      </c>
      <c r="F283" s="295">
        <v>2</v>
      </c>
      <c r="G283" s="295">
        <v>1</v>
      </c>
      <c r="H283" s="296">
        <v>362.9</v>
      </c>
      <c r="I283" s="298">
        <v>247.4</v>
      </c>
      <c r="J283" s="298">
        <v>159.80000000000001</v>
      </c>
      <c r="K283" s="297">
        <v>15</v>
      </c>
      <c r="L283" s="264">
        <v>241114</v>
      </c>
      <c r="M283" s="264">
        <v>0</v>
      </c>
      <c r="N283" s="264">
        <v>0</v>
      </c>
      <c r="O283" s="264">
        <v>241114</v>
      </c>
      <c r="P283" s="264">
        <v>0</v>
      </c>
      <c r="Q283" s="298">
        <f>L283/I283</f>
        <v>974.591754244139</v>
      </c>
      <c r="R283" s="265">
        <v>7822</v>
      </c>
      <c r="S283" s="266">
        <v>43100</v>
      </c>
    </row>
    <row r="284" spans="1:34" s="13" customFormat="1" ht="15.75">
      <c r="A284" s="87"/>
      <c r="B284" s="1066" t="s">
        <v>43</v>
      </c>
      <c r="C284" s="1066"/>
      <c r="D284" s="1066"/>
      <c r="E284" s="1066"/>
      <c r="F284" s="1066"/>
      <c r="G284" s="1066"/>
      <c r="H284" s="86">
        <f t="shared" ref="H284:P284" si="41">H285+H300</f>
        <v>23164.559999999998</v>
      </c>
      <c r="I284" s="86">
        <f t="shared" si="41"/>
        <v>21134.959999999999</v>
      </c>
      <c r="J284" s="86">
        <f t="shared" si="41"/>
        <v>19251.09</v>
      </c>
      <c r="K284" s="98">
        <f t="shared" si="41"/>
        <v>853</v>
      </c>
      <c r="L284" s="92">
        <f t="shared" si="41"/>
        <v>23032470</v>
      </c>
      <c r="M284" s="92">
        <f t="shared" si="41"/>
        <v>0</v>
      </c>
      <c r="N284" s="92">
        <f t="shared" si="41"/>
        <v>1400000</v>
      </c>
      <c r="O284" s="92">
        <f t="shared" si="41"/>
        <v>21632470</v>
      </c>
      <c r="P284" s="92">
        <f t="shared" si="41"/>
        <v>0</v>
      </c>
      <c r="Q284" s="86" t="s">
        <v>40</v>
      </c>
      <c r="R284" s="86" t="s">
        <v>40</v>
      </c>
      <c r="S284" s="266">
        <v>43100</v>
      </c>
    </row>
    <row r="285" spans="1:34" s="1" customFormat="1" ht="15.75" customHeight="1">
      <c r="A285" s="87"/>
      <c r="B285" s="1068" t="s">
        <v>125</v>
      </c>
      <c r="C285" s="1068"/>
      <c r="D285" s="1068"/>
      <c r="E285" s="1068"/>
      <c r="F285" s="1068"/>
      <c r="G285" s="1068"/>
      <c r="H285" s="107">
        <f t="shared" ref="H285:M285" si="42">SUM(H286:H299)</f>
        <v>20106.559999999998</v>
      </c>
      <c r="I285" s="86">
        <f t="shared" si="42"/>
        <v>18426.259999999998</v>
      </c>
      <c r="J285" s="86">
        <f t="shared" si="42"/>
        <v>16665.189999999999</v>
      </c>
      <c r="K285" s="98">
        <f t="shared" si="42"/>
        <v>735</v>
      </c>
      <c r="L285" s="92">
        <f t="shared" si="42"/>
        <v>20696312</v>
      </c>
      <c r="M285" s="92">
        <f t="shared" si="42"/>
        <v>0</v>
      </c>
      <c r="N285" s="92">
        <f>SUM(N286:N299)</f>
        <v>0</v>
      </c>
      <c r="O285" s="92">
        <f>SUM(O286:O299)</f>
        <v>20696312</v>
      </c>
      <c r="P285" s="92">
        <f>SUM(P286:P302)</f>
        <v>0</v>
      </c>
      <c r="Q285" s="86" t="s">
        <v>40</v>
      </c>
      <c r="R285" s="86" t="s">
        <v>40</v>
      </c>
      <c r="S285" s="266">
        <v>43100</v>
      </c>
    </row>
    <row r="286" spans="1:34" s="32" customFormat="1" ht="15.75">
      <c r="A286" s="87"/>
      <c r="B286" s="109" t="s">
        <v>405</v>
      </c>
      <c r="C286" s="110">
        <v>1979</v>
      </c>
      <c r="D286" s="111"/>
      <c r="E286" s="89" t="s">
        <v>219</v>
      </c>
      <c r="F286" s="110">
        <v>5</v>
      </c>
      <c r="G286" s="110">
        <v>6</v>
      </c>
      <c r="H286" s="112">
        <v>4364.1000000000004</v>
      </c>
      <c r="I286" s="110">
        <v>3933.3</v>
      </c>
      <c r="J286" s="110">
        <v>3786.33</v>
      </c>
      <c r="K286" s="102">
        <v>163</v>
      </c>
      <c r="L286" s="92">
        <v>2301804</v>
      </c>
      <c r="M286" s="92">
        <v>0</v>
      </c>
      <c r="N286" s="92">
        <v>0</v>
      </c>
      <c r="O286" s="92">
        <f t="shared" ref="O286:O299" si="43">L286</f>
        <v>2301804</v>
      </c>
      <c r="P286" s="92">
        <v>0</v>
      </c>
      <c r="Q286" s="113">
        <f>L286/I286</f>
        <v>585.2093661810693</v>
      </c>
      <c r="R286" s="93">
        <v>6774</v>
      </c>
      <c r="S286" s="266">
        <v>43100</v>
      </c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</row>
    <row r="287" spans="1:34" s="33" customFormat="1" ht="31.5">
      <c r="A287" s="87"/>
      <c r="B287" s="99" t="s">
        <v>393</v>
      </c>
      <c r="C287" s="89">
        <v>1976</v>
      </c>
      <c r="D287" s="89"/>
      <c r="E287" s="89" t="s">
        <v>218</v>
      </c>
      <c r="F287" s="114">
        <v>5</v>
      </c>
      <c r="G287" s="89">
        <v>6</v>
      </c>
      <c r="H287" s="115">
        <v>4869.8</v>
      </c>
      <c r="I287" s="113">
        <v>4494.8</v>
      </c>
      <c r="J287" s="113">
        <v>3910.1</v>
      </c>
      <c r="K287" s="116">
        <v>161</v>
      </c>
      <c r="L287" s="92">
        <v>1743478</v>
      </c>
      <c r="M287" s="92">
        <v>0</v>
      </c>
      <c r="N287" s="92">
        <v>0</v>
      </c>
      <c r="O287" s="92">
        <f t="shared" si="43"/>
        <v>1743478</v>
      </c>
      <c r="P287" s="92">
        <v>0</v>
      </c>
      <c r="Q287" s="117">
        <f>L287/I287</f>
        <v>387.88778143632641</v>
      </c>
      <c r="R287" s="82">
        <v>6774</v>
      </c>
      <c r="S287" s="266">
        <v>43100</v>
      </c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</row>
    <row r="288" spans="1:34" s="33" customFormat="1" ht="31.5">
      <c r="A288" s="87"/>
      <c r="B288" s="118" t="s">
        <v>406</v>
      </c>
      <c r="C288" s="111">
        <v>2005</v>
      </c>
      <c r="D288" s="111"/>
      <c r="E288" s="89" t="s">
        <v>218</v>
      </c>
      <c r="F288" s="110">
        <v>2</v>
      </c>
      <c r="G288" s="110">
        <v>2</v>
      </c>
      <c r="H288" s="112">
        <v>2170.6999999999998</v>
      </c>
      <c r="I288" s="104">
        <v>1890.5</v>
      </c>
      <c r="J288" s="104">
        <v>1756.6</v>
      </c>
      <c r="K288" s="102">
        <v>72</v>
      </c>
      <c r="L288" s="92">
        <v>2485001</v>
      </c>
      <c r="M288" s="92">
        <v>0</v>
      </c>
      <c r="N288" s="92">
        <v>0</v>
      </c>
      <c r="O288" s="92">
        <f t="shared" si="43"/>
        <v>2485001</v>
      </c>
      <c r="P288" s="92">
        <v>0</v>
      </c>
      <c r="Q288" s="105">
        <f>L288/I288</f>
        <v>1314.4676011637132</v>
      </c>
      <c r="R288" s="93">
        <v>6774</v>
      </c>
      <c r="S288" s="266">
        <v>43100</v>
      </c>
    </row>
    <row r="289" spans="1:34" s="33" customFormat="1" ht="31.5">
      <c r="A289" s="87"/>
      <c r="B289" s="109" t="s">
        <v>402</v>
      </c>
      <c r="C289" s="110">
        <v>1961</v>
      </c>
      <c r="D289" s="111"/>
      <c r="E289" s="89" t="s">
        <v>218</v>
      </c>
      <c r="F289" s="110">
        <v>2</v>
      </c>
      <c r="G289" s="111">
        <v>3</v>
      </c>
      <c r="H289" s="119">
        <v>662.8</v>
      </c>
      <c r="I289" s="104">
        <v>612.6</v>
      </c>
      <c r="J289" s="104">
        <v>517</v>
      </c>
      <c r="K289" s="120">
        <v>32</v>
      </c>
      <c r="L289" s="92">
        <v>1237591</v>
      </c>
      <c r="M289" s="92">
        <v>0</v>
      </c>
      <c r="N289" s="92">
        <v>0</v>
      </c>
      <c r="O289" s="92">
        <f t="shared" si="43"/>
        <v>1237591</v>
      </c>
      <c r="P289" s="92">
        <v>0</v>
      </c>
      <c r="Q289" s="121">
        <f>L289/I289</f>
        <v>2020.2269017303297</v>
      </c>
      <c r="R289" s="93">
        <v>6774</v>
      </c>
      <c r="S289" s="266">
        <v>43100</v>
      </c>
    </row>
    <row r="290" spans="1:34" s="33" customFormat="1" ht="31.5">
      <c r="A290" s="87"/>
      <c r="B290" s="118" t="s">
        <v>397</v>
      </c>
      <c r="C290" s="110">
        <v>1953</v>
      </c>
      <c r="D290" s="111"/>
      <c r="E290" s="89" t="s">
        <v>218</v>
      </c>
      <c r="F290" s="110">
        <v>2</v>
      </c>
      <c r="G290" s="111">
        <v>2</v>
      </c>
      <c r="H290" s="122">
        <v>470.96</v>
      </c>
      <c r="I290" s="123">
        <v>417.36</v>
      </c>
      <c r="J290" s="123">
        <v>356.76</v>
      </c>
      <c r="K290" s="120">
        <v>10</v>
      </c>
      <c r="L290" s="92">
        <v>1448078</v>
      </c>
      <c r="M290" s="92">
        <v>0</v>
      </c>
      <c r="N290" s="92">
        <v>0</v>
      </c>
      <c r="O290" s="92">
        <f t="shared" si="43"/>
        <v>1448078</v>
      </c>
      <c r="P290" s="92">
        <v>0</v>
      </c>
      <c r="Q290" s="121">
        <f>L290/I290</f>
        <v>3469.6137626988689</v>
      </c>
      <c r="R290" s="93">
        <v>6774</v>
      </c>
      <c r="S290" s="266">
        <v>43100</v>
      </c>
    </row>
    <row r="291" spans="1:34" s="33" customFormat="1" ht="31.5">
      <c r="A291" s="87"/>
      <c r="B291" s="118" t="s">
        <v>398</v>
      </c>
      <c r="C291" s="110">
        <v>1954</v>
      </c>
      <c r="D291" s="111"/>
      <c r="E291" s="89" t="s">
        <v>218</v>
      </c>
      <c r="F291" s="110">
        <v>2</v>
      </c>
      <c r="G291" s="111">
        <v>2</v>
      </c>
      <c r="H291" s="119">
        <v>922.3</v>
      </c>
      <c r="I291" s="104">
        <v>862.3</v>
      </c>
      <c r="J291" s="104">
        <v>862.3</v>
      </c>
      <c r="K291" s="102">
        <v>31</v>
      </c>
      <c r="L291" s="92">
        <v>1963797</v>
      </c>
      <c r="M291" s="92">
        <v>0</v>
      </c>
      <c r="N291" s="92">
        <v>0</v>
      </c>
      <c r="O291" s="92">
        <f t="shared" si="43"/>
        <v>1963797</v>
      </c>
      <c r="P291" s="92">
        <v>0</v>
      </c>
      <c r="Q291" s="121">
        <f xml:space="preserve"> L291/I291</f>
        <v>2277.3941783601995</v>
      </c>
      <c r="R291" s="93">
        <v>6774</v>
      </c>
      <c r="S291" s="266">
        <v>43100</v>
      </c>
    </row>
    <row r="292" spans="1:34" s="33" customFormat="1" ht="31.5">
      <c r="A292" s="87"/>
      <c r="B292" s="118" t="s">
        <v>399</v>
      </c>
      <c r="C292" s="110">
        <v>1961</v>
      </c>
      <c r="D292" s="111"/>
      <c r="E292" s="89" t="s">
        <v>218</v>
      </c>
      <c r="F292" s="110">
        <v>4</v>
      </c>
      <c r="G292" s="111">
        <v>4</v>
      </c>
      <c r="H292" s="112">
        <v>2386.6</v>
      </c>
      <c r="I292" s="104">
        <v>2260.4</v>
      </c>
      <c r="J292" s="104">
        <v>2024.9</v>
      </c>
      <c r="K292" s="102">
        <v>66</v>
      </c>
      <c r="L292" s="92">
        <v>2119530</v>
      </c>
      <c r="M292" s="92">
        <v>0</v>
      </c>
      <c r="N292" s="92">
        <v>0</v>
      </c>
      <c r="O292" s="92">
        <f t="shared" si="43"/>
        <v>2119530</v>
      </c>
      <c r="P292" s="92">
        <v>0</v>
      </c>
      <c r="Q292" s="121">
        <f t="shared" ref="Q292:Q299" si="44">L292/I292</f>
        <v>937.67917182799499</v>
      </c>
      <c r="R292" s="93">
        <v>6774</v>
      </c>
      <c r="S292" s="266">
        <v>43100</v>
      </c>
    </row>
    <row r="293" spans="1:34" s="33" customFormat="1" ht="31.5">
      <c r="A293" s="87"/>
      <c r="B293" s="109" t="s">
        <v>403</v>
      </c>
      <c r="C293" s="110">
        <v>1956</v>
      </c>
      <c r="D293" s="111"/>
      <c r="E293" s="89" t="s">
        <v>218</v>
      </c>
      <c r="F293" s="110">
        <v>2</v>
      </c>
      <c r="G293" s="111">
        <v>2</v>
      </c>
      <c r="H293" s="124">
        <v>833.9</v>
      </c>
      <c r="I293" s="104">
        <v>785.9</v>
      </c>
      <c r="J293" s="104">
        <v>675</v>
      </c>
      <c r="K293" s="120">
        <v>32</v>
      </c>
      <c r="L293" s="92">
        <v>1098163</v>
      </c>
      <c r="M293" s="92">
        <v>0</v>
      </c>
      <c r="N293" s="92">
        <v>0</v>
      </c>
      <c r="O293" s="92">
        <f t="shared" si="43"/>
        <v>1098163</v>
      </c>
      <c r="P293" s="92">
        <v>0</v>
      </c>
      <c r="Q293" s="121">
        <f t="shared" si="44"/>
        <v>1397.3317215930781</v>
      </c>
      <c r="R293" s="93">
        <v>6774</v>
      </c>
      <c r="S293" s="266">
        <v>43100</v>
      </c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</row>
    <row r="294" spans="1:34" s="33" customFormat="1" ht="31.5">
      <c r="A294" s="87"/>
      <c r="B294" s="109" t="s">
        <v>404</v>
      </c>
      <c r="C294" s="110">
        <v>1959</v>
      </c>
      <c r="D294" s="111"/>
      <c r="E294" s="89" t="s">
        <v>218</v>
      </c>
      <c r="F294" s="110">
        <v>2</v>
      </c>
      <c r="G294" s="111">
        <v>3</v>
      </c>
      <c r="H294" s="125">
        <v>640.5</v>
      </c>
      <c r="I294" s="123">
        <v>621.79999999999995</v>
      </c>
      <c r="J294" s="123">
        <v>490.9</v>
      </c>
      <c r="K294" s="120">
        <v>35</v>
      </c>
      <c r="L294" s="92">
        <v>1241309</v>
      </c>
      <c r="M294" s="92">
        <v>0</v>
      </c>
      <c r="N294" s="92">
        <v>0</v>
      </c>
      <c r="O294" s="92">
        <f t="shared" si="43"/>
        <v>1241309</v>
      </c>
      <c r="P294" s="92">
        <v>0</v>
      </c>
      <c r="Q294" s="121">
        <f t="shared" si="44"/>
        <v>1996.3155355419751</v>
      </c>
      <c r="R294" s="93">
        <v>6774</v>
      </c>
      <c r="S294" s="266">
        <v>43100</v>
      </c>
    </row>
    <row r="295" spans="1:34" s="33" customFormat="1" ht="31.5">
      <c r="A295" s="87"/>
      <c r="B295" s="109" t="s">
        <v>400</v>
      </c>
      <c r="C295" s="110">
        <v>1960</v>
      </c>
      <c r="D295" s="111"/>
      <c r="E295" s="89" t="s">
        <v>218</v>
      </c>
      <c r="F295" s="110">
        <v>2</v>
      </c>
      <c r="G295" s="111">
        <v>2</v>
      </c>
      <c r="H295" s="119">
        <v>504.1</v>
      </c>
      <c r="I295" s="104">
        <v>445.3</v>
      </c>
      <c r="J295" s="104">
        <v>373.3</v>
      </c>
      <c r="K295" s="120">
        <v>24</v>
      </c>
      <c r="L295" s="92">
        <v>1041360</v>
      </c>
      <c r="M295" s="92">
        <v>0</v>
      </c>
      <c r="N295" s="92">
        <v>0</v>
      </c>
      <c r="O295" s="92">
        <f t="shared" si="43"/>
        <v>1041360</v>
      </c>
      <c r="P295" s="92">
        <v>0</v>
      </c>
      <c r="Q295" s="121">
        <f t="shared" si="44"/>
        <v>2338.5582753200088</v>
      </c>
      <c r="R295" s="93">
        <v>6774</v>
      </c>
      <c r="S295" s="266">
        <v>43100</v>
      </c>
    </row>
    <row r="296" spans="1:34" s="34" customFormat="1" ht="31.5">
      <c r="A296" s="87"/>
      <c r="B296" s="109" t="s">
        <v>401</v>
      </c>
      <c r="C296" s="110">
        <v>1961</v>
      </c>
      <c r="D296" s="111"/>
      <c r="E296" s="89" t="s">
        <v>218</v>
      </c>
      <c r="F296" s="110">
        <v>2</v>
      </c>
      <c r="G296" s="111">
        <v>2</v>
      </c>
      <c r="H296" s="119">
        <v>506.2</v>
      </c>
      <c r="I296" s="104">
        <v>447.4</v>
      </c>
      <c r="J296" s="104">
        <f>I296</f>
        <v>447.4</v>
      </c>
      <c r="K296" s="120">
        <v>18</v>
      </c>
      <c r="L296" s="92">
        <v>1138866</v>
      </c>
      <c r="M296" s="92">
        <v>0</v>
      </c>
      <c r="N296" s="92">
        <v>0</v>
      </c>
      <c r="O296" s="92">
        <f t="shared" si="43"/>
        <v>1138866</v>
      </c>
      <c r="P296" s="92">
        <v>0</v>
      </c>
      <c r="Q296" s="121">
        <f t="shared" si="44"/>
        <v>2545.5207867679928</v>
      </c>
      <c r="R296" s="93">
        <v>6774</v>
      </c>
      <c r="S296" s="266">
        <v>43100</v>
      </c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</row>
    <row r="297" spans="1:34" s="33" customFormat="1" ht="31.5">
      <c r="A297" s="87"/>
      <c r="B297" s="118" t="s">
        <v>394</v>
      </c>
      <c r="C297" s="110">
        <v>1966</v>
      </c>
      <c r="D297" s="111"/>
      <c r="E297" s="89" t="s">
        <v>218</v>
      </c>
      <c r="F297" s="110">
        <v>2</v>
      </c>
      <c r="G297" s="111">
        <v>2</v>
      </c>
      <c r="H297" s="119">
        <v>482.5</v>
      </c>
      <c r="I297" s="104">
        <v>454.1</v>
      </c>
      <c r="J297" s="104">
        <v>370.7</v>
      </c>
      <c r="K297" s="102">
        <v>31</v>
      </c>
      <c r="L297" s="92">
        <v>848546</v>
      </c>
      <c r="M297" s="92">
        <v>0</v>
      </c>
      <c r="N297" s="92">
        <v>0</v>
      </c>
      <c r="O297" s="92">
        <f t="shared" si="43"/>
        <v>848546</v>
      </c>
      <c r="P297" s="92">
        <v>0</v>
      </c>
      <c r="Q297" s="121">
        <f t="shared" si="44"/>
        <v>1868.6324598106144</v>
      </c>
      <c r="R297" s="93">
        <v>6774</v>
      </c>
      <c r="S297" s="266">
        <v>43100</v>
      </c>
    </row>
    <row r="298" spans="1:34" s="33" customFormat="1" ht="31.5">
      <c r="A298" s="87"/>
      <c r="B298" s="118" t="s">
        <v>395</v>
      </c>
      <c r="C298" s="110">
        <v>1969</v>
      </c>
      <c r="D298" s="111"/>
      <c r="E298" s="89" t="s">
        <v>218</v>
      </c>
      <c r="F298" s="110">
        <v>2</v>
      </c>
      <c r="G298" s="111">
        <v>2</v>
      </c>
      <c r="H298" s="119">
        <v>502.6</v>
      </c>
      <c r="I298" s="126">
        <v>471</v>
      </c>
      <c r="J298" s="104">
        <v>423.8</v>
      </c>
      <c r="K298" s="102">
        <v>21</v>
      </c>
      <c r="L298" s="92">
        <v>848706</v>
      </c>
      <c r="M298" s="92">
        <v>0</v>
      </c>
      <c r="N298" s="92">
        <v>0</v>
      </c>
      <c r="O298" s="92">
        <f t="shared" si="43"/>
        <v>848706</v>
      </c>
      <c r="P298" s="92">
        <v>0</v>
      </c>
      <c r="Q298" s="121">
        <f t="shared" si="44"/>
        <v>1801.9235668789809</v>
      </c>
      <c r="R298" s="93">
        <v>6774</v>
      </c>
      <c r="S298" s="266">
        <v>43100</v>
      </c>
    </row>
    <row r="299" spans="1:34" s="33" customFormat="1" ht="31.5">
      <c r="A299" s="87"/>
      <c r="B299" s="118" t="s">
        <v>396</v>
      </c>
      <c r="C299" s="110">
        <v>1973</v>
      </c>
      <c r="D299" s="111"/>
      <c r="E299" s="89" t="s">
        <v>218</v>
      </c>
      <c r="F299" s="110">
        <v>2</v>
      </c>
      <c r="G299" s="111">
        <v>2</v>
      </c>
      <c r="H299" s="119">
        <v>789.5</v>
      </c>
      <c r="I299" s="104">
        <v>729.5</v>
      </c>
      <c r="J299" s="104">
        <v>670.1</v>
      </c>
      <c r="K299" s="102">
        <v>39</v>
      </c>
      <c r="L299" s="92">
        <v>1180083</v>
      </c>
      <c r="M299" s="92">
        <v>0</v>
      </c>
      <c r="N299" s="92">
        <v>0</v>
      </c>
      <c r="O299" s="92">
        <f t="shared" si="43"/>
        <v>1180083</v>
      </c>
      <c r="P299" s="92">
        <v>0</v>
      </c>
      <c r="Q299" s="121">
        <f t="shared" si="44"/>
        <v>1617.6600411240577</v>
      </c>
      <c r="R299" s="93">
        <v>6774</v>
      </c>
      <c r="S299" s="266">
        <v>43100</v>
      </c>
    </row>
    <row r="300" spans="1:34" s="33" customFormat="1" ht="15.75" customHeight="1">
      <c r="A300" s="87"/>
      <c r="B300" s="1068" t="s">
        <v>210</v>
      </c>
      <c r="C300" s="1068"/>
      <c r="D300" s="1068"/>
      <c r="E300" s="1068"/>
      <c r="F300" s="1068"/>
      <c r="G300" s="1068"/>
      <c r="H300" s="86">
        <f t="shared" ref="H300:P300" si="45">H301+H302</f>
        <v>3058</v>
      </c>
      <c r="I300" s="86">
        <f t="shared" si="45"/>
        <v>2708.7</v>
      </c>
      <c r="J300" s="86">
        <f t="shared" si="45"/>
        <v>2585.9</v>
      </c>
      <c r="K300" s="98">
        <f t="shared" si="45"/>
        <v>118</v>
      </c>
      <c r="L300" s="92">
        <f t="shared" si="45"/>
        <v>2336158</v>
      </c>
      <c r="M300" s="92">
        <f t="shared" si="45"/>
        <v>0</v>
      </c>
      <c r="N300" s="92">
        <f t="shared" si="45"/>
        <v>1400000</v>
      </c>
      <c r="O300" s="92">
        <f t="shared" si="45"/>
        <v>936158</v>
      </c>
      <c r="P300" s="92">
        <f t="shared" si="45"/>
        <v>0</v>
      </c>
      <c r="Q300" s="86" t="s">
        <v>40</v>
      </c>
      <c r="R300" s="86" t="s">
        <v>40</v>
      </c>
      <c r="S300" s="266">
        <v>43100</v>
      </c>
    </row>
    <row r="301" spans="1:34" s="33" customFormat="1" ht="16.5" customHeight="1">
      <c r="A301" s="87"/>
      <c r="B301" s="118" t="s">
        <v>407</v>
      </c>
      <c r="C301" s="111">
        <v>1986</v>
      </c>
      <c r="D301" s="111"/>
      <c r="E301" s="89" t="s">
        <v>222</v>
      </c>
      <c r="F301" s="110">
        <v>3</v>
      </c>
      <c r="G301" s="111">
        <v>3</v>
      </c>
      <c r="H301" s="127">
        <v>1529</v>
      </c>
      <c r="I301" s="103">
        <v>1345.2</v>
      </c>
      <c r="J301" s="103">
        <v>1345.2</v>
      </c>
      <c r="K301" s="120">
        <v>60</v>
      </c>
      <c r="L301" s="92">
        <f>O301+N301</f>
        <v>1168079</v>
      </c>
      <c r="M301" s="92">
        <v>0</v>
      </c>
      <c r="N301" s="92">
        <v>700000</v>
      </c>
      <c r="O301" s="92">
        <v>468079</v>
      </c>
      <c r="P301" s="92">
        <v>0</v>
      </c>
      <c r="Q301" s="121">
        <f>L301/I301</f>
        <v>868.33110318168303</v>
      </c>
      <c r="R301" s="93">
        <v>6774</v>
      </c>
      <c r="S301" s="266">
        <v>43100</v>
      </c>
    </row>
    <row r="302" spans="1:34" s="33" customFormat="1" ht="18" customHeight="1">
      <c r="A302" s="87"/>
      <c r="B302" s="118" t="s">
        <v>408</v>
      </c>
      <c r="C302" s="111">
        <v>1986</v>
      </c>
      <c r="D302" s="111"/>
      <c r="E302" s="89" t="s">
        <v>222</v>
      </c>
      <c r="F302" s="110">
        <v>3</v>
      </c>
      <c r="G302" s="111">
        <v>3</v>
      </c>
      <c r="H302" s="127">
        <v>1529</v>
      </c>
      <c r="I302" s="103">
        <v>1363.5</v>
      </c>
      <c r="J302" s="103">
        <v>1240.7</v>
      </c>
      <c r="K302" s="120">
        <v>58</v>
      </c>
      <c r="L302" s="92">
        <f>O302+N302</f>
        <v>1168079</v>
      </c>
      <c r="M302" s="92">
        <v>0</v>
      </c>
      <c r="N302" s="92">
        <v>700000</v>
      </c>
      <c r="O302" s="92">
        <v>468079</v>
      </c>
      <c r="P302" s="92">
        <v>0</v>
      </c>
      <c r="Q302" s="121">
        <f>L302/I302</f>
        <v>856.67693436010268</v>
      </c>
      <c r="R302" s="93">
        <v>6774</v>
      </c>
      <c r="S302" s="266">
        <v>43100</v>
      </c>
    </row>
    <row r="303" spans="1:34" s="1" customFormat="1" ht="15.75">
      <c r="A303" s="87"/>
      <c r="B303" s="1066" t="s">
        <v>44</v>
      </c>
      <c r="C303" s="1066"/>
      <c r="D303" s="1066"/>
      <c r="E303" s="1066"/>
      <c r="F303" s="1066"/>
      <c r="G303" s="1066"/>
      <c r="H303" s="107">
        <f>H304</f>
        <v>1753.9</v>
      </c>
      <c r="I303" s="86">
        <f t="shared" ref="I303:P303" si="46">I304</f>
        <v>1753.9</v>
      </c>
      <c r="J303" s="86">
        <f t="shared" si="46"/>
        <v>1134.4000000000001</v>
      </c>
      <c r="K303" s="98">
        <f t="shared" si="46"/>
        <v>60</v>
      </c>
      <c r="L303" s="92">
        <f>L304</f>
        <v>2561132</v>
      </c>
      <c r="M303" s="92">
        <f t="shared" si="46"/>
        <v>0</v>
      </c>
      <c r="N303" s="92">
        <f t="shared" si="46"/>
        <v>0</v>
      </c>
      <c r="O303" s="92">
        <f t="shared" si="46"/>
        <v>2561132</v>
      </c>
      <c r="P303" s="92">
        <f t="shared" si="46"/>
        <v>0</v>
      </c>
      <c r="Q303" s="86" t="s">
        <v>40</v>
      </c>
      <c r="R303" s="93" t="s">
        <v>40</v>
      </c>
      <c r="S303" s="266">
        <v>43100</v>
      </c>
    </row>
    <row r="304" spans="1:34" s="1" customFormat="1" ht="15.75" customHeight="1">
      <c r="A304" s="87"/>
      <c r="B304" s="1068" t="s">
        <v>435</v>
      </c>
      <c r="C304" s="1068"/>
      <c r="D304" s="1068"/>
      <c r="E304" s="1068"/>
      <c r="F304" s="1068"/>
      <c r="G304" s="1068"/>
      <c r="H304" s="107">
        <f>H305+H306</f>
        <v>1753.9</v>
      </c>
      <c r="I304" s="86">
        <f t="shared" ref="I304:P304" si="47">I305+I306</f>
        <v>1753.9</v>
      </c>
      <c r="J304" s="86">
        <f t="shared" si="47"/>
        <v>1134.4000000000001</v>
      </c>
      <c r="K304" s="98">
        <f t="shared" si="47"/>
        <v>60</v>
      </c>
      <c r="L304" s="92">
        <f t="shared" si="47"/>
        <v>2561132</v>
      </c>
      <c r="M304" s="92">
        <f t="shared" si="47"/>
        <v>0</v>
      </c>
      <c r="N304" s="92">
        <f t="shared" si="47"/>
        <v>0</v>
      </c>
      <c r="O304" s="92">
        <f t="shared" si="47"/>
        <v>2561132</v>
      </c>
      <c r="P304" s="92">
        <f t="shared" si="47"/>
        <v>0</v>
      </c>
      <c r="Q304" s="86" t="s">
        <v>40</v>
      </c>
      <c r="R304" s="86" t="s">
        <v>40</v>
      </c>
      <c r="S304" s="266">
        <v>43100</v>
      </c>
    </row>
    <row r="305" spans="1:19" s="1" customFormat="1" ht="15.75">
      <c r="A305" s="258">
        <v>43</v>
      </c>
      <c r="B305" s="287" t="s">
        <v>503</v>
      </c>
      <c r="C305" s="258">
        <v>1981</v>
      </c>
      <c r="D305" s="260"/>
      <c r="E305" s="261" t="s">
        <v>220</v>
      </c>
      <c r="F305" s="260">
        <v>3</v>
      </c>
      <c r="G305" s="260">
        <v>3</v>
      </c>
      <c r="H305" s="262">
        <v>1293</v>
      </c>
      <c r="I305" s="260">
        <v>1293</v>
      </c>
      <c r="J305" s="260">
        <v>702.3</v>
      </c>
      <c r="K305" s="263">
        <v>49</v>
      </c>
      <c r="L305" s="264">
        <v>1416533</v>
      </c>
      <c r="M305" s="264">
        <v>0</v>
      </c>
      <c r="N305" s="264">
        <v>0</v>
      </c>
      <c r="O305" s="264">
        <v>1416533</v>
      </c>
      <c r="P305" s="264">
        <v>0</v>
      </c>
      <c r="Q305" s="265">
        <f>L305/I305</f>
        <v>1095.5398298530549</v>
      </c>
      <c r="R305" s="265">
        <v>7822</v>
      </c>
      <c r="S305" s="266">
        <v>43100</v>
      </c>
    </row>
    <row r="306" spans="1:19" s="1" customFormat="1" ht="31.5">
      <c r="A306" s="258">
        <f>A305+1</f>
        <v>44</v>
      </c>
      <c r="B306" s="287" t="s">
        <v>504</v>
      </c>
      <c r="C306" s="260">
        <v>1966</v>
      </c>
      <c r="D306" s="260"/>
      <c r="E306" s="261" t="s">
        <v>218</v>
      </c>
      <c r="F306" s="260">
        <v>2</v>
      </c>
      <c r="G306" s="260">
        <v>2</v>
      </c>
      <c r="H306" s="262">
        <v>460.9</v>
      </c>
      <c r="I306" s="260">
        <v>460.9</v>
      </c>
      <c r="J306" s="260">
        <v>432.1</v>
      </c>
      <c r="K306" s="263">
        <v>11</v>
      </c>
      <c r="L306" s="264">
        <v>1144599</v>
      </c>
      <c r="M306" s="264">
        <v>0</v>
      </c>
      <c r="N306" s="264">
        <v>0</v>
      </c>
      <c r="O306" s="264">
        <v>1144599</v>
      </c>
      <c r="P306" s="264">
        <v>0</v>
      </c>
      <c r="Q306" s="265">
        <f>L306/I306</f>
        <v>2483.3998698199175</v>
      </c>
      <c r="R306" s="265">
        <v>7822</v>
      </c>
      <c r="S306" s="266">
        <v>43100</v>
      </c>
    </row>
    <row r="307" spans="1:19" s="1" customFormat="1" ht="15.75">
      <c r="A307" s="87"/>
      <c r="B307" s="1066" t="s">
        <v>45</v>
      </c>
      <c r="C307" s="1066"/>
      <c r="D307" s="1066"/>
      <c r="E307" s="1066"/>
      <c r="F307" s="1066"/>
      <c r="G307" s="1066"/>
      <c r="H307" s="107">
        <f>H308+H310+H312+H314+H316+H317+H318</f>
        <v>12862.18</v>
      </c>
      <c r="I307" s="107">
        <f t="shared" ref="I307:P307" si="48">I308+I310+I312+I314+I316+I317+I318</f>
        <v>11237.579999999998</v>
      </c>
      <c r="J307" s="107">
        <f t="shared" si="48"/>
        <v>9407.9000000000015</v>
      </c>
      <c r="K307" s="107">
        <f t="shared" si="48"/>
        <v>459</v>
      </c>
      <c r="L307" s="496">
        <f t="shared" si="48"/>
        <v>9578601</v>
      </c>
      <c r="M307" s="496">
        <f t="shared" si="48"/>
        <v>0</v>
      </c>
      <c r="N307" s="496">
        <f t="shared" si="48"/>
        <v>200000</v>
      </c>
      <c r="O307" s="496">
        <f t="shared" si="48"/>
        <v>9378601</v>
      </c>
      <c r="P307" s="496">
        <f t="shared" si="48"/>
        <v>0</v>
      </c>
      <c r="Q307" s="86" t="s">
        <v>40</v>
      </c>
      <c r="R307" s="93" t="s">
        <v>40</v>
      </c>
      <c r="S307" s="266">
        <v>43100</v>
      </c>
    </row>
    <row r="308" spans="1:19" s="1" customFormat="1" ht="15.75">
      <c r="A308" s="258"/>
      <c r="B308" s="1067" t="s">
        <v>98</v>
      </c>
      <c r="C308" s="1067"/>
      <c r="D308" s="1067"/>
      <c r="E308" s="1067"/>
      <c r="F308" s="1067"/>
      <c r="G308" s="1067"/>
      <c r="H308" s="296">
        <f>H309</f>
        <v>3536</v>
      </c>
      <c r="I308" s="296">
        <f t="shared" ref="I308:P308" si="49">I309</f>
        <v>3173</v>
      </c>
      <c r="J308" s="296">
        <f t="shared" si="49"/>
        <v>3014.3</v>
      </c>
      <c r="K308" s="296">
        <f t="shared" si="49"/>
        <v>153</v>
      </c>
      <c r="L308" s="592">
        <f t="shared" si="49"/>
        <v>2256851</v>
      </c>
      <c r="M308" s="592">
        <f t="shared" si="49"/>
        <v>0</v>
      </c>
      <c r="N308" s="592">
        <f t="shared" si="49"/>
        <v>0</v>
      </c>
      <c r="O308" s="592">
        <f t="shared" si="49"/>
        <v>2256851</v>
      </c>
      <c r="P308" s="592">
        <f t="shared" si="49"/>
        <v>0</v>
      </c>
      <c r="Q308" s="298" t="s">
        <v>40</v>
      </c>
      <c r="R308" s="298" t="s">
        <v>40</v>
      </c>
      <c r="S308" s="266">
        <v>43100</v>
      </c>
    </row>
    <row r="309" spans="1:19" s="1" customFormat="1" ht="31.5">
      <c r="A309" s="258">
        <f>A306+1</f>
        <v>45</v>
      </c>
      <c r="B309" s="510" t="s">
        <v>794</v>
      </c>
      <c r="C309" s="258">
        <v>1978</v>
      </c>
      <c r="D309" s="260"/>
      <c r="E309" s="261" t="s">
        <v>218</v>
      </c>
      <c r="F309" s="260">
        <v>5</v>
      </c>
      <c r="G309" s="260">
        <v>4</v>
      </c>
      <c r="H309" s="483">
        <v>3536</v>
      </c>
      <c r="I309" s="511">
        <v>3173</v>
      </c>
      <c r="J309" s="512">
        <v>3014.3</v>
      </c>
      <c r="K309" s="513">
        <v>153</v>
      </c>
      <c r="L309" s="264">
        <v>2256851</v>
      </c>
      <c r="M309" s="264">
        <v>0</v>
      </c>
      <c r="N309" s="264">
        <v>0</v>
      </c>
      <c r="O309" s="264">
        <v>2256851</v>
      </c>
      <c r="P309" s="264">
        <f>SUM(P314:P314)</f>
        <v>0</v>
      </c>
      <c r="Q309" s="265">
        <f>L309/I309</f>
        <v>711.26725496375673</v>
      </c>
      <c r="R309" s="265">
        <v>7822</v>
      </c>
      <c r="S309" s="266">
        <v>43100</v>
      </c>
    </row>
    <row r="310" spans="1:19" s="1" customFormat="1" ht="15.75">
      <c r="A310" s="258"/>
      <c r="B310" s="1067" t="s">
        <v>688</v>
      </c>
      <c r="C310" s="1067"/>
      <c r="D310" s="1067"/>
      <c r="E310" s="1067"/>
      <c r="F310" s="1067"/>
      <c r="G310" s="1067"/>
      <c r="H310" s="483">
        <f>H311</f>
        <v>1426.08</v>
      </c>
      <c r="I310" s="483">
        <f t="shared" ref="I310:P310" si="50">I311</f>
        <v>1426.08</v>
      </c>
      <c r="J310" s="483">
        <f t="shared" si="50"/>
        <v>821.4</v>
      </c>
      <c r="K310" s="483">
        <f t="shared" si="50"/>
        <v>47</v>
      </c>
      <c r="L310" s="509">
        <f t="shared" si="50"/>
        <v>1826091</v>
      </c>
      <c r="M310" s="509">
        <f t="shared" si="50"/>
        <v>0</v>
      </c>
      <c r="N310" s="509">
        <f t="shared" si="50"/>
        <v>0</v>
      </c>
      <c r="O310" s="509">
        <f t="shared" si="50"/>
        <v>1826091</v>
      </c>
      <c r="P310" s="509">
        <f t="shared" si="50"/>
        <v>0</v>
      </c>
      <c r="Q310" s="298" t="s">
        <v>40</v>
      </c>
      <c r="R310" s="298" t="s">
        <v>40</v>
      </c>
      <c r="S310" s="266">
        <v>43100</v>
      </c>
    </row>
    <row r="311" spans="1:19" s="1" customFormat="1" ht="31.5">
      <c r="A311" s="258">
        <v>46</v>
      </c>
      <c r="B311" s="510" t="s">
        <v>689</v>
      </c>
      <c r="C311" s="258">
        <v>1980</v>
      </c>
      <c r="D311" s="260"/>
      <c r="E311" s="261" t="s">
        <v>219</v>
      </c>
      <c r="F311" s="260">
        <v>3</v>
      </c>
      <c r="G311" s="260">
        <v>3</v>
      </c>
      <c r="H311" s="483">
        <v>1426.08</v>
      </c>
      <c r="I311" s="511">
        <v>1426.08</v>
      </c>
      <c r="J311" s="512">
        <v>821.4</v>
      </c>
      <c r="K311" s="513">
        <v>47</v>
      </c>
      <c r="L311" s="264">
        <v>1826091</v>
      </c>
      <c r="M311" s="264">
        <v>0</v>
      </c>
      <c r="N311" s="264">
        <v>0</v>
      </c>
      <c r="O311" s="264">
        <v>1826091</v>
      </c>
      <c r="P311" s="264">
        <v>0</v>
      </c>
      <c r="Q311" s="265">
        <f>L311/I311</f>
        <v>1280.4968865701785</v>
      </c>
      <c r="R311" s="265">
        <v>7822</v>
      </c>
      <c r="S311" s="266">
        <v>43100</v>
      </c>
    </row>
    <row r="312" spans="1:19" s="1" customFormat="1" ht="15.75">
      <c r="A312" s="258"/>
      <c r="B312" s="1067" t="s">
        <v>99</v>
      </c>
      <c r="C312" s="1067"/>
      <c r="D312" s="1067"/>
      <c r="E312" s="1067"/>
      <c r="F312" s="1067"/>
      <c r="G312" s="1067"/>
      <c r="H312" s="296">
        <f>H313</f>
        <v>961.2</v>
      </c>
      <c r="I312" s="296">
        <f t="shared" ref="I312:P312" si="51">I313</f>
        <v>915.9</v>
      </c>
      <c r="J312" s="296">
        <f t="shared" si="51"/>
        <v>870.4</v>
      </c>
      <c r="K312" s="296">
        <f t="shared" si="51"/>
        <v>37</v>
      </c>
      <c r="L312" s="592">
        <f t="shared" si="51"/>
        <v>1602324</v>
      </c>
      <c r="M312" s="592">
        <f t="shared" si="51"/>
        <v>0</v>
      </c>
      <c r="N312" s="592">
        <f t="shared" si="51"/>
        <v>0</v>
      </c>
      <c r="O312" s="592">
        <f t="shared" si="51"/>
        <v>1602324</v>
      </c>
      <c r="P312" s="592">
        <f t="shared" si="51"/>
        <v>0</v>
      </c>
      <c r="Q312" s="298" t="s">
        <v>40</v>
      </c>
      <c r="R312" s="298" t="s">
        <v>40</v>
      </c>
      <c r="S312" s="266">
        <v>43100</v>
      </c>
    </row>
    <row r="313" spans="1:19" s="16" customFormat="1" ht="31.5">
      <c r="A313" s="258">
        <v>47</v>
      </c>
      <c r="B313" s="259" t="s">
        <v>799</v>
      </c>
      <c r="C313" s="334">
        <v>1972</v>
      </c>
      <c r="D313" s="334"/>
      <c r="E313" s="261" t="s">
        <v>218</v>
      </c>
      <c r="F313" s="334">
        <v>2</v>
      </c>
      <c r="G313" s="334">
        <v>3</v>
      </c>
      <c r="H313" s="335">
        <v>961.2</v>
      </c>
      <c r="I313" s="630">
        <v>915.9</v>
      </c>
      <c r="J313" s="630">
        <v>870.4</v>
      </c>
      <c r="K313" s="337">
        <v>37</v>
      </c>
      <c r="L313" s="264">
        <v>1602324</v>
      </c>
      <c r="M313" s="264">
        <v>0</v>
      </c>
      <c r="N313" s="264">
        <v>0</v>
      </c>
      <c r="O313" s="264">
        <f>L313</f>
        <v>1602324</v>
      </c>
      <c r="P313" s="264">
        <v>0</v>
      </c>
      <c r="Q313" s="338">
        <f>L313/I313</f>
        <v>1749.45299705208</v>
      </c>
      <c r="R313" s="265">
        <v>7822</v>
      </c>
      <c r="S313" s="266">
        <v>43100</v>
      </c>
    </row>
    <row r="314" spans="1:19" s="1" customFormat="1" ht="15.75" customHeight="1">
      <c r="A314" s="258"/>
      <c r="B314" s="1087" t="s">
        <v>100</v>
      </c>
      <c r="C314" s="1087"/>
      <c r="D314" s="1087"/>
      <c r="E314" s="1087"/>
      <c r="F314" s="1087"/>
      <c r="G314" s="1087"/>
      <c r="H314" s="483">
        <f>H315</f>
        <v>3346.3</v>
      </c>
      <c r="I314" s="348">
        <f t="shared" ref="I314:P314" si="52">I315</f>
        <v>2997.3</v>
      </c>
      <c r="J314" s="348">
        <f t="shared" si="52"/>
        <v>2852.1</v>
      </c>
      <c r="K314" s="484">
        <f t="shared" si="52"/>
        <v>128</v>
      </c>
      <c r="L314" s="264">
        <f t="shared" si="52"/>
        <v>1986648</v>
      </c>
      <c r="M314" s="264">
        <f t="shared" si="52"/>
        <v>0</v>
      </c>
      <c r="N314" s="264">
        <f>N315</f>
        <v>200000</v>
      </c>
      <c r="O314" s="264">
        <f t="shared" si="52"/>
        <v>1786648</v>
      </c>
      <c r="P314" s="264">
        <f t="shared" si="52"/>
        <v>0</v>
      </c>
      <c r="Q314" s="265" t="s">
        <v>40</v>
      </c>
      <c r="R314" s="265" t="s">
        <v>40</v>
      </c>
      <c r="S314" s="266">
        <v>43100</v>
      </c>
    </row>
    <row r="315" spans="1:19" s="1" customFormat="1" ht="31.5">
      <c r="A315" s="258">
        <v>48</v>
      </c>
      <c r="B315" s="510" t="s">
        <v>693</v>
      </c>
      <c r="C315" s="258">
        <v>1982</v>
      </c>
      <c r="D315" s="260"/>
      <c r="E315" s="261" t="s">
        <v>220</v>
      </c>
      <c r="F315" s="260">
        <v>5</v>
      </c>
      <c r="G315" s="260">
        <v>4</v>
      </c>
      <c r="H315" s="483">
        <v>3346.3</v>
      </c>
      <c r="I315" s="511">
        <v>2997.3</v>
      </c>
      <c r="J315" s="512">
        <v>2852.1</v>
      </c>
      <c r="K315" s="513">
        <v>128</v>
      </c>
      <c r="L315" s="264">
        <v>1986648</v>
      </c>
      <c r="M315" s="264">
        <v>0</v>
      </c>
      <c r="N315" s="264">
        <v>200000</v>
      </c>
      <c r="O315" s="264">
        <v>1786648</v>
      </c>
      <c r="P315" s="264">
        <v>0</v>
      </c>
      <c r="Q315" s="265">
        <f>L315/I315</f>
        <v>662.81253127815035</v>
      </c>
      <c r="R315" s="265">
        <v>7822</v>
      </c>
      <c r="S315" s="266">
        <v>43100</v>
      </c>
    </row>
    <row r="316" spans="1:19" s="1" customFormat="1" ht="23.45" customHeight="1">
      <c r="A316" s="258"/>
      <c r="B316" s="1081" t="s">
        <v>101</v>
      </c>
      <c r="C316" s="1081"/>
      <c r="D316" s="1081"/>
      <c r="E316" s="1081"/>
      <c r="F316" s="1081"/>
      <c r="G316" s="1081"/>
      <c r="H316" s="296">
        <v>0</v>
      </c>
      <c r="I316" s="298">
        <v>0</v>
      </c>
      <c r="J316" s="298">
        <v>0</v>
      </c>
      <c r="K316" s="297">
        <v>0</v>
      </c>
      <c r="L316" s="264">
        <v>0</v>
      </c>
      <c r="M316" s="264">
        <v>0</v>
      </c>
      <c r="N316" s="264">
        <v>0</v>
      </c>
      <c r="O316" s="264">
        <v>0</v>
      </c>
      <c r="P316" s="264">
        <v>0</v>
      </c>
      <c r="Q316" s="298" t="s">
        <v>40</v>
      </c>
      <c r="R316" s="298" t="s">
        <v>40</v>
      </c>
      <c r="S316" s="266">
        <v>43100</v>
      </c>
    </row>
    <row r="317" spans="1:19" s="16" customFormat="1" ht="23.45" customHeight="1">
      <c r="A317" s="258"/>
      <c r="B317" s="1081" t="s">
        <v>126</v>
      </c>
      <c r="C317" s="1081"/>
      <c r="D317" s="1081"/>
      <c r="E317" s="1081"/>
      <c r="F317" s="1081"/>
      <c r="G317" s="1081"/>
      <c r="H317" s="335">
        <v>0</v>
      </c>
      <c r="I317" s="334">
        <v>0</v>
      </c>
      <c r="J317" s="334">
        <v>0</v>
      </c>
      <c r="K317" s="337">
        <v>0</v>
      </c>
      <c r="L317" s="264">
        <v>0</v>
      </c>
      <c r="M317" s="264">
        <v>0</v>
      </c>
      <c r="N317" s="264">
        <v>0</v>
      </c>
      <c r="O317" s="264">
        <v>0</v>
      </c>
      <c r="P317" s="264">
        <v>0</v>
      </c>
      <c r="Q317" s="338" t="s">
        <v>40</v>
      </c>
      <c r="R317" s="334" t="s">
        <v>40</v>
      </c>
      <c r="S317" s="266">
        <v>43100</v>
      </c>
    </row>
    <row r="318" spans="1:19" s="1" customFormat="1" ht="22.9" customHeight="1">
      <c r="A318" s="258"/>
      <c r="B318" s="1081" t="s">
        <v>861</v>
      </c>
      <c r="C318" s="1081"/>
      <c r="D318" s="1081"/>
      <c r="E318" s="1081"/>
      <c r="F318" s="1081"/>
      <c r="G318" s="1081"/>
      <c r="H318" s="677">
        <f>H319</f>
        <v>3592.6</v>
      </c>
      <c r="I318" s="677">
        <f t="shared" ref="I318:P318" si="53">I319</f>
        <v>2725.3</v>
      </c>
      <c r="J318" s="677">
        <f t="shared" si="53"/>
        <v>1849.7</v>
      </c>
      <c r="K318" s="677">
        <f t="shared" si="53"/>
        <v>94</v>
      </c>
      <c r="L318" s="650">
        <f t="shared" si="53"/>
        <v>1906687</v>
      </c>
      <c r="M318" s="650">
        <f t="shared" si="53"/>
        <v>0</v>
      </c>
      <c r="N318" s="650">
        <f t="shared" si="53"/>
        <v>0</v>
      </c>
      <c r="O318" s="650">
        <f t="shared" si="53"/>
        <v>1906687</v>
      </c>
      <c r="P318" s="650">
        <f t="shared" si="53"/>
        <v>0</v>
      </c>
      <c r="Q318" s="338" t="s">
        <v>40</v>
      </c>
      <c r="R318" s="334" t="s">
        <v>40</v>
      </c>
      <c r="S318" s="266">
        <v>43100</v>
      </c>
    </row>
    <row r="319" spans="1:19" s="1" customFormat="1" ht="31.9" customHeight="1">
      <c r="A319" s="258"/>
      <c r="B319" s="533" t="s">
        <v>859</v>
      </c>
      <c r="C319" s="258">
        <v>1973</v>
      </c>
      <c r="D319" s="258"/>
      <c r="E319" s="261" t="s">
        <v>860</v>
      </c>
      <c r="F319" s="258">
        <v>5</v>
      </c>
      <c r="G319" s="258">
        <v>4</v>
      </c>
      <c r="H319" s="677">
        <v>3592.6</v>
      </c>
      <c r="I319" s="258">
        <v>2725.3</v>
      </c>
      <c r="J319" s="258">
        <v>1849.7</v>
      </c>
      <c r="K319" s="513">
        <v>94</v>
      </c>
      <c r="L319" s="264">
        <v>1906687</v>
      </c>
      <c r="M319" s="264">
        <v>0</v>
      </c>
      <c r="N319" s="264">
        <v>0</v>
      </c>
      <c r="O319" s="264">
        <v>1906687</v>
      </c>
      <c r="P319" s="264">
        <v>0</v>
      </c>
      <c r="Q319" s="338">
        <f>L319/I319</f>
        <v>699.62462848126802</v>
      </c>
      <c r="R319" s="265">
        <v>7822</v>
      </c>
      <c r="S319" s="266">
        <v>43100</v>
      </c>
    </row>
    <row r="320" spans="1:19" s="1" customFormat="1" ht="15.75">
      <c r="A320" s="87"/>
      <c r="B320" s="1066" t="s">
        <v>46</v>
      </c>
      <c r="C320" s="1066"/>
      <c r="D320" s="1066"/>
      <c r="E320" s="1066"/>
      <c r="F320" s="1066"/>
      <c r="G320" s="1066"/>
      <c r="H320" s="107">
        <f>H321</f>
        <v>525.4</v>
      </c>
      <c r="I320" s="86">
        <f t="shared" ref="I320:P320" si="54">I321</f>
        <v>469</v>
      </c>
      <c r="J320" s="86">
        <f t="shared" si="54"/>
        <v>384.8</v>
      </c>
      <c r="K320" s="98">
        <f t="shared" si="54"/>
        <v>21</v>
      </c>
      <c r="L320" s="92">
        <f t="shared" si="54"/>
        <v>1415265</v>
      </c>
      <c r="M320" s="92">
        <f t="shared" si="54"/>
        <v>0</v>
      </c>
      <c r="N320" s="92">
        <f t="shared" si="54"/>
        <v>0</v>
      </c>
      <c r="O320" s="92">
        <f t="shared" si="54"/>
        <v>1415265</v>
      </c>
      <c r="P320" s="92">
        <f t="shared" si="54"/>
        <v>0</v>
      </c>
      <c r="Q320" s="86" t="s">
        <v>40</v>
      </c>
      <c r="R320" s="86" t="s">
        <v>40</v>
      </c>
      <c r="S320" s="266">
        <v>43100</v>
      </c>
    </row>
    <row r="321" spans="1:19" s="1" customFormat="1" ht="15.75">
      <c r="A321" s="87"/>
      <c r="B321" s="1066" t="s">
        <v>102</v>
      </c>
      <c r="C321" s="1066"/>
      <c r="D321" s="1066"/>
      <c r="E321" s="1066"/>
      <c r="F321" s="1066"/>
      <c r="G321" s="1066"/>
      <c r="H321" s="107">
        <f>H322+H323</f>
        <v>525.4</v>
      </c>
      <c r="I321" s="86">
        <f t="shared" ref="I321:P321" si="55">I322+I323</f>
        <v>469</v>
      </c>
      <c r="J321" s="86">
        <f t="shared" si="55"/>
        <v>384.8</v>
      </c>
      <c r="K321" s="98">
        <f t="shared" si="55"/>
        <v>21</v>
      </c>
      <c r="L321" s="92">
        <f t="shared" si="55"/>
        <v>1415265</v>
      </c>
      <c r="M321" s="92">
        <f t="shared" si="55"/>
        <v>0</v>
      </c>
      <c r="N321" s="92">
        <f t="shared" si="55"/>
        <v>0</v>
      </c>
      <c r="O321" s="92">
        <f>O322+O323</f>
        <v>1415265</v>
      </c>
      <c r="P321" s="92">
        <f t="shared" si="55"/>
        <v>0</v>
      </c>
      <c r="Q321" s="86" t="s">
        <v>40</v>
      </c>
      <c r="R321" s="86" t="s">
        <v>40</v>
      </c>
      <c r="S321" s="266">
        <v>43100</v>
      </c>
    </row>
    <row r="322" spans="1:19" s="1" customFormat="1" ht="31.5">
      <c r="A322" s="258">
        <v>51</v>
      </c>
      <c r="B322" s="259" t="s">
        <v>485</v>
      </c>
      <c r="C322" s="260">
        <v>1966</v>
      </c>
      <c r="D322" s="308"/>
      <c r="E322" s="261" t="s">
        <v>218</v>
      </c>
      <c r="F322" s="260">
        <v>2</v>
      </c>
      <c r="G322" s="260">
        <v>2</v>
      </c>
      <c r="H322" s="262">
        <v>525.4</v>
      </c>
      <c r="I322" s="309">
        <v>469</v>
      </c>
      <c r="J322" s="260">
        <v>384.8</v>
      </c>
      <c r="K322" s="263">
        <v>21</v>
      </c>
      <c r="L322" s="264">
        <v>1415265</v>
      </c>
      <c r="M322" s="264">
        <v>0</v>
      </c>
      <c r="N322" s="264">
        <v>0</v>
      </c>
      <c r="O322" s="264">
        <v>1415265</v>
      </c>
      <c r="P322" s="264">
        <v>0</v>
      </c>
      <c r="Q322" s="265">
        <f>L322/I322</f>
        <v>3017.6226012793177</v>
      </c>
      <c r="R322" s="265">
        <v>7822</v>
      </c>
      <c r="S322" s="266">
        <v>43100</v>
      </c>
    </row>
    <row r="323" spans="1:19" s="1" customFormat="1" ht="15.75">
      <c r="A323" s="87"/>
      <c r="B323" s="225"/>
      <c r="C323" s="88"/>
      <c r="D323" s="130"/>
      <c r="E323" s="89"/>
      <c r="F323" s="88"/>
      <c r="G323" s="88"/>
      <c r="H323" s="90"/>
      <c r="I323" s="88"/>
      <c r="J323" s="88"/>
      <c r="K323" s="91"/>
      <c r="L323" s="92"/>
      <c r="M323" s="92"/>
      <c r="N323" s="92"/>
      <c r="O323" s="92"/>
      <c r="P323" s="92"/>
      <c r="Q323" s="93"/>
      <c r="R323" s="93"/>
      <c r="S323" s="266"/>
    </row>
    <row r="324" spans="1:19" s="1" customFormat="1" ht="15.75">
      <c r="A324" s="87"/>
      <c r="B324" s="1066" t="s">
        <v>47</v>
      </c>
      <c r="C324" s="1066"/>
      <c r="D324" s="1066"/>
      <c r="E324" s="1066"/>
      <c r="F324" s="1066"/>
      <c r="G324" s="1066"/>
      <c r="H324" s="107">
        <f>H325</f>
        <v>3715.2</v>
      </c>
      <c r="I324" s="86">
        <f t="shared" ref="I324:P324" si="56">I325</f>
        <v>3256.7999999999997</v>
      </c>
      <c r="J324" s="86">
        <f t="shared" si="56"/>
        <v>3256.7999999999997</v>
      </c>
      <c r="K324" s="98">
        <f t="shared" si="56"/>
        <v>106</v>
      </c>
      <c r="L324" s="92">
        <f t="shared" si="56"/>
        <v>6592116</v>
      </c>
      <c r="M324" s="92">
        <f>M325</f>
        <v>0</v>
      </c>
      <c r="N324" s="92">
        <f t="shared" si="56"/>
        <v>3619172.24</v>
      </c>
      <c r="O324" s="92">
        <f t="shared" si="56"/>
        <v>2972943.76</v>
      </c>
      <c r="P324" s="92">
        <f t="shared" si="56"/>
        <v>0</v>
      </c>
      <c r="Q324" s="86" t="s">
        <v>40</v>
      </c>
      <c r="R324" s="93" t="s">
        <v>40</v>
      </c>
      <c r="S324" s="266">
        <v>43100</v>
      </c>
    </row>
    <row r="325" spans="1:19" s="1" customFormat="1" ht="15.75">
      <c r="A325" s="258"/>
      <c r="B325" s="1067" t="s">
        <v>103</v>
      </c>
      <c r="C325" s="1067"/>
      <c r="D325" s="1067"/>
      <c r="E325" s="1067"/>
      <c r="F325" s="1067"/>
      <c r="G325" s="1067"/>
      <c r="H325" s="296">
        <f>SUM(H326:H330)</f>
        <v>3715.2</v>
      </c>
      <c r="I325" s="298">
        <f t="shared" ref="I325:P325" si="57">SUM(I326:I330)</f>
        <v>3256.7999999999997</v>
      </c>
      <c r="J325" s="298">
        <f t="shared" si="57"/>
        <v>3256.7999999999997</v>
      </c>
      <c r="K325" s="297">
        <f t="shared" si="57"/>
        <v>106</v>
      </c>
      <c r="L325" s="264">
        <f t="shared" si="57"/>
        <v>6592116</v>
      </c>
      <c r="M325" s="264">
        <f>SUM(M326:M330)</f>
        <v>0</v>
      </c>
      <c r="N325" s="264">
        <f t="shared" si="57"/>
        <v>3619172.24</v>
      </c>
      <c r="O325" s="264">
        <f t="shared" si="57"/>
        <v>2972943.76</v>
      </c>
      <c r="P325" s="264">
        <f t="shared" si="57"/>
        <v>0</v>
      </c>
      <c r="Q325" s="298" t="s">
        <v>40</v>
      </c>
      <c r="R325" s="298" t="s">
        <v>40</v>
      </c>
      <c r="S325" s="266">
        <v>43100</v>
      </c>
    </row>
    <row r="326" spans="1:19" s="1" customFormat="1" ht="15.75">
      <c r="A326" s="258">
        <v>52</v>
      </c>
      <c r="B326" s="287" t="s">
        <v>723</v>
      </c>
      <c r="C326" s="486" t="s">
        <v>874</v>
      </c>
      <c r="D326" s="486"/>
      <c r="E326" s="261" t="s">
        <v>219</v>
      </c>
      <c r="F326" s="260">
        <v>4</v>
      </c>
      <c r="G326" s="260">
        <v>2</v>
      </c>
      <c r="H326" s="483">
        <v>1813.9</v>
      </c>
      <c r="I326" s="348">
        <v>1502.8</v>
      </c>
      <c r="J326" s="348">
        <v>1502.8</v>
      </c>
      <c r="K326" s="263">
        <v>44</v>
      </c>
      <c r="L326" s="264">
        <v>1682684</v>
      </c>
      <c r="M326" s="264">
        <v>0</v>
      </c>
      <c r="N326" s="264">
        <v>841342</v>
      </c>
      <c r="O326" s="264">
        <v>841342</v>
      </c>
      <c r="P326" s="264">
        <f>SUM(P327:P330)</f>
        <v>0</v>
      </c>
      <c r="Q326" s="348">
        <f>L326/I326</f>
        <v>1119.6992281075327</v>
      </c>
      <c r="R326" s="265">
        <v>7822</v>
      </c>
      <c r="S326" s="266">
        <v>43100</v>
      </c>
    </row>
    <row r="327" spans="1:19" s="1" customFormat="1" ht="33.6" customHeight="1">
      <c r="A327" s="258">
        <f>A326+1</f>
        <v>53</v>
      </c>
      <c r="B327" s="287" t="s">
        <v>870</v>
      </c>
      <c r="C327" s="486" t="s">
        <v>875</v>
      </c>
      <c r="D327" s="486"/>
      <c r="E327" s="261" t="s">
        <v>218</v>
      </c>
      <c r="F327" s="260">
        <v>2</v>
      </c>
      <c r="G327" s="260">
        <v>2</v>
      </c>
      <c r="H327" s="483">
        <v>503</v>
      </c>
      <c r="I327" s="348">
        <v>444.9</v>
      </c>
      <c r="J327" s="348">
        <v>444.9</v>
      </c>
      <c r="K327" s="263">
        <v>19</v>
      </c>
      <c r="L327" s="264">
        <v>1227835</v>
      </c>
      <c r="M327" s="264">
        <v>0</v>
      </c>
      <c r="N327" s="264">
        <v>716701</v>
      </c>
      <c r="O327" s="264">
        <v>511134</v>
      </c>
      <c r="P327" s="264">
        <f>SUM(P328:P330)</f>
        <v>0</v>
      </c>
      <c r="Q327" s="348">
        <f>L327/I327</f>
        <v>2759.7999550460777</v>
      </c>
      <c r="R327" s="265">
        <v>7822</v>
      </c>
      <c r="S327" s="266">
        <v>43100</v>
      </c>
    </row>
    <row r="328" spans="1:19" s="1" customFormat="1" ht="15.75">
      <c r="A328" s="258">
        <f>A327+1</f>
        <v>54</v>
      </c>
      <c r="B328" s="287" t="s">
        <v>871</v>
      </c>
      <c r="C328" s="486" t="s">
        <v>876</v>
      </c>
      <c r="D328" s="486"/>
      <c r="E328" s="261" t="s">
        <v>220</v>
      </c>
      <c r="F328" s="260">
        <v>2</v>
      </c>
      <c r="G328" s="260">
        <v>2</v>
      </c>
      <c r="H328" s="483">
        <v>593.5</v>
      </c>
      <c r="I328" s="348">
        <v>543.20000000000005</v>
      </c>
      <c r="J328" s="348">
        <v>543.20000000000005</v>
      </c>
      <c r="K328" s="263">
        <v>18</v>
      </c>
      <c r="L328" s="264">
        <v>1562951</v>
      </c>
      <c r="M328" s="264">
        <v>0</v>
      </c>
      <c r="N328" s="264">
        <v>937770</v>
      </c>
      <c r="O328" s="264">
        <v>625181</v>
      </c>
      <c r="P328" s="264">
        <f>SUM(P330:P330)</f>
        <v>0</v>
      </c>
      <c r="Q328" s="348">
        <f>L328/I328</f>
        <v>2877.3030191458024</v>
      </c>
      <c r="R328" s="265">
        <v>7822</v>
      </c>
      <c r="S328" s="266">
        <v>43100</v>
      </c>
    </row>
    <row r="329" spans="1:19" s="1" customFormat="1" ht="31.5">
      <c r="A329" s="258">
        <f>A327+1</f>
        <v>54</v>
      </c>
      <c r="B329" s="287" t="s">
        <v>872</v>
      </c>
      <c r="C329" s="486" t="s">
        <v>877</v>
      </c>
      <c r="D329" s="486"/>
      <c r="E329" s="261" t="s">
        <v>218</v>
      </c>
      <c r="F329" s="260">
        <v>2</v>
      </c>
      <c r="G329" s="260">
        <v>2</v>
      </c>
      <c r="H329" s="483">
        <v>331.7</v>
      </c>
      <c r="I329" s="348">
        <v>298.89999999999998</v>
      </c>
      <c r="J329" s="348">
        <v>298.89999999999998</v>
      </c>
      <c r="K329" s="263">
        <v>13</v>
      </c>
      <c r="L329" s="264">
        <v>974952</v>
      </c>
      <c r="M329" s="264">
        <v>0</v>
      </c>
      <c r="N329" s="264">
        <v>509980</v>
      </c>
      <c r="O329" s="264">
        <v>464972</v>
      </c>
      <c r="P329" s="264">
        <f>SUM(P330:P330)</f>
        <v>0</v>
      </c>
      <c r="Q329" s="348">
        <f>L329/I329</f>
        <v>3261.7999330879898</v>
      </c>
      <c r="R329" s="265">
        <v>7822</v>
      </c>
      <c r="S329" s="266">
        <v>43100</v>
      </c>
    </row>
    <row r="330" spans="1:19" s="1" customFormat="1" ht="31.5">
      <c r="A330" s="258">
        <f>A328+1</f>
        <v>55</v>
      </c>
      <c r="B330" s="287" t="s">
        <v>873</v>
      </c>
      <c r="C330" s="486" t="s">
        <v>877</v>
      </c>
      <c r="D330" s="486"/>
      <c r="E330" s="261" t="s">
        <v>218</v>
      </c>
      <c r="F330" s="260">
        <v>2</v>
      </c>
      <c r="G330" s="260">
        <v>2</v>
      </c>
      <c r="H330" s="483">
        <v>473.1</v>
      </c>
      <c r="I330" s="348">
        <v>467</v>
      </c>
      <c r="J330" s="348">
        <v>467</v>
      </c>
      <c r="K330" s="263">
        <v>12</v>
      </c>
      <c r="L330" s="264">
        <v>1143694</v>
      </c>
      <c r="M330" s="264">
        <v>0</v>
      </c>
      <c r="N330" s="264">
        <v>613379.24</v>
      </c>
      <c r="O330" s="264">
        <v>530314.76</v>
      </c>
      <c r="P330" s="264">
        <f>SUM(P331:P331)</f>
        <v>0</v>
      </c>
      <c r="Q330" s="348">
        <f>L330/I330</f>
        <v>2449.0235546038543</v>
      </c>
      <c r="R330" s="265">
        <v>7822</v>
      </c>
      <c r="S330" s="266">
        <v>43100</v>
      </c>
    </row>
    <row r="331" spans="1:19" s="1" customFormat="1" ht="15.75">
      <c r="A331" s="87"/>
      <c r="B331" s="1066" t="s">
        <v>48</v>
      </c>
      <c r="C331" s="1066"/>
      <c r="D331" s="1066"/>
      <c r="E331" s="1066"/>
      <c r="F331" s="1066"/>
      <c r="G331" s="1066"/>
      <c r="H331" s="107">
        <f t="shared" ref="H331:P331" si="58">H332+H336</f>
        <v>1348.8000000000002</v>
      </c>
      <c r="I331" s="86">
        <f t="shared" si="58"/>
        <v>1176.6000000000001</v>
      </c>
      <c r="J331" s="86">
        <f t="shared" si="58"/>
        <v>1100.3000000000002</v>
      </c>
      <c r="K331" s="98">
        <f t="shared" si="58"/>
        <v>52</v>
      </c>
      <c r="L331" s="92">
        <f t="shared" si="58"/>
        <v>3699748</v>
      </c>
      <c r="M331" s="92">
        <f t="shared" si="58"/>
        <v>0</v>
      </c>
      <c r="N331" s="92">
        <f t="shared" si="58"/>
        <v>414501.02</v>
      </c>
      <c r="O331" s="92">
        <f t="shared" si="58"/>
        <v>3285246.98</v>
      </c>
      <c r="P331" s="92">
        <f t="shared" si="58"/>
        <v>0</v>
      </c>
      <c r="Q331" s="86" t="s">
        <v>40</v>
      </c>
      <c r="R331" s="93" t="s">
        <v>40</v>
      </c>
      <c r="S331" s="266">
        <v>43100</v>
      </c>
    </row>
    <row r="332" spans="1:19" s="1" customFormat="1" ht="15.75">
      <c r="A332" s="258"/>
      <c r="B332" s="1067" t="s">
        <v>107</v>
      </c>
      <c r="C332" s="1067"/>
      <c r="D332" s="1067"/>
      <c r="E332" s="1067"/>
      <c r="F332" s="1067"/>
      <c r="G332" s="1067"/>
      <c r="H332" s="296">
        <f>SUM(H333:H334)</f>
        <v>1083.3000000000002</v>
      </c>
      <c r="I332" s="296">
        <f t="shared" ref="I332:P332" si="59">SUM(I333:I334)</f>
        <v>933.7</v>
      </c>
      <c r="J332" s="296">
        <f t="shared" si="59"/>
        <v>857.40000000000009</v>
      </c>
      <c r="K332" s="296">
        <f t="shared" si="59"/>
        <v>50</v>
      </c>
      <c r="L332" s="592">
        <f t="shared" si="59"/>
        <v>3145909</v>
      </c>
      <c r="M332" s="592">
        <f t="shared" si="59"/>
        <v>0</v>
      </c>
      <c r="N332" s="592">
        <f t="shared" si="59"/>
        <v>0</v>
      </c>
      <c r="O332" s="592">
        <f t="shared" si="59"/>
        <v>3145909</v>
      </c>
      <c r="P332" s="592">
        <f t="shared" si="59"/>
        <v>0</v>
      </c>
      <c r="Q332" s="298" t="s">
        <v>40</v>
      </c>
      <c r="R332" s="298" t="s">
        <v>40</v>
      </c>
      <c r="S332" s="266">
        <v>43100</v>
      </c>
    </row>
    <row r="333" spans="1:19" s="1" customFormat="1" ht="31.5">
      <c r="A333" s="258">
        <f>A330+1</f>
        <v>56</v>
      </c>
      <c r="B333" s="510" t="s">
        <v>770</v>
      </c>
      <c r="C333" s="588">
        <v>1963</v>
      </c>
      <c r="D333" s="588"/>
      <c r="E333" s="261" t="s">
        <v>218</v>
      </c>
      <c r="F333" s="588">
        <v>2</v>
      </c>
      <c r="G333" s="588">
        <v>2</v>
      </c>
      <c r="H333" s="589">
        <v>560.6</v>
      </c>
      <c r="I333" s="590">
        <v>474.4</v>
      </c>
      <c r="J333" s="590">
        <v>398.1</v>
      </c>
      <c r="K333" s="591">
        <v>25</v>
      </c>
      <c r="L333" s="264">
        <v>1590271</v>
      </c>
      <c r="M333" s="264">
        <v>0</v>
      </c>
      <c r="N333" s="264">
        <v>0</v>
      </c>
      <c r="O333" s="264">
        <f>L333</f>
        <v>1590271</v>
      </c>
      <c r="P333" s="264">
        <v>0</v>
      </c>
      <c r="Q333" s="298">
        <f>L333/I333</f>
        <v>3352.1732715008434</v>
      </c>
      <c r="R333" s="265">
        <v>7822</v>
      </c>
      <c r="S333" s="266">
        <v>43100</v>
      </c>
    </row>
    <row r="334" spans="1:19" s="22" customFormat="1" ht="31.5">
      <c r="A334" s="258">
        <f>A333+1</f>
        <v>57</v>
      </c>
      <c r="B334" s="510" t="s">
        <v>771</v>
      </c>
      <c r="C334" s="295">
        <v>1966</v>
      </c>
      <c r="D334" s="295"/>
      <c r="E334" s="261" t="s">
        <v>218</v>
      </c>
      <c r="F334" s="295">
        <v>2</v>
      </c>
      <c r="G334" s="295">
        <v>2</v>
      </c>
      <c r="H334" s="296">
        <v>522.70000000000005</v>
      </c>
      <c r="I334" s="298">
        <v>459.3</v>
      </c>
      <c r="J334" s="298">
        <v>459.3</v>
      </c>
      <c r="K334" s="297">
        <v>25</v>
      </c>
      <c r="L334" s="264">
        <v>1555638</v>
      </c>
      <c r="M334" s="264">
        <v>0</v>
      </c>
      <c r="N334" s="264">
        <v>0</v>
      </c>
      <c r="O334" s="264">
        <f>L334</f>
        <v>1555638</v>
      </c>
      <c r="P334" s="264">
        <v>0</v>
      </c>
      <c r="Q334" s="298">
        <f>L334/I334</f>
        <v>3386.9758327890268</v>
      </c>
      <c r="R334" s="265">
        <v>7822</v>
      </c>
      <c r="S334" s="266">
        <v>43100</v>
      </c>
    </row>
    <row r="335" spans="1:19" s="22" customFormat="1" ht="15.75">
      <c r="A335" s="258"/>
      <c r="B335" s="587"/>
      <c r="C335" s="588"/>
      <c r="D335" s="588"/>
      <c r="E335" s="261"/>
      <c r="F335" s="588"/>
      <c r="G335" s="588"/>
      <c r="H335" s="589"/>
      <c r="I335" s="590"/>
      <c r="J335" s="590"/>
      <c r="K335" s="591"/>
      <c r="L335" s="264"/>
      <c r="M335" s="264"/>
      <c r="N335" s="264"/>
      <c r="O335" s="264"/>
      <c r="P335" s="264"/>
      <c r="Q335" s="298"/>
      <c r="R335" s="265"/>
      <c r="S335" s="266"/>
    </row>
    <row r="336" spans="1:19" s="1" customFormat="1" ht="15.75" customHeight="1">
      <c r="A336" s="87"/>
      <c r="B336" s="1068" t="s">
        <v>104</v>
      </c>
      <c r="C336" s="1068"/>
      <c r="D336" s="1068"/>
      <c r="E336" s="1068"/>
      <c r="F336" s="1068"/>
      <c r="G336" s="1068"/>
      <c r="H336" s="107">
        <f>H337</f>
        <v>265.5</v>
      </c>
      <c r="I336" s="86">
        <f t="shared" ref="I336:P336" si="60">I337</f>
        <v>242.9</v>
      </c>
      <c r="J336" s="86">
        <f t="shared" si="60"/>
        <v>242.9</v>
      </c>
      <c r="K336" s="98">
        <f t="shared" si="60"/>
        <v>2</v>
      </c>
      <c r="L336" s="92">
        <f t="shared" si="60"/>
        <v>553839</v>
      </c>
      <c r="M336" s="92">
        <f t="shared" si="60"/>
        <v>0</v>
      </c>
      <c r="N336" s="92">
        <f t="shared" si="60"/>
        <v>414501.02</v>
      </c>
      <c r="O336" s="92">
        <f t="shared" si="60"/>
        <v>139337.98000000001</v>
      </c>
      <c r="P336" s="92">
        <f t="shared" si="60"/>
        <v>0</v>
      </c>
      <c r="Q336" s="86" t="s">
        <v>40</v>
      </c>
      <c r="R336" s="93" t="s">
        <v>40</v>
      </c>
      <c r="S336" s="266">
        <v>43100</v>
      </c>
    </row>
    <row r="337" spans="1:19" s="1" customFormat="1" ht="31.5">
      <c r="A337" s="87"/>
      <c r="B337" s="225" t="s">
        <v>458</v>
      </c>
      <c r="C337" s="88">
        <v>1953</v>
      </c>
      <c r="D337" s="88"/>
      <c r="E337" s="89" t="s">
        <v>218</v>
      </c>
      <c r="F337" s="88">
        <v>2</v>
      </c>
      <c r="G337" s="88">
        <v>1</v>
      </c>
      <c r="H337" s="90">
        <v>265.5</v>
      </c>
      <c r="I337" s="88">
        <v>242.9</v>
      </c>
      <c r="J337" s="88">
        <v>242.9</v>
      </c>
      <c r="K337" s="91">
        <v>2</v>
      </c>
      <c r="L337" s="92">
        <f>N337+O337</f>
        <v>553839</v>
      </c>
      <c r="M337" s="92">
        <v>0</v>
      </c>
      <c r="N337" s="92">
        <v>414501.02</v>
      </c>
      <c r="O337" s="92">
        <v>139337.98000000001</v>
      </c>
      <c r="P337" s="92">
        <v>0</v>
      </c>
      <c r="Q337" s="93">
        <f>L337/I337</f>
        <v>2280.1111568546726</v>
      </c>
      <c r="R337" s="93">
        <v>6774</v>
      </c>
      <c r="S337" s="266">
        <v>43100</v>
      </c>
    </row>
    <row r="338" spans="1:19" s="1" customFormat="1" ht="22.9" customHeight="1">
      <c r="A338" s="87"/>
      <c r="B338" s="1066" t="s">
        <v>49</v>
      </c>
      <c r="C338" s="1066"/>
      <c r="D338" s="1066"/>
      <c r="E338" s="1066"/>
      <c r="F338" s="1066"/>
      <c r="G338" s="1066"/>
      <c r="H338" s="107">
        <f t="shared" ref="H338:P338" si="61">H339+H344+H347+H349</f>
        <v>8221.4</v>
      </c>
      <c r="I338" s="107">
        <f t="shared" si="61"/>
        <v>7282.6</v>
      </c>
      <c r="J338" s="107">
        <f t="shared" si="61"/>
        <v>7138</v>
      </c>
      <c r="K338" s="97">
        <f t="shared" si="61"/>
        <v>388</v>
      </c>
      <c r="L338" s="92">
        <f t="shared" si="61"/>
        <v>10902471</v>
      </c>
      <c r="M338" s="92">
        <f t="shared" si="61"/>
        <v>0</v>
      </c>
      <c r="N338" s="92">
        <f t="shared" si="61"/>
        <v>494612.75</v>
      </c>
      <c r="O338" s="92">
        <f t="shared" si="61"/>
        <v>10407858.25</v>
      </c>
      <c r="P338" s="92">
        <f t="shared" si="61"/>
        <v>0</v>
      </c>
      <c r="Q338" s="86" t="s">
        <v>40</v>
      </c>
      <c r="R338" s="93" t="s">
        <v>40</v>
      </c>
      <c r="S338" s="266">
        <v>43100</v>
      </c>
    </row>
    <row r="339" spans="1:19" s="1" customFormat="1" ht="15.75">
      <c r="A339" s="87"/>
      <c r="B339" s="1066" t="s">
        <v>105</v>
      </c>
      <c r="C339" s="1066"/>
      <c r="D339" s="1066"/>
      <c r="E339" s="1066"/>
      <c r="F339" s="1066"/>
      <c r="G339" s="1066"/>
      <c r="H339" s="107">
        <f t="shared" ref="H339:P339" si="62">H340+H343</f>
        <v>1542.7</v>
      </c>
      <c r="I339" s="97">
        <f t="shared" si="62"/>
        <v>908</v>
      </c>
      <c r="J339" s="97">
        <f t="shared" si="62"/>
        <v>863.40000000000009</v>
      </c>
      <c r="K339" s="98">
        <f t="shared" si="62"/>
        <v>78</v>
      </c>
      <c r="L339" s="92">
        <f t="shared" si="62"/>
        <v>5287622</v>
      </c>
      <c r="M339" s="92">
        <f t="shared" si="62"/>
        <v>0</v>
      </c>
      <c r="N339" s="92">
        <f t="shared" si="62"/>
        <v>434808.75</v>
      </c>
      <c r="O339" s="92">
        <f t="shared" si="62"/>
        <v>4852813.25</v>
      </c>
      <c r="P339" s="92">
        <f t="shared" si="62"/>
        <v>0</v>
      </c>
      <c r="Q339" s="86" t="s">
        <v>40</v>
      </c>
      <c r="R339" s="86" t="s">
        <v>40</v>
      </c>
      <c r="S339" s="266">
        <v>43100</v>
      </c>
    </row>
    <row r="340" spans="1:19" s="1" customFormat="1" ht="31.5">
      <c r="A340" s="258">
        <v>58</v>
      </c>
      <c r="B340" s="294" t="s">
        <v>481</v>
      </c>
      <c r="C340" s="295">
        <v>1958</v>
      </c>
      <c r="D340" s="295"/>
      <c r="E340" s="261" t="s">
        <v>218</v>
      </c>
      <c r="F340" s="295">
        <v>2</v>
      </c>
      <c r="G340" s="295">
        <v>2</v>
      </c>
      <c r="H340" s="296">
        <v>640.1</v>
      </c>
      <c r="I340" s="295">
        <v>392.3</v>
      </c>
      <c r="J340" s="295">
        <v>347.7</v>
      </c>
      <c r="K340" s="297">
        <v>32</v>
      </c>
      <c r="L340" s="264">
        <v>1505603</v>
      </c>
      <c r="M340" s="264">
        <v>0</v>
      </c>
      <c r="N340" s="264">
        <v>0</v>
      </c>
      <c r="O340" s="264">
        <f>L340</f>
        <v>1505603</v>
      </c>
      <c r="P340" s="264">
        <v>0</v>
      </c>
      <c r="Q340" s="298">
        <f>L340/I340</f>
        <v>3837.8868213102219</v>
      </c>
      <c r="R340" s="265">
        <v>7822</v>
      </c>
      <c r="S340" s="266">
        <v>43100</v>
      </c>
    </row>
    <row r="341" spans="1:19" s="1" customFormat="1" ht="21.6" customHeight="1">
      <c r="A341" s="87"/>
      <c r="B341" s="1068" t="s">
        <v>985</v>
      </c>
      <c r="C341" s="1068"/>
      <c r="D341" s="1068"/>
      <c r="E341" s="1068"/>
      <c r="F341" s="1068"/>
      <c r="G341" s="1068"/>
      <c r="H341" s="107">
        <f>H342+H343</f>
        <v>1774</v>
      </c>
      <c r="I341" s="107">
        <f t="shared" ref="I341:P341" si="63">I342+I343</f>
        <v>1017.9000000000001</v>
      </c>
      <c r="J341" s="107">
        <f t="shared" si="63"/>
        <v>1017.9000000000001</v>
      </c>
      <c r="K341" s="107">
        <f t="shared" si="63"/>
        <v>99</v>
      </c>
      <c r="L341" s="496">
        <f t="shared" si="63"/>
        <v>7561422.5999999996</v>
      </c>
      <c r="M341" s="496">
        <f t="shared" si="63"/>
        <v>0</v>
      </c>
      <c r="N341" s="496">
        <f t="shared" si="63"/>
        <v>879004.05</v>
      </c>
      <c r="O341" s="496">
        <f t="shared" si="63"/>
        <v>6682418.5499999998</v>
      </c>
      <c r="P341" s="496">
        <f t="shared" si="63"/>
        <v>0</v>
      </c>
      <c r="Q341" s="86" t="s">
        <v>40</v>
      </c>
      <c r="R341" s="86" t="s">
        <v>40</v>
      </c>
      <c r="S341" s="266">
        <v>43100</v>
      </c>
    </row>
    <row r="342" spans="1:19" s="1" customFormat="1" ht="37.15" customHeight="1">
      <c r="A342" s="87"/>
      <c r="B342" s="226" t="s">
        <v>986</v>
      </c>
      <c r="C342" s="97">
        <v>1981</v>
      </c>
      <c r="D342" s="97"/>
      <c r="E342" s="79" t="s">
        <v>988</v>
      </c>
      <c r="F342" s="97">
        <v>2</v>
      </c>
      <c r="G342" s="97">
        <v>3</v>
      </c>
      <c r="H342" s="107">
        <v>871.4</v>
      </c>
      <c r="I342" s="97">
        <v>502.2</v>
      </c>
      <c r="J342" s="97">
        <v>502.2</v>
      </c>
      <c r="K342" s="98">
        <v>53</v>
      </c>
      <c r="L342" s="92">
        <v>3779403.6</v>
      </c>
      <c r="M342" s="92">
        <v>0</v>
      </c>
      <c r="N342" s="92">
        <v>444195.3</v>
      </c>
      <c r="O342" s="92">
        <v>3335208.3</v>
      </c>
      <c r="P342" s="92">
        <v>0</v>
      </c>
      <c r="Q342" s="86">
        <f>L342/I342</f>
        <v>7525.6941457586627</v>
      </c>
      <c r="R342" s="93">
        <v>7822</v>
      </c>
      <c r="S342" s="266">
        <v>43100</v>
      </c>
    </row>
    <row r="343" spans="1:19" s="1" customFormat="1" ht="37.15" customHeight="1">
      <c r="A343" s="87"/>
      <c r="B343" s="226" t="s">
        <v>987</v>
      </c>
      <c r="C343" s="97">
        <v>1975</v>
      </c>
      <c r="D343" s="97"/>
      <c r="E343" s="79" t="s">
        <v>988</v>
      </c>
      <c r="F343" s="97">
        <v>2</v>
      </c>
      <c r="G343" s="97">
        <v>3</v>
      </c>
      <c r="H343" s="107">
        <v>902.6</v>
      </c>
      <c r="I343" s="86">
        <v>515.70000000000005</v>
      </c>
      <c r="J343" s="97">
        <v>515.70000000000005</v>
      </c>
      <c r="K343" s="98">
        <v>46</v>
      </c>
      <c r="L343" s="92">
        <v>3782019</v>
      </c>
      <c r="M343" s="92">
        <v>0</v>
      </c>
      <c r="N343" s="92">
        <v>434808.75</v>
      </c>
      <c r="O343" s="92">
        <v>3347210.25</v>
      </c>
      <c r="P343" s="92">
        <v>0</v>
      </c>
      <c r="Q343" s="86">
        <f>L343/I343</f>
        <v>7333.7579988365324</v>
      </c>
      <c r="R343" s="93">
        <v>7822</v>
      </c>
      <c r="S343" s="266">
        <v>43100</v>
      </c>
    </row>
    <row r="344" spans="1:19" s="1" customFormat="1" ht="15.75" customHeight="1">
      <c r="A344" s="87"/>
      <c r="B344" s="1068" t="s">
        <v>188</v>
      </c>
      <c r="C344" s="1068"/>
      <c r="D344" s="1068"/>
      <c r="E344" s="1068"/>
      <c r="F344" s="1068"/>
      <c r="G344" s="1068"/>
      <c r="H344" s="107">
        <f>H345+H346</f>
        <v>1595.1</v>
      </c>
      <c r="I344" s="107">
        <f t="shared" ref="I344:P344" si="64">I345+I346</f>
        <v>1431.3</v>
      </c>
      <c r="J344" s="107">
        <f t="shared" si="64"/>
        <v>1431.3</v>
      </c>
      <c r="K344" s="97">
        <f>K345+K346</f>
        <v>87</v>
      </c>
      <c r="L344" s="92">
        <f t="shared" si="64"/>
        <v>1905804</v>
      </c>
      <c r="M344" s="92">
        <f t="shared" si="64"/>
        <v>0</v>
      </c>
      <c r="N344" s="92">
        <f t="shared" si="64"/>
        <v>59804</v>
      </c>
      <c r="O344" s="92">
        <f t="shared" si="64"/>
        <v>1846000</v>
      </c>
      <c r="P344" s="92">
        <f t="shared" si="64"/>
        <v>0</v>
      </c>
      <c r="Q344" s="86" t="s">
        <v>40</v>
      </c>
      <c r="R344" s="93" t="s">
        <v>40</v>
      </c>
      <c r="S344" s="266">
        <v>43100</v>
      </c>
    </row>
    <row r="345" spans="1:19" s="1" customFormat="1" ht="15.75">
      <c r="A345" s="87"/>
      <c r="B345" s="227" t="s">
        <v>410</v>
      </c>
      <c r="C345" s="232">
        <v>1968</v>
      </c>
      <c r="D345" s="97"/>
      <c r="E345" s="89" t="s">
        <v>219</v>
      </c>
      <c r="F345" s="97">
        <v>2</v>
      </c>
      <c r="G345" s="97">
        <v>3</v>
      </c>
      <c r="H345" s="107">
        <v>798.1</v>
      </c>
      <c r="I345" s="86">
        <v>714.4</v>
      </c>
      <c r="J345" s="97">
        <v>714.4</v>
      </c>
      <c r="K345" s="98">
        <v>42</v>
      </c>
      <c r="L345" s="92">
        <v>958459</v>
      </c>
      <c r="M345" s="92">
        <v>0</v>
      </c>
      <c r="N345" s="92">
        <v>35459</v>
      </c>
      <c r="O345" s="92">
        <v>923000</v>
      </c>
      <c r="P345" s="92">
        <v>0</v>
      </c>
      <c r="Q345" s="86">
        <f>L345/I345</f>
        <v>1341.6279395296754</v>
      </c>
      <c r="R345" s="93">
        <v>6774</v>
      </c>
      <c r="S345" s="266">
        <v>43100</v>
      </c>
    </row>
    <row r="346" spans="1:19" s="1" customFormat="1" ht="15.75">
      <c r="A346" s="87"/>
      <c r="B346" s="226" t="s">
        <v>411</v>
      </c>
      <c r="C346" s="97">
        <v>1970</v>
      </c>
      <c r="D346" s="97"/>
      <c r="E346" s="89" t="s">
        <v>219</v>
      </c>
      <c r="F346" s="97">
        <v>2</v>
      </c>
      <c r="G346" s="97">
        <v>3</v>
      </c>
      <c r="H346" s="107">
        <v>797</v>
      </c>
      <c r="I346" s="86">
        <v>716.9</v>
      </c>
      <c r="J346" s="97">
        <v>716.9</v>
      </c>
      <c r="K346" s="98">
        <v>45</v>
      </c>
      <c r="L346" s="92">
        <v>947345</v>
      </c>
      <c r="M346" s="92">
        <v>0</v>
      </c>
      <c r="N346" s="92">
        <v>24345</v>
      </c>
      <c r="O346" s="92">
        <v>923000</v>
      </c>
      <c r="P346" s="92">
        <v>0</v>
      </c>
      <c r="Q346" s="86">
        <f>L346/I346</f>
        <v>1321.4465057888131</v>
      </c>
      <c r="R346" s="93">
        <v>6774</v>
      </c>
      <c r="S346" s="266">
        <v>43100</v>
      </c>
    </row>
    <row r="347" spans="1:19" s="1" customFormat="1" ht="15.75">
      <c r="A347" s="87"/>
      <c r="B347" s="1066" t="s">
        <v>189</v>
      </c>
      <c r="C347" s="1066"/>
      <c r="D347" s="1066"/>
      <c r="E347" s="1066"/>
      <c r="F347" s="1066"/>
      <c r="G347" s="1066"/>
      <c r="H347" s="107">
        <f>H348</f>
        <v>506.9</v>
      </c>
      <c r="I347" s="107">
        <f t="shared" ref="I347:P347" si="65">I348</f>
        <v>402.3</v>
      </c>
      <c r="J347" s="107">
        <f t="shared" si="65"/>
        <v>402.3</v>
      </c>
      <c r="K347" s="97">
        <f t="shared" si="65"/>
        <v>7</v>
      </c>
      <c r="L347" s="92">
        <f t="shared" si="65"/>
        <v>820660</v>
      </c>
      <c r="M347" s="92">
        <f t="shared" si="65"/>
        <v>0</v>
      </c>
      <c r="N347" s="92">
        <f t="shared" si="65"/>
        <v>0</v>
      </c>
      <c r="O347" s="92">
        <f t="shared" si="65"/>
        <v>820660</v>
      </c>
      <c r="P347" s="92">
        <f t="shared" si="65"/>
        <v>0</v>
      </c>
      <c r="Q347" s="86" t="s">
        <v>40</v>
      </c>
      <c r="R347" s="93" t="s">
        <v>40</v>
      </c>
      <c r="S347" s="266">
        <v>43100</v>
      </c>
    </row>
    <row r="348" spans="1:19" s="1" customFormat="1" ht="31.5">
      <c r="A348" s="87"/>
      <c r="B348" s="226" t="s">
        <v>412</v>
      </c>
      <c r="C348" s="97">
        <v>1958</v>
      </c>
      <c r="D348" s="97"/>
      <c r="E348" s="89" t="s">
        <v>218</v>
      </c>
      <c r="F348" s="97">
        <v>2</v>
      </c>
      <c r="G348" s="97">
        <v>1</v>
      </c>
      <c r="H348" s="107">
        <v>506.9</v>
      </c>
      <c r="I348" s="86">
        <v>402.3</v>
      </c>
      <c r="J348" s="97">
        <v>402.3</v>
      </c>
      <c r="K348" s="98">
        <v>7</v>
      </c>
      <c r="L348" s="92">
        <v>820660</v>
      </c>
      <c r="M348" s="92">
        <v>0</v>
      </c>
      <c r="N348" s="92">
        <v>0</v>
      </c>
      <c r="O348" s="92">
        <f>L348</f>
        <v>820660</v>
      </c>
      <c r="P348" s="92">
        <v>0</v>
      </c>
      <c r="Q348" s="86">
        <f>L348/I348</f>
        <v>2039.9204573701218</v>
      </c>
      <c r="R348" s="93">
        <v>6774</v>
      </c>
      <c r="S348" s="266">
        <v>43100</v>
      </c>
    </row>
    <row r="349" spans="1:19" s="1" customFormat="1" ht="15.75">
      <c r="A349" s="87"/>
      <c r="B349" s="1066" t="s">
        <v>131</v>
      </c>
      <c r="C349" s="1066"/>
      <c r="D349" s="1066"/>
      <c r="E349" s="1066"/>
      <c r="F349" s="1066"/>
      <c r="G349" s="1066"/>
      <c r="H349" s="107">
        <f>H350</f>
        <v>4576.7</v>
      </c>
      <c r="I349" s="107">
        <f t="shared" ref="I349:P349" si="66">I350</f>
        <v>4541</v>
      </c>
      <c r="J349" s="107">
        <f t="shared" si="66"/>
        <v>4441</v>
      </c>
      <c r="K349" s="107">
        <f t="shared" si="66"/>
        <v>216</v>
      </c>
      <c r="L349" s="313">
        <f t="shared" si="66"/>
        <v>2888385</v>
      </c>
      <c r="M349" s="313">
        <f t="shared" si="66"/>
        <v>0</v>
      </c>
      <c r="N349" s="313">
        <f t="shared" si="66"/>
        <v>0</v>
      </c>
      <c r="O349" s="313">
        <f t="shared" si="66"/>
        <v>2888385</v>
      </c>
      <c r="P349" s="313">
        <f t="shared" si="66"/>
        <v>0</v>
      </c>
      <c r="Q349" s="86" t="s">
        <v>40</v>
      </c>
      <c r="R349" s="93" t="s">
        <v>40</v>
      </c>
      <c r="S349" s="266">
        <v>43100</v>
      </c>
    </row>
    <row r="350" spans="1:19" s="48" customFormat="1">
      <c r="A350" s="87">
        <v>59</v>
      </c>
      <c r="B350" s="136" t="s">
        <v>659</v>
      </c>
      <c r="C350" s="110">
        <v>1985</v>
      </c>
      <c r="D350" s="110"/>
      <c r="E350" s="89" t="s">
        <v>219</v>
      </c>
      <c r="F350" s="110">
        <v>5</v>
      </c>
      <c r="G350" s="110">
        <v>6</v>
      </c>
      <c r="H350" s="110">
        <v>4576.7</v>
      </c>
      <c r="I350" s="110">
        <v>4541</v>
      </c>
      <c r="J350" s="110">
        <v>4441</v>
      </c>
      <c r="K350" s="110">
        <v>216</v>
      </c>
      <c r="L350" s="92">
        <v>2888385</v>
      </c>
      <c r="M350" s="92">
        <v>0</v>
      </c>
      <c r="N350" s="92">
        <v>0</v>
      </c>
      <c r="O350" s="92">
        <v>2888385</v>
      </c>
      <c r="P350" s="92">
        <v>0</v>
      </c>
      <c r="Q350" s="103">
        <f>O350/I350</f>
        <v>636.06804668575205</v>
      </c>
      <c r="R350" s="93">
        <v>7822</v>
      </c>
      <c r="S350" s="266">
        <v>43100</v>
      </c>
    </row>
    <row r="351" spans="1:19" s="48" customFormat="1">
      <c r="A351" s="87"/>
      <c r="B351" s="118"/>
      <c r="C351" s="110"/>
      <c r="D351" s="110"/>
      <c r="E351" s="89"/>
      <c r="F351" s="110"/>
      <c r="G351" s="110"/>
      <c r="H351" s="110"/>
      <c r="I351" s="110"/>
      <c r="J351" s="110"/>
      <c r="K351" s="110"/>
      <c r="L351" s="92"/>
      <c r="M351" s="92"/>
      <c r="N351" s="92"/>
      <c r="O351" s="92"/>
      <c r="P351" s="92"/>
      <c r="Q351" s="103"/>
      <c r="R351" s="93"/>
      <c r="S351" s="266"/>
    </row>
    <row r="352" spans="1:19" s="1" customFormat="1" ht="15.75">
      <c r="A352" s="87"/>
      <c r="B352" s="1066" t="s">
        <v>50</v>
      </c>
      <c r="C352" s="1066"/>
      <c r="D352" s="1066"/>
      <c r="E352" s="1066"/>
      <c r="F352" s="1066"/>
      <c r="G352" s="1066"/>
      <c r="H352" s="86">
        <f>H353</f>
        <v>6412.52</v>
      </c>
      <c r="I352" s="86">
        <f t="shared" ref="I352:P352" si="67">I353</f>
        <v>5554.8</v>
      </c>
      <c r="J352" s="86">
        <f t="shared" si="67"/>
        <v>4851.7</v>
      </c>
      <c r="K352" s="98">
        <f t="shared" si="67"/>
        <v>202</v>
      </c>
      <c r="L352" s="92">
        <f t="shared" si="67"/>
        <v>14213854</v>
      </c>
      <c r="M352" s="92">
        <f t="shared" si="67"/>
        <v>0</v>
      </c>
      <c r="N352" s="92">
        <f t="shared" si="67"/>
        <v>0</v>
      </c>
      <c r="O352" s="92">
        <f t="shared" si="67"/>
        <v>14213854</v>
      </c>
      <c r="P352" s="92">
        <f t="shared" si="67"/>
        <v>0</v>
      </c>
      <c r="Q352" s="86" t="s">
        <v>40</v>
      </c>
      <c r="R352" s="93" t="s">
        <v>40</v>
      </c>
      <c r="S352" s="266">
        <v>43100</v>
      </c>
    </row>
    <row r="353" spans="1:34" s="14" customFormat="1" ht="15.75">
      <c r="A353" s="87"/>
      <c r="B353" s="1066" t="s">
        <v>106</v>
      </c>
      <c r="C353" s="1066"/>
      <c r="D353" s="1066"/>
      <c r="E353" s="1066"/>
      <c r="F353" s="1066"/>
      <c r="G353" s="1066"/>
      <c r="H353" s="353">
        <f t="shared" ref="H353:P353" si="68">SUM(H354:H362)</f>
        <v>6412.52</v>
      </c>
      <c r="I353" s="353">
        <f t="shared" si="68"/>
        <v>5554.8</v>
      </c>
      <c r="J353" s="353">
        <f t="shared" si="68"/>
        <v>4851.7</v>
      </c>
      <c r="K353" s="579">
        <f t="shared" si="68"/>
        <v>202</v>
      </c>
      <c r="L353" s="92">
        <f t="shared" si="68"/>
        <v>14213854</v>
      </c>
      <c r="M353" s="92">
        <f t="shared" si="68"/>
        <v>0</v>
      </c>
      <c r="N353" s="92">
        <f t="shared" si="68"/>
        <v>0</v>
      </c>
      <c r="O353" s="92">
        <f t="shared" si="68"/>
        <v>14213854</v>
      </c>
      <c r="P353" s="92">
        <f t="shared" si="68"/>
        <v>0</v>
      </c>
      <c r="Q353" s="86" t="s">
        <v>40</v>
      </c>
      <c r="R353" s="93" t="s">
        <v>40</v>
      </c>
      <c r="S353" s="266">
        <v>43100</v>
      </c>
    </row>
    <row r="354" spans="1:34" s="51" customFormat="1" ht="31.5">
      <c r="A354" s="87"/>
      <c r="B354" s="137" t="s">
        <v>836</v>
      </c>
      <c r="C354" s="138">
        <v>1972</v>
      </c>
      <c r="D354" s="139"/>
      <c r="E354" s="89" t="s">
        <v>218</v>
      </c>
      <c r="F354" s="141">
        <v>2</v>
      </c>
      <c r="G354" s="707">
        <v>2</v>
      </c>
      <c r="H354" s="686">
        <v>577.79999999999995</v>
      </c>
      <c r="I354" s="686">
        <v>530.4</v>
      </c>
      <c r="J354" s="686">
        <v>344.7</v>
      </c>
      <c r="K354" s="686">
        <v>23</v>
      </c>
      <c r="L354" s="578">
        <v>1666855</v>
      </c>
      <c r="M354" s="92">
        <f>SUM(M355:M362)</f>
        <v>0</v>
      </c>
      <c r="N354" s="92">
        <f>SUM(N355:N362)</f>
        <v>0</v>
      </c>
      <c r="O354" s="92">
        <f t="shared" ref="O354:O362" si="69">L354</f>
        <v>1666855</v>
      </c>
      <c r="P354" s="92">
        <f>SUM(P355:P362)</f>
        <v>0</v>
      </c>
      <c r="Q354" s="140">
        <f t="shared" ref="Q354:Q362" si="70">L354/I354</f>
        <v>3142.6376319758674</v>
      </c>
      <c r="R354" s="93">
        <v>7822</v>
      </c>
      <c r="S354" s="266">
        <v>43100</v>
      </c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</row>
    <row r="355" spans="1:34" s="38" customFormat="1" ht="31.5">
      <c r="A355" s="87"/>
      <c r="B355" s="137" t="s">
        <v>837</v>
      </c>
      <c r="C355" s="138">
        <v>1973</v>
      </c>
      <c r="D355" s="139"/>
      <c r="E355" s="89" t="s">
        <v>218</v>
      </c>
      <c r="F355" s="141">
        <v>2</v>
      </c>
      <c r="G355" s="707">
        <v>3</v>
      </c>
      <c r="H355" s="686">
        <v>1040.7</v>
      </c>
      <c r="I355" s="686">
        <v>953.1</v>
      </c>
      <c r="J355" s="686">
        <v>953.1</v>
      </c>
      <c r="K355" s="686">
        <v>18</v>
      </c>
      <c r="L355" s="578">
        <v>2505131</v>
      </c>
      <c r="M355" s="92">
        <f>SUM(M356:M364)</f>
        <v>0</v>
      </c>
      <c r="N355" s="92">
        <f>SUM(N356:N364)</f>
        <v>0</v>
      </c>
      <c r="O355" s="92">
        <f t="shared" si="69"/>
        <v>2505131</v>
      </c>
      <c r="P355" s="92">
        <f>SUM(P356:P364)</f>
        <v>0</v>
      </c>
      <c r="Q355" s="140">
        <f t="shared" si="70"/>
        <v>2628.4031056552303</v>
      </c>
      <c r="R355" s="93">
        <v>7822</v>
      </c>
      <c r="S355" s="266">
        <v>43100</v>
      </c>
    </row>
    <row r="356" spans="1:34" s="38" customFormat="1" ht="31.5">
      <c r="A356" s="87"/>
      <c r="B356" s="137" t="s">
        <v>838</v>
      </c>
      <c r="C356" s="138">
        <v>1940</v>
      </c>
      <c r="D356" s="139"/>
      <c r="E356" s="89" t="s">
        <v>218</v>
      </c>
      <c r="F356" s="141">
        <v>2</v>
      </c>
      <c r="G356" s="707">
        <v>2</v>
      </c>
      <c r="H356" s="686">
        <v>773.9</v>
      </c>
      <c r="I356" s="686">
        <v>715.9</v>
      </c>
      <c r="J356" s="686">
        <v>642.1</v>
      </c>
      <c r="K356" s="686">
        <v>30</v>
      </c>
      <c r="L356" s="578">
        <v>2532008</v>
      </c>
      <c r="M356" s="92">
        <f>SUM(M357:M363)</f>
        <v>0</v>
      </c>
      <c r="N356" s="92">
        <f>SUM(N357:N363)</f>
        <v>0</v>
      </c>
      <c r="O356" s="92">
        <f t="shared" si="69"/>
        <v>2532008</v>
      </c>
      <c r="P356" s="92">
        <f>SUM(P357:P363)</f>
        <v>0</v>
      </c>
      <c r="Q356" s="140">
        <f t="shared" si="70"/>
        <v>3536.8179913395725</v>
      </c>
      <c r="R356" s="93">
        <v>7822</v>
      </c>
      <c r="S356" s="266">
        <v>43100</v>
      </c>
    </row>
    <row r="357" spans="1:34" s="38" customFormat="1" ht="31.5">
      <c r="A357" s="87"/>
      <c r="B357" s="137" t="s">
        <v>839</v>
      </c>
      <c r="C357" s="138">
        <v>1971</v>
      </c>
      <c r="D357" s="139"/>
      <c r="E357" s="89" t="s">
        <v>218</v>
      </c>
      <c r="F357" s="141">
        <v>2</v>
      </c>
      <c r="G357" s="707">
        <v>2</v>
      </c>
      <c r="H357" s="686">
        <v>574</v>
      </c>
      <c r="I357" s="686">
        <v>524.1</v>
      </c>
      <c r="J357" s="686">
        <v>369.7</v>
      </c>
      <c r="K357" s="686">
        <v>22</v>
      </c>
      <c r="L357" s="578">
        <v>1684781</v>
      </c>
      <c r="M357" s="92">
        <f>SUM(M358:M362)</f>
        <v>0</v>
      </c>
      <c r="N357" s="92">
        <f>SUM(N358:N362)</f>
        <v>0</v>
      </c>
      <c r="O357" s="92">
        <f t="shared" si="69"/>
        <v>1684781</v>
      </c>
      <c r="P357" s="92">
        <f>SUM(P358:P362)</f>
        <v>0</v>
      </c>
      <c r="Q357" s="140">
        <f t="shared" si="70"/>
        <v>3214.6174394199579</v>
      </c>
      <c r="R357" s="93">
        <v>7822</v>
      </c>
      <c r="S357" s="266">
        <v>43100</v>
      </c>
    </row>
    <row r="358" spans="1:34" s="38" customFormat="1" ht="31.5">
      <c r="A358" s="87"/>
      <c r="B358" s="137" t="s">
        <v>840</v>
      </c>
      <c r="C358" s="138">
        <v>1965</v>
      </c>
      <c r="D358" s="139"/>
      <c r="E358" s="89" t="s">
        <v>218</v>
      </c>
      <c r="F358" s="141">
        <v>2</v>
      </c>
      <c r="G358" s="707">
        <v>2</v>
      </c>
      <c r="H358" s="686">
        <v>398.92</v>
      </c>
      <c r="I358" s="686">
        <v>365.3</v>
      </c>
      <c r="J358" s="686">
        <v>244.4</v>
      </c>
      <c r="K358" s="686">
        <v>15</v>
      </c>
      <c r="L358" s="578">
        <v>1111881</v>
      </c>
      <c r="M358" s="92">
        <f>SUM(M360:M365)</f>
        <v>0</v>
      </c>
      <c r="N358" s="92">
        <f>SUM(N360:N365)</f>
        <v>0</v>
      </c>
      <c r="O358" s="92">
        <f t="shared" si="69"/>
        <v>1111881</v>
      </c>
      <c r="P358" s="92">
        <f>SUM(P360:P365)</f>
        <v>0</v>
      </c>
      <c r="Q358" s="140">
        <f t="shared" si="70"/>
        <v>3043.7476047084588</v>
      </c>
      <c r="R358" s="93">
        <v>7822</v>
      </c>
      <c r="S358" s="266">
        <v>43100</v>
      </c>
    </row>
    <row r="359" spans="1:34" s="38" customFormat="1" ht="31.5">
      <c r="A359" s="87"/>
      <c r="B359" s="137" t="s">
        <v>841</v>
      </c>
      <c r="C359" s="138">
        <v>1980</v>
      </c>
      <c r="D359" s="139"/>
      <c r="E359" s="89" t="s">
        <v>218</v>
      </c>
      <c r="F359" s="141">
        <v>2</v>
      </c>
      <c r="G359" s="707">
        <v>2</v>
      </c>
      <c r="H359" s="686">
        <v>560.5</v>
      </c>
      <c r="I359" s="686">
        <v>515.1</v>
      </c>
      <c r="J359" s="686">
        <v>434.6</v>
      </c>
      <c r="K359" s="686">
        <v>20</v>
      </c>
      <c r="L359" s="578">
        <v>1500589</v>
      </c>
      <c r="M359" s="92">
        <f>SUM(M360:M366)</f>
        <v>0</v>
      </c>
      <c r="N359" s="92">
        <f>SUM(N360:N366)</f>
        <v>0</v>
      </c>
      <c r="O359" s="92">
        <f t="shared" si="69"/>
        <v>1500589</v>
      </c>
      <c r="P359" s="92">
        <f>SUM(P360:P366)</f>
        <v>0</v>
      </c>
      <c r="Q359" s="140">
        <f t="shared" si="70"/>
        <v>2913.1993787614056</v>
      </c>
      <c r="R359" s="93">
        <v>7822</v>
      </c>
      <c r="S359" s="266">
        <v>43100</v>
      </c>
    </row>
    <row r="360" spans="1:34" s="38" customFormat="1" ht="30.6" customHeight="1">
      <c r="A360" s="87"/>
      <c r="B360" s="137" t="s">
        <v>842</v>
      </c>
      <c r="C360" s="138">
        <v>1974</v>
      </c>
      <c r="D360" s="139"/>
      <c r="E360" s="89" t="s">
        <v>220</v>
      </c>
      <c r="F360" s="141">
        <v>5</v>
      </c>
      <c r="G360" s="707">
        <v>1</v>
      </c>
      <c r="H360" s="709">
        <v>1861.5</v>
      </c>
      <c r="I360" s="686">
        <v>1532.1</v>
      </c>
      <c r="J360" s="686">
        <v>1444.3</v>
      </c>
      <c r="K360" s="686">
        <v>51</v>
      </c>
      <c r="L360" s="578">
        <v>1161775</v>
      </c>
      <c r="M360" s="92">
        <v>0</v>
      </c>
      <c r="N360" s="92">
        <v>0</v>
      </c>
      <c r="O360" s="92">
        <f t="shared" si="69"/>
        <v>1161775</v>
      </c>
      <c r="P360" s="92">
        <v>0</v>
      </c>
      <c r="Q360" s="140">
        <f t="shared" si="70"/>
        <v>758.28927615690884</v>
      </c>
      <c r="R360" s="93">
        <v>7822</v>
      </c>
      <c r="S360" s="266">
        <v>43100</v>
      </c>
    </row>
    <row r="361" spans="1:34" s="38" customFormat="1" ht="31.5">
      <c r="A361" s="87"/>
      <c r="B361" s="137" t="s">
        <v>846</v>
      </c>
      <c r="C361" s="138">
        <v>1917</v>
      </c>
      <c r="D361" s="139"/>
      <c r="E361" s="89" t="s">
        <v>218</v>
      </c>
      <c r="F361" s="141">
        <v>2</v>
      </c>
      <c r="G361" s="707">
        <v>1</v>
      </c>
      <c r="H361" s="686">
        <v>219.6</v>
      </c>
      <c r="I361" s="686">
        <v>184.6</v>
      </c>
      <c r="J361" s="686">
        <v>184.6</v>
      </c>
      <c r="K361" s="686">
        <v>17</v>
      </c>
      <c r="L361" s="578">
        <v>537007</v>
      </c>
      <c r="M361" s="92">
        <f>SUM(M362:M367)</f>
        <v>0</v>
      </c>
      <c r="N361" s="92">
        <f>SUM(N362:N367)</f>
        <v>0</v>
      </c>
      <c r="O361" s="92">
        <f t="shared" si="69"/>
        <v>537007</v>
      </c>
      <c r="P361" s="92">
        <f>SUM(P362:P367)</f>
        <v>0</v>
      </c>
      <c r="Q361" s="140">
        <f t="shared" si="70"/>
        <v>2909.0303358613219</v>
      </c>
      <c r="R361" s="93">
        <v>7822</v>
      </c>
      <c r="S361" s="266">
        <v>43100</v>
      </c>
    </row>
    <row r="362" spans="1:34" s="38" customFormat="1" ht="31.5">
      <c r="A362" s="87"/>
      <c r="B362" s="137" t="s">
        <v>845</v>
      </c>
      <c r="C362" s="138">
        <v>1967</v>
      </c>
      <c r="D362" s="139"/>
      <c r="E362" s="89" t="s">
        <v>218</v>
      </c>
      <c r="F362" s="141">
        <v>2</v>
      </c>
      <c r="G362" s="707">
        <v>1</v>
      </c>
      <c r="H362" s="110">
        <v>405.6</v>
      </c>
      <c r="I362" s="110">
        <v>234.2</v>
      </c>
      <c r="J362" s="110">
        <v>234.2</v>
      </c>
      <c r="K362" s="110">
        <v>6</v>
      </c>
      <c r="L362" s="578">
        <v>1513827</v>
      </c>
      <c r="M362" s="92">
        <f>SUM(M363:M367)</f>
        <v>0</v>
      </c>
      <c r="N362" s="92">
        <f>SUM(N363:N367)</f>
        <v>0</v>
      </c>
      <c r="O362" s="92">
        <f t="shared" si="69"/>
        <v>1513827</v>
      </c>
      <c r="P362" s="92">
        <f>SUM(P363:P367)</f>
        <v>0</v>
      </c>
      <c r="Q362" s="140">
        <f t="shared" si="70"/>
        <v>6463.821520068318</v>
      </c>
      <c r="R362" s="93">
        <v>7822</v>
      </c>
      <c r="S362" s="266">
        <v>43100</v>
      </c>
    </row>
    <row r="363" spans="1:34" s="1" customFormat="1" ht="15.75">
      <c r="A363" s="87"/>
      <c r="B363" s="1066" t="s">
        <v>51</v>
      </c>
      <c r="C363" s="1066"/>
      <c r="D363" s="1066"/>
      <c r="E363" s="1066"/>
      <c r="F363" s="1066"/>
      <c r="G363" s="1066"/>
      <c r="H363" s="682">
        <f>H364</f>
        <v>7394.6</v>
      </c>
      <c r="I363" s="708">
        <f t="shared" ref="I363:P363" si="71">I364</f>
        <v>7394.6</v>
      </c>
      <c r="J363" s="708">
        <f t="shared" si="71"/>
        <v>4847.7</v>
      </c>
      <c r="K363" s="694">
        <f t="shared" si="71"/>
        <v>302</v>
      </c>
      <c r="L363" s="92">
        <f t="shared" si="71"/>
        <v>11379869</v>
      </c>
      <c r="M363" s="92">
        <f t="shared" si="71"/>
        <v>0</v>
      </c>
      <c r="N363" s="92">
        <f t="shared" si="71"/>
        <v>0</v>
      </c>
      <c r="O363" s="92">
        <f t="shared" si="71"/>
        <v>11379869</v>
      </c>
      <c r="P363" s="92">
        <f t="shared" si="71"/>
        <v>0</v>
      </c>
      <c r="Q363" s="86" t="s">
        <v>40</v>
      </c>
      <c r="R363" s="86" t="s">
        <v>40</v>
      </c>
      <c r="S363" s="266">
        <v>43100</v>
      </c>
    </row>
    <row r="364" spans="1:34" s="1" customFormat="1" ht="22.9" customHeight="1">
      <c r="A364" s="87"/>
      <c r="B364" s="1066" t="s">
        <v>108</v>
      </c>
      <c r="C364" s="1066"/>
      <c r="D364" s="1066"/>
      <c r="E364" s="1066"/>
      <c r="F364" s="1109"/>
      <c r="G364" s="1109"/>
      <c r="H364" s="536">
        <f t="shared" ref="H364:P364" si="72">SUM(H365:H372)</f>
        <v>7394.6</v>
      </c>
      <c r="I364" s="823">
        <f t="shared" si="72"/>
        <v>7394.6</v>
      </c>
      <c r="J364" s="823">
        <f t="shared" si="72"/>
        <v>4847.7</v>
      </c>
      <c r="K364" s="579">
        <f t="shared" si="72"/>
        <v>302</v>
      </c>
      <c r="L364" s="92">
        <f t="shared" si="72"/>
        <v>11379869</v>
      </c>
      <c r="M364" s="92">
        <f t="shared" si="72"/>
        <v>0</v>
      </c>
      <c r="N364" s="92">
        <f t="shared" si="72"/>
        <v>0</v>
      </c>
      <c r="O364" s="92">
        <f t="shared" si="72"/>
        <v>11379869</v>
      </c>
      <c r="P364" s="92">
        <f t="shared" si="72"/>
        <v>0</v>
      </c>
      <c r="Q364" s="86" t="s">
        <v>40</v>
      </c>
      <c r="R364" s="86" t="s">
        <v>40</v>
      </c>
      <c r="S364" s="266">
        <v>43100</v>
      </c>
    </row>
    <row r="365" spans="1:34" s="39" customFormat="1" ht="31.5">
      <c r="A365" s="87"/>
      <c r="B365" s="223" t="s">
        <v>998</v>
      </c>
      <c r="C365" s="97" t="s">
        <v>190</v>
      </c>
      <c r="D365" s="97"/>
      <c r="E365" s="534" t="s">
        <v>218</v>
      </c>
      <c r="F365" s="824">
        <v>1</v>
      </c>
      <c r="G365" s="824">
        <v>2</v>
      </c>
      <c r="H365" s="826">
        <v>333.1</v>
      </c>
      <c r="I365" s="826">
        <v>333.1</v>
      </c>
      <c r="J365" s="826">
        <v>231.8</v>
      </c>
      <c r="K365" s="824">
        <v>11</v>
      </c>
      <c r="L365" s="578">
        <f>O365</f>
        <v>957124</v>
      </c>
      <c r="M365" s="92">
        <v>0</v>
      </c>
      <c r="N365" s="92">
        <v>0</v>
      </c>
      <c r="O365" s="92">
        <v>957124</v>
      </c>
      <c r="P365" s="92">
        <v>0</v>
      </c>
      <c r="Q365" s="142">
        <f t="shared" ref="Q365:Q375" si="73">L365/I365</f>
        <v>2873.3833683578505</v>
      </c>
      <c r="R365" s="93">
        <v>7822</v>
      </c>
      <c r="S365" s="266">
        <v>43100</v>
      </c>
    </row>
    <row r="366" spans="1:34" s="39" customFormat="1" ht="31.5">
      <c r="A366" s="87"/>
      <c r="B366" s="223" t="s">
        <v>999</v>
      </c>
      <c r="C366" s="97">
        <v>1965</v>
      </c>
      <c r="D366" s="97"/>
      <c r="E366" s="534" t="s">
        <v>218</v>
      </c>
      <c r="F366" s="824">
        <v>2</v>
      </c>
      <c r="G366" s="824">
        <v>2</v>
      </c>
      <c r="H366" s="826">
        <v>456</v>
      </c>
      <c r="I366" s="826">
        <v>456</v>
      </c>
      <c r="J366" s="826">
        <v>294.7</v>
      </c>
      <c r="K366" s="824">
        <v>23</v>
      </c>
      <c r="L366" s="578">
        <f t="shared" ref="L366:L372" si="74">O366</f>
        <v>1382612</v>
      </c>
      <c r="M366" s="92">
        <v>0</v>
      </c>
      <c r="N366" s="92">
        <v>0</v>
      </c>
      <c r="O366" s="92">
        <v>1382612</v>
      </c>
      <c r="P366" s="92">
        <v>0</v>
      </c>
      <c r="Q366" s="142">
        <f t="shared" si="73"/>
        <v>3032.0438596491226</v>
      </c>
      <c r="R366" s="93">
        <v>7822</v>
      </c>
      <c r="S366" s="266">
        <v>43100</v>
      </c>
    </row>
    <row r="367" spans="1:34" s="39" customFormat="1" ht="31.5">
      <c r="A367" s="87"/>
      <c r="B367" s="223" t="s">
        <v>1000</v>
      </c>
      <c r="C367" s="97">
        <v>1988</v>
      </c>
      <c r="D367" s="97"/>
      <c r="E367" s="534" t="s">
        <v>218</v>
      </c>
      <c r="F367" s="824">
        <v>4</v>
      </c>
      <c r="G367" s="824">
        <v>1</v>
      </c>
      <c r="H367" s="826">
        <v>1590</v>
      </c>
      <c r="I367" s="826">
        <v>1590</v>
      </c>
      <c r="J367" s="826">
        <v>988.8</v>
      </c>
      <c r="K367" s="824">
        <v>99</v>
      </c>
      <c r="L367" s="578">
        <f t="shared" si="74"/>
        <v>2008170</v>
      </c>
      <c r="M367" s="92">
        <v>0</v>
      </c>
      <c r="N367" s="92">
        <v>0</v>
      </c>
      <c r="O367" s="92">
        <v>2008170</v>
      </c>
      <c r="P367" s="92">
        <v>0</v>
      </c>
      <c r="Q367" s="142">
        <f t="shared" si="73"/>
        <v>1263</v>
      </c>
      <c r="R367" s="93">
        <v>7822</v>
      </c>
      <c r="S367" s="266">
        <v>43100</v>
      </c>
    </row>
    <row r="368" spans="1:34" s="1" customFormat="1" ht="31.5">
      <c r="A368" s="87"/>
      <c r="B368" s="143" t="s">
        <v>1001</v>
      </c>
      <c r="C368" s="144">
        <v>1900</v>
      </c>
      <c r="D368" s="143"/>
      <c r="E368" s="534" t="s">
        <v>218</v>
      </c>
      <c r="F368" s="824">
        <v>2</v>
      </c>
      <c r="G368" s="824">
        <v>2</v>
      </c>
      <c r="H368" s="826">
        <v>762.2</v>
      </c>
      <c r="I368" s="826">
        <v>762.2</v>
      </c>
      <c r="J368" s="826">
        <v>511.6</v>
      </c>
      <c r="K368" s="824">
        <v>22</v>
      </c>
      <c r="L368" s="578">
        <f t="shared" si="74"/>
        <v>1551693</v>
      </c>
      <c r="M368" s="92">
        <v>0</v>
      </c>
      <c r="N368" s="92">
        <v>0</v>
      </c>
      <c r="O368" s="92">
        <v>1551693</v>
      </c>
      <c r="P368" s="92">
        <v>0</v>
      </c>
      <c r="Q368" s="142">
        <f t="shared" si="73"/>
        <v>2035.8081868276042</v>
      </c>
      <c r="R368" s="93">
        <v>7822</v>
      </c>
      <c r="S368" s="266">
        <v>43100</v>
      </c>
    </row>
    <row r="369" spans="1:19" s="1" customFormat="1" ht="31.5">
      <c r="A369" s="87"/>
      <c r="B369" s="223" t="s">
        <v>1002</v>
      </c>
      <c r="C369" s="97">
        <v>1975</v>
      </c>
      <c r="D369" s="97"/>
      <c r="E369" s="534" t="s">
        <v>218</v>
      </c>
      <c r="F369" s="824">
        <v>2</v>
      </c>
      <c r="G369" s="824">
        <v>2</v>
      </c>
      <c r="H369" s="826">
        <v>458.7</v>
      </c>
      <c r="I369" s="826">
        <v>458.7</v>
      </c>
      <c r="J369" s="826">
        <v>288.60000000000002</v>
      </c>
      <c r="K369" s="824">
        <v>15</v>
      </c>
      <c r="L369" s="578">
        <f t="shared" si="74"/>
        <v>1404334</v>
      </c>
      <c r="M369" s="92">
        <v>0</v>
      </c>
      <c r="N369" s="92">
        <v>0</v>
      </c>
      <c r="O369" s="92">
        <v>1404334</v>
      </c>
      <c r="P369" s="92">
        <v>0</v>
      </c>
      <c r="Q369" s="142">
        <f t="shared" si="73"/>
        <v>3061.5522127752342</v>
      </c>
      <c r="R369" s="93">
        <v>7822</v>
      </c>
      <c r="S369" s="266">
        <v>43100</v>
      </c>
    </row>
    <row r="370" spans="1:19" s="18" customFormat="1" ht="31.5">
      <c r="A370" s="87"/>
      <c r="B370" s="226" t="s">
        <v>1003</v>
      </c>
      <c r="C370" s="97" t="s">
        <v>190</v>
      </c>
      <c r="D370" s="97"/>
      <c r="E370" s="534" t="s">
        <v>218</v>
      </c>
      <c r="F370" s="825">
        <v>2</v>
      </c>
      <c r="G370" s="825">
        <v>6</v>
      </c>
      <c r="H370" s="827">
        <v>389</v>
      </c>
      <c r="I370" s="827">
        <v>389</v>
      </c>
      <c r="J370" s="827">
        <v>269.39999999999998</v>
      </c>
      <c r="K370" s="825">
        <v>12</v>
      </c>
      <c r="L370" s="578">
        <f t="shared" si="74"/>
        <v>1321007</v>
      </c>
      <c r="M370" s="92">
        <v>0</v>
      </c>
      <c r="N370" s="92">
        <v>0</v>
      </c>
      <c r="O370" s="92">
        <v>1321007</v>
      </c>
      <c r="P370" s="92">
        <v>0</v>
      </c>
      <c r="Q370" s="142">
        <f t="shared" si="73"/>
        <v>3395.9048843187661</v>
      </c>
      <c r="R370" s="93">
        <v>7822</v>
      </c>
      <c r="S370" s="266">
        <v>43100</v>
      </c>
    </row>
    <row r="371" spans="1:19" s="1" customFormat="1" ht="31.5">
      <c r="A371" s="87"/>
      <c r="B371" s="223" t="s">
        <v>1004</v>
      </c>
      <c r="C371" s="97" t="s">
        <v>190</v>
      </c>
      <c r="D371" s="97"/>
      <c r="E371" s="534" t="s">
        <v>218</v>
      </c>
      <c r="F371" s="825">
        <v>2</v>
      </c>
      <c r="G371" s="825">
        <v>2</v>
      </c>
      <c r="H371" s="827">
        <v>276.5</v>
      </c>
      <c r="I371" s="827">
        <v>276.5</v>
      </c>
      <c r="J371" s="827">
        <v>128.69999999999999</v>
      </c>
      <c r="K371" s="825">
        <v>7</v>
      </c>
      <c r="L371" s="578">
        <f t="shared" si="74"/>
        <v>576885</v>
      </c>
      <c r="M371" s="92">
        <v>0</v>
      </c>
      <c r="N371" s="92">
        <v>0</v>
      </c>
      <c r="O371" s="92">
        <v>576885</v>
      </c>
      <c r="P371" s="92">
        <v>0</v>
      </c>
      <c r="Q371" s="142">
        <f t="shared" si="73"/>
        <v>2086.3833634719713</v>
      </c>
      <c r="R371" s="93">
        <v>7822</v>
      </c>
      <c r="S371" s="266">
        <v>43100</v>
      </c>
    </row>
    <row r="372" spans="1:19" s="1" customFormat="1" ht="31.5">
      <c r="A372" s="87"/>
      <c r="B372" s="223" t="s">
        <v>1005</v>
      </c>
      <c r="C372" s="97">
        <v>1975</v>
      </c>
      <c r="D372" s="97"/>
      <c r="E372" s="534" t="s">
        <v>218</v>
      </c>
      <c r="F372" s="825">
        <v>5</v>
      </c>
      <c r="G372" s="825">
        <v>4</v>
      </c>
      <c r="H372" s="827">
        <v>3129.1</v>
      </c>
      <c r="I372" s="827">
        <v>3129.1</v>
      </c>
      <c r="J372" s="827">
        <v>2134.1</v>
      </c>
      <c r="K372" s="825">
        <v>113</v>
      </c>
      <c r="L372" s="578">
        <f t="shared" si="74"/>
        <v>2178044</v>
      </c>
      <c r="M372" s="92">
        <v>0</v>
      </c>
      <c r="N372" s="92">
        <v>0</v>
      </c>
      <c r="O372" s="92">
        <v>2178044</v>
      </c>
      <c r="P372" s="92">
        <v>0</v>
      </c>
      <c r="Q372" s="142">
        <f t="shared" si="73"/>
        <v>696.06084816720465</v>
      </c>
      <c r="R372" s="93">
        <v>7822</v>
      </c>
      <c r="S372" s="266">
        <v>43100</v>
      </c>
    </row>
    <row r="373" spans="1:19" s="1" customFormat="1" ht="15.75">
      <c r="A373" s="258"/>
      <c r="B373" s="1067" t="s">
        <v>882</v>
      </c>
      <c r="C373" s="1067"/>
      <c r="D373" s="1067"/>
      <c r="E373" s="1067"/>
      <c r="F373" s="1113"/>
      <c r="G373" s="1113"/>
      <c r="H373" s="830">
        <f>H374+H375</f>
        <v>1087.7</v>
      </c>
      <c r="I373" s="830">
        <f t="shared" ref="I373:P373" si="75">I374+I375</f>
        <v>1087.7</v>
      </c>
      <c r="J373" s="830">
        <f t="shared" si="75"/>
        <v>838.8</v>
      </c>
      <c r="K373" s="830">
        <f t="shared" si="75"/>
        <v>55</v>
      </c>
      <c r="L373" s="831">
        <f t="shared" si="75"/>
        <v>2903743</v>
      </c>
      <c r="M373" s="831">
        <f t="shared" si="75"/>
        <v>0</v>
      </c>
      <c r="N373" s="831">
        <f t="shared" si="75"/>
        <v>0</v>
      </c>
      <c r="O373" s="831">
        <f t="shared" si="75"/>
        <v>2903743</v>
      </c>
      <c r="P373" s="831">
        <f t="shared" si="75"/>
        <v>0</v>
      </c>
      <c r="Q373" s="298" t="s">
        <v>40</v>
      </c>
      <c r="R373" s="298" t="s">
        <v>40</v>
      </c>
      <c r="S373" s="266">
        <v>43100</v>
      </c>
    </row>
    <row r="374" spans="1:19" s="1" customFormat="1" ht="38.450000000000003" customHeight="1">
      <c r="A374" s="258"/>
      <c r="B374" s="832" t="s">
        <v>883</v>
      </c>
      <c r="C374" s="833">
        <v>1969</v>
      </c>
      <c r="D374" s="832"/>
      <c r="E374" s="261" t="s">
        <v>218</v>
      </c>
      <c r="F374" s="833">
        <v>2</v>
      </c>
      <c r="G374" s="833">
        <v>2</v>
      </c>
      <c r="H374" s="834">
        <v>571.20000000000005</v>
      </c>
      <c r="I374" s="834">
        <v>571.20000000000005</v>
      </c>
      <c r="J374" s="833">
        <v>522.79999999999995</v>
      </c>
      <c r="K374" s="835">
        <v>33</v>
      </c>
      <c r="L374" s="264">
        <v>1605412</v>
      </c>
      <c r="M374" s="264">
        <v>0</v>
      </c>
      <c r="N374" s="264">
        <v>0</v>
      </c>
      <c r="O374" s="264">
        <v>1605412</v>
      </c>
      <c r="P374" s="264">
        <v>0</v>
      </c>
      <c r="Q374" s="836">
        <f t="shared" si="73"/>
        <v>2810.5952380952381</v>
      </c>
      <c r="R374" s="265">
        <v>7822</v>
      </c>
      <c r="S374" s="266">
        <v>43100</v>
      </c>
    </row>
    <row r="375" spans="1:19" s="1" customFormat="1" ht="27" customHeight="1">
      <c r="A375" s="258"/>
      <c r="B375" s="832" t="s">
        <v>884</v>
      </c>
      <c r="C375" s="833">
        <v>1948</v>
      </c>
      <c r="D375" s="832"/>
      <c r="E375" s="261" t="s">
        <v>221</v>
      </c>
      <c r="F375" s="833">
        <v>2</v>
      </c>
      <c r="G375" s="833">
        <v>2</v>
      </c>
      <c r="H375" s="834">
        <v>516.5</v>
      </c>
      <c r="I375" s="834">
        <v>516.5</v>
      </c>
      <c r="J375" s="833">
        <v>316</v>
      </c>
      <c r="K375" s="835">
        <v>22</v>
      </c>
      <c r="L375" s="264">
        <v>1298331</v>
      </c>
      <c r="M375" s="264">
        <v>0</v>
      </c>
      <c r="N375" s="264">
        <v>0</v>
      </c>
      <c r="O375" s="264">
        <v>1298331</v>
      </c>
      <c r="P375" s="264">
        <v>0</v>
      </c>
      <c r="Q375" s="836">
        <f t="shared" si="73"/>
        <v>2513.7095837366892</v>
      </c>
      <c r="R375" s="265">
        <v>7822</v>
      </c>
      <c r="S375" s="266">
        <v>43100</v>
      </c>
    </row>
    <row r="376" spans="1:19" s="1" customFormat="1" ht="15.75">
      <c r="A376" s="87"/>
      <c r="B376" s="1066" t="s">
        <v>52</v>
      </c>
      <c r="C376" s="1066"/>
      <c r="D376" s="1066"/>
      <c r="E376" s="1066"/>
      <c r="F376" s="1066"/>
      <c r="G376" s="1066"/>
      <c r="H376" s="107">
        <f t="shared" ref="H376:P376" si="76">H380+H377+H382</f>
        <v>2360.4</v>
      </c>
      <c r="I376" s="107">
        <f t="shared" si="76"/>
        <v>2297</v>
      </c>
      <c r="J376" s="107">
        <f t="shared" si="76"/>
        <v>1849.6999999999998</v>
      </c>
      <c r="K376" s="97">
        <f t="shared" si="76"/>
        <v>81</v>
      </c>
      <c r="L376" s="92">
        <f t="shared" si="76"/>
        <v>3121077</v>
      </c>
      <c r="M376" s="92">
        <f t="shared" si="76"/>
        <v>0</v>
      </c>
      <c r="N376" s="92">
        <f t="shared" si="76"/>
        <v>92056</v>
      </c>
      <c r="O376" s="92">
        <f t="shared" si="76"/>
        <v>3029021</v>
      </c>
      <c r="P376" s="92">
        <f t="shared" si="76"/>
        <v>0</v>
      </c>
      <c r="Q376" s="86" t="s">
        <v>40</v>
      </c>
      <c r="R376" s="86" t="s">
        <v>40</v>
      </c>
      <c r="S376" s="266">
        <v>43100</v>
      </c>
    </row>
    <row r="377" spans="1:19" s="1" customFormat="1" ht="15.75">
      <c r="A377" s="258"/>
      <c r="B377" s="1067" t="s">
        <v>130</v>
      </c>
      <c r="C377" s="1067"/>
      <c r="D377" s="1067"/>
      <c r="E377" s="1067"/>
      <c r="F377" s="1067"/>
      <c r="G377" s="1067"/>
      <c r="H377" s="296">
        <f>H378</f>
        <v>704.6</v>
      </c>
      <c r="I377" s="296">
        <f t="shared" ref="I377:P377" si="77">I378</f>
        <v>704.6</v>
      </c>
      <c r="J377" s="296">
        <f t="shared" si="77"/>
        <v>655.9</v>
      </c>
      <c r="K377" s="296">
        <f t="shared" si="77"/>
        <v>16</v>
      </c>
      <c r="L377" s="592">
        <f t="shared" si="77"/>
        <v>1828731</v>
      </c>
      <c r="M377" s="592">
        <f t="shared" si="77"/>
        <v>0</v>
      </c>
      <c r="N377" s="592">
        <f t="shared" si="77"/>
        <v>0</v>
      </c>
      <c r="O377" s="592">
        <f t="shared" si="77"/>
        <v>1828731</v>
      </c>
      <c r="P377" s="592">
        <f t="shared" si="77"/>
        <v>0</v>
      </c>
      <c r="Q377" s="298" t="s">
        <v>40</v>
      </c>
      <c r="R377" s="298" t="s">
        <v>40</v>
      </c>
      <c r="S377" s="266">
        <v>43100</v>
      </c>
    </row>
    <row r="378" spans="1:19" s="33" customFormat="1" ht="31.5">
      <c r="A378" s="258">
        <v>60</v>
      </c>
      <c r="B378" s="259" t="s">
        <v>672</v>
      </c>
      <c r="C378" s="334">
        <v>1962</v>
      </c>
      <c r="D378" s="334"/>
      <c r="E378" s="261" t="s">
        <v>218</v>
      </c>
      <c r="F378" s="334">
        <v>2</v>
      </c>
      <c r="G378" s="334">
        <v>2</v>
      </c>
      <c r="H378" s="334">
        <v>704.6</v>
      </c>
      <c r="I378" s="334">
        <v>704.6</v>
      </c>
      <c r="J378" s="334">
        <v>655.9</v>
      </c>
      <c r="K378" s="334">
        <v>16</v>
      </c>
      <c r="L378" s="264">
        <v>1828731</v>
      </c>
      <c r="M378" s="264">
        <v>0</v>
      </c>
      <c r="N378" s="264">
        <v>0</v>
      </c>
      <c r="O378" s="264">
        <f>L378</f>
        <v>1828731</v>
      </c>
      <c r="P378" s="264">
        <v>0</v>
      </c>
      <c r="Q378" s="265">
        <f>L378/I378</f>
        <v>2595.4172580187342</v>
      </c>
      <c r="R378" s="531">
        <v>7822</v>
      </c>
      <c r="S378" s="266">
        <v>43100</v>
      </c>
    </row>
    <row r="379" spans="1:19" s="33" customFormat="1" ht="15.75">
      <c r="A379" s="258"/>
      <c r="B379" s="287"/>
      <c r="C379" s="258"/>
      <c r="D379" s="258"/>
      <c r="E379" s="261"/>
      <c r="F379" s="258"/>
      <c r="G379" s="258"/>
      <c r="H379" s="532"/>
      <c r="I379" s="532"/>
      <c r="J379" s="258"/>
      <c r="K379" s="258"/>
      <c r="L379" s="264"/>
      <c r="M379" s="264"/>
      <c r="N379" s="264"/>
      <c r="O379" s="264"/>
      <c r="P379" s="264"/>
      <c r="Q379" s="265"/>
      <c r="R379" s="531"/>
      <c r="S379" s="266"/>
    </row>
    <row r="380" spans="1:19" s="1" customFormat="1" ht="15.75" customHeight="1">
      <c r="A380" s="87"/>
      <c r="B380" s="1068" t="s">
        <v>109</v>
      </c>
      <c r="C380" s="1068"/>
      <c r="D380" s="1068"/>
      <c r="E380" s="1068"/>
      <c r="F380" s="1068"/>
      <c r="G380" s="1068"/>
      <c r="H380" s="107">
        <f>H381</f>
        <v>799.3</v>
      </c>
      <c r="I380" s="86">
        <f t="shared" ref="I380:P380" si="78">I381</f>
        <v>735.9</v>
      </c>
      <c r="J380" s="86">
        <f t="shared" si="78"/>
        <v>693.8</v>
      </c>
      <c r="K380" s="98">
        <f t="shared" si="78"/>
        <v>32</v>
      </c>
      <c r="L380" s="92">
        <v>201010</v>
      </c>
      <c r="M380" s="92">
        <f t="shared" si="78"/>
        <v>0</v>
      </c>
      <c r="N380" s="92">
        <f t="shared" si="78"/>
        <v>92056</v>
      </c>
      <c r="O380" s="92">
        <f t="shared" si="78"/>
        <v>108954</v>
      </c>
      <c r="P380" s="92">
        <f t="shared" si="78"/>
        <v>0</v>
      </c>
      <c r="Q380" s="86" t="s">
        <v>40</v>
      </c>
      <c r="R380" s="86" t="s">
        <v>40</v>
      </c>
      <c r="S380" s="266">
        <v>43100</v>
      </c>
    </row>
    <row r="381" spans="1:19" s="1" customFormat="1" ht="15.75">
      <c r="A381" s="87"/>
      <c r="B381" s="224" t="s">
        <v>414</v>
      </c>
      <c r="C381" s="232">
        <v>1977</v>
      </c>
      <c r="D381" s="97"/>
      <c r="E381" s="89" t="s">
        <v>219</v>
      </c>
      <c r="F381" s="97">
        <v>2</v>
      </c>
      <c r="G381" s="97">
        <v>2</v>
      </c>
      <c r="H381" s="107">
        <v>799.3</v>
      </c>
      <c r="I381" s="86">
        <v>735.9</v>
      </c>
      <c r="J381" s="86">
        <v>693.8</v>
      </c>
      <c r="K381" s="98">
        <v>32</v>
      </c>
      <c r="L381" s="92">
        <v>201010</v>
      </c>
      <c r="M381" s="92">
        <v>0</v>
      </c>
      <c r="N381" s="92">
        <v>92056</v>
      </c>
      <c r="O381" s="92">
        <v>108954</v>
      </c>
      <c r="P381" s="92">
        <v>0</v>
      </c>
      <c r="Q381" s="86">
        <f>L381/I381</f>
        <v>273.14852561489334</v>
      </c>
      <c r="R381" s="93">
        <v>6774</v>
      </c>
      <c r="S381" s="266">
        <v>43100</v>
      </c>
    </row>
    <row r="382" spans="1:19" s="18" customFormat="1" ht="15.75" customHeight="1">
      <c r="A382" s="87"/>
      <c r="B382" s="1102" t="s">
        <v>198</v>
      </c>
      <c r="C382" s="1102"/>
      <c r="D382" s="1102"/>
      <c r="E382" s="1102"/>
      <c r="F382" s="1102"/>
      <c r="G382" s="1102"/>
      <c r="H382" s="107">
        <f>H383</f>
        <v>856.5</v>
      </c>
      <c r="I382" s="107">
        <f t="shared" ref="I382:P382" si="79">I383</f>
        <v>856.5</v>
      </c>
      <c r="J382" s="107">
        <f t="shared" si="79"/>
        <v>500</v>
      </c>
      <c r="K382" s="146">
        <f t="shared" si="79"/>
        <v>33</v>
      </c>
      <c r="L382" s="92">
        <f t="shared" si="79"/>
        <v>1091336</v>
      </c>
      <c r="M382" s="92">
        <f t="shared" si="79"/>
        <v>0</v>
      </c>
      <c r="N382" s="92">
        <f t="shared" si="79"/>
        <v>0</v>
      </c>
      <c r="O382" s="92">
        <f t="shared" si="79"/>
        <v>1091336</v>
      </c>
      <c r="P382" s="92">
        <f t="shared" si="79"/>
        <v>0</v>
      </c>
      <c r="Q382" s="86" t="s">
        <v>40</v>
      </c>
      <c r="R382" s="93" t="s">
        <v>40</v>
      </c>
      <c r="S382" s="266">
        <v>43100</v>
      </c>
    </row>
    <row r="383" spans="1:19" s="18" customFormat="1" ht="31.5">
      <c r="A383" s="87"/>
      <c r="B383" s="227" t="s">
        <v>415</v>
      </c>
      <c r="C383" s="232">
        <v>1982</v>
      </c>
      <c r="D383" s="97"/>
      <c r="E383" s="89" t="s">
        <v>218</v>
      </c>
      <c r="F383" s="97">
        <v>2</v>
      </c>
      <c r="G383" s="97">
        <v>3</v>
      </c>
      <c r="H383" s="107">
        <v>856.5</v>
      </c>
      <c r="I383" s="86">
        <v>856.5</v>
      </c>
      <c r="J383" s="86">
        <v>500</v>
      </c>
      <c r="K383" s="98">
        <v>33</v>
      </c>
      <c r="L383" s="92">
        <v>1091336</v>
      </c>
      <c r="M383" s="92">
        <v>0</v>
      </c>
      <c r="N383" s="92">
        <v>0</v>
      </c>
      <c r="O383" s="92">
        <f>L383</f>
        <v>1091336</v>
      </c>
      <c r="P383" s="92">
        <v>0</v>
      </c>
      <c r="Q383" s="86">
        <f>L383/I383</f>
        <v>1274.1809690601285</v>
      </c>
      <c r="R383" s="93">
        <v>6774</v>
      </c>
      <c r="S383" s="266">
        <v>43100</v>
      </c>
    </row>
    <row r="384" spans="1:19" s="1" customFormat="1" ht="15.75">
      <c r="A384" s="87"/>
      <c r="B384" s="1066" t="s">
        <v>53</v>
      </c>
      <c r="C384" s="1066"/>
      <c r="D384" s="1066"/>
      <c r="E384" s="1066"/>
      <c r="F384" s="1066"/>
      <c r="G384" s="1066"/>
      <c r="H384" s="86">
        <f>H385+H401+H403+H405+H415+H417+H419+H412</f>
        <v>102181.8</v>
      </c>
      <c r="I384" s="86">
        <f t="shared" ref="I384:P384" si="80">I385+I401+I403+I405+I415+I417+I419+I412</f>
        <v>76056.159999999989</v>
      </c>
      <c r="J384" s="86">
        <f t="shared" si="80"/>
        <v>73347.16</v>
      </c>
      <c r="K384" s="86">
        <f t="shared" si="80"/>
        <v>3020</v>
      </c>
      <c r="L384" s="86">
        <f t="shared" si="80"/>
        <v>55852955.920000002</v>
      </c>
      <c r="M384" s="86">
        <f t="shared" si="80"/>
        <v>0</v>
      </c>
      <c r="N384" s="86">
        <f t="shared" si="80"/>
        <v>371832.54000000004</v>
      </c>
      <c r="O384" s="86">
        <f t="shared" si="80"/>
        <v>55481123.379999995</v>
      </c>
      <c r="P384" s="86">
        <f t="shared" si="80"/>
        <v>0</v>
      </c>
      <c r="Q384" s="86" t="s">
        <v>40</v>
      </c>
      <c r="R384" s="86" t="s">
        <v>40</v>
      </c>
      <c r="S384" s="266">
        <v>43100</v>
      </c>
    </row>
    <row r="385" spans="1:34" s="1" customFormat="1" ht="15.75">
      <c r="A385" s="87"/>
      <c r="B385" s="1066" t="s">
        <v>88</v>
      </c>
      <c r="C385" s="1066"/>
      <c r="D385" s="1066"/>
      <c r="E385" s="1066"/>
      <c r="F385" s="1066"/>
      <c r="G385" s="1066"/>
      <c r="H385" s="536">
        <f>SUM(H386:H395)</f>
        <v>77350</v>
      </c>
      <c r="I385" s="536">
        <f t="shared" ref="I385:P385" si="81">SUM(I386:I395)</f>
        <v>54170</v>
      </c>
      <c r="J385" s="536">
        <f t="shared" si="81"/>
        <v>53000.799999999996</v>
      </c>
      <c r="K385" s="536">
        <f t="shared" si="81"/>
        <v>2037</v>
      </c>
      <c r="L385" s="359">
        <f t="shared" si="81"/>
        <v>31676745</v>
      </c>
      <c r="M385" s="359">
        <f t="shared" si="81"/>
        <v>0</v>
      </c>
      <c r="N385" s="359">
        <f t="shared" si="81"/>
        <v>0</v>
      </c>
      <c r="O385" s="359">
        <f t="shared" si="81"/>
        <v>31676745</v>
      </c>
      <c r="P385" s="359">
        <f t="shared" si="81"/>
        <v>0</v>
      </c>
      <c r="Q385" s="86" t="s">
        <v>40</v>
      </c>
      <c r="R385" s="86" t="s">
        <v>40</v>
      </c>
      <c r="S385" s="266">
        <v>43100</v>
      </c>
    </row>
    <row r="386" spans="1:34" s="17" customFormat="1" ht="18" customHeight="1">
      <c r="A386" s="258">
        <v>61</v>
      </c>
      <c r="B386" s="482" t="s">
        <v>416</v>
      </c>
      <c r="C386" s="347">
        <v>1987</v>
      </c>
      <c r="D386" s="347"/>
      <c r="E386" s="261" t="s">
        <v>219</v>
      </c>
      <c r="F386" s="347">
        <v>9</v>
      </c>
      <c r="G386" s="756">
        <v>3</v>
      </c>
      <c r="H386" s="561">
        <v>7788.1</v>
      </c>
      <c r="I386" s="561">
        <v>5529.2</v>
      </c>
      <c r="J386" s="561">
        <f>I386</f>
        <v>5529.2</v>
      </c>
      <c r="K386" s="561">
        <v>219</v>
      </c>
      <c r="L386" s="757">
        <v>3883714</v>
      </c>
      <c r="M386" s="758">
        <v>0</v>
      </c>
      <c r="N386" s="759">
        <v>0</v>
      </c>
      <c r="O386" s="759">
        <f t="shared" ref="O386:O395" si="82">L386</f>
        <v>3883714</v>
      </c>
      <c r="P386" s="759">
        <v>0</v>
      </c>
      <c r="Q386" s="265">
        <f t="shared" ref="Q386:Q400" si="83">L386/I386</f>
        <v>702.40070896332202</v>
      </c>
      <c r="R386" s="265">
        <v>7822</v>
      </c>
      <c r="S386" s="266">
        <v>43100</v>
      </c>
    </row>
    <row r="387" spans="1:34" s="17" customFormat="1" ht="20.45" customHeight="1">
      <c r="A387" s="258">
        <v>62</v>
      </c>
      <c r="B387" s="482" t="s">
        <v>743</v>
      </c>
      <c r="C387" s="347">
        <v>1988</v>
      </c>
      <c r="D387" s="347"/>
      <c r="E387" s="261" t="s">
        <v>219</v>
      </c>
      <c r="F387" s="347">
        <v>9</v>
      </c>
      <c r="G387" s="756">
        <v>4</v>
      </c>
      <c r="H387" s="561">
        <v>10415.1</v>
      </c>
      <c r="I387" s="561">
        <v>7937.2</v>
      </c>
      <c r="J387" s="561">
        <f>I387-54.8</f>
        <v>7882.4</v>
      </c>
      <c r="K387" s="561">
        <v>144</v>
      </c>
      <c r="L387" s="757">
        <v>3894862</v>
      </c>
      <c r="M387" s="758">
        <v>0</v>
      </c>
      <c r="N387" s="759">
        <v>0</v>
      </c>
      <c r="O387" s="759">
        <f t="shared" si="82"/>
        <v>3894862</v>
      </c>
      <c r="P387" s="759">
        <v>0</v>
      </c>
      <c r="Q387" s="265">
        <f t="shared" si="83"/>
        <v>490.70982210351258</v>
      </c>
      <c r="R387" s="265">
        <v>7822</v>
      </c>
      <c r="S387" s="266">
        <v>43100</v>
      </c>
    </row>
    <row r="388" spans="1:34" s="17" customFormat="1" ht="23.45" customHeight="1">
      <c r="A388" s="258">
        <v>63</v>
      </c>
      <c r="B388" s="482" t="s">
        <v>417</v>
      </c>
      <c r="C388" s="347">
        <v>1990</v>
      </c>
      <c r="D388" s="347"/>
      <c r="E388" s="261" t="s">
        <v>219</v>
      </c>
      <c r="F388" s="347">
        <v>9</v>
      </c>
      <c r="G388" s="756">
        <v>3</v>
      </c>
      <c r="H388" s="561">
        <v>7717.9</v>
      </c>
      <c r="I388" s="561">
        <v>5472.2</v>
      </c>
      <c r="J388" s="561">
        <f>I388-142.7</f>
        <v>5329.5</v>
      </c>
      <c r="K388" s="561">
        <v>236</v>
      </c>
      <c r="L388" s="757">
        <v>3877521</v>
      </c>
      <c r="M388" s="758">
        <v>0</v>
      </c>
      <c r="N388" s="759">
        <v>0</v>
      </c>
      <c r="O388" s="759">
        <f t="shared" si="82"/>
        <v>3877521</v>
      </c>
      <c r="P388" s="759">
        <v>0</v>
      </c>
      <c r="Q388" s="265">
        <f t="shared" si="83"/>
        <v>708.58539527064067</v>
      </c>
      <c r="R388" s="265">
        <v>7822</v>
      </c>
      <c r="S388" s="266">
        <v>43100</v>
      </c>
    </row>
    <row r="389" spans="1:34" s="17" customFormat="1" ht="19.149999999999999" customHeight="1">
      <c r="A389" s="258">
        <v>64</v>
      </c>
      <c r="B389" s="482" t="s">
        <v>418</v>
      </c>
      <c r="C389" s="347">
        <v>1989</v>
      </c>
      <c r="D389" s="347"/>
      <c r="E389" s="261" t="s">
        <v>219</v>
      </c>
      <c r="F389" s="347">
        <v>9</v>
      </c>
      <c r="G389" s="756">
        <v>2</v>
      </c>
      <c r="H389" s="561">
        <v>5173.6000000000004</v>
      </c>
      <c r="I389" s="561">
        <v>3702.9</v>
      </c>
      <c r="J389" s="561">
        <f>I389-159.5</f>
        <v>3543.4</v>
      </c>
      <c r="K389" s="561">
        <v>148</v>
      </c>
      <c r="L389" s="757">
        <v>1943688</v>
      </c>
      <c r="M389" s="758">
        <v>0</v>
      </c>
      <c r="N389" s="759">
        <v>0</v>
      </c>
      <c r="O389" s="759">
        <f t="shared" si="82"/>
        <v>1943688</v>
      </c>
      <c r="P389" s="759">
        <v>0</v>
      </c>
      <c r="Q389" s="265">
        <f t="shared" si="83"/>
        <v>524.90966539739122</v>
      </c>
      <c r="R389" s="265">
        <v>7822</v>
      </c>
      <c r="S389" s="266">
        <v>43100</v>
      </c>
    </row>
    <row r="390" spans="1:34" s="17" customFormat="1" ht="23.45" customHeight="1">
      <c r="A390" s="258">
        <v>65</v>
      </c>
      <c r="B390" s="482" t="s">
        <v>757</v>
      </c>
      <c r="C390" s="347">
        <v>1963</v>
      </c>
      <c r="D390" s="347"/>
      <c r="E390" s="261" t="s">
        <v>220</v>
      </c>
      <c r="F390" s="347">
        <v>4</v>
      </c>
      <c r="G390" s="756">
        <v>4</v>
      </c>
      <c r="H390" s="760">
        <v>4542.7</v>
      </c>
      <c r="I390" s="760">
        <v>2527.8000000000002</v>
      </c>
      <c r="J390" s="760">
        <v>2473.4</v>
      </c>
      <c r="K390" s="760">
        <v>104</v>
      </c>
      <c r="L390" s="757">
        <v>2656189</v>
      </c>
      <c r="M390" s="758">
        <v>0</v>
      </c>
      <c r="N390" s="759">
        <v>0</v>
      </c>
      <c r="O390" s="759">
        <f t="shared" si="82"/>
        <v>2656189</v>
      </c>
      <c r="P390" s="759">
        <v>0</v>
      </c>
      <c r="Q390" s="265">
        <f t="shared" si="83"/>
        <v>1050.7908062346703</v>
      </c>
      <c r="R390" s="265">
        <v>7822</v>
      </c>
      <c r="S390" s="266">
        <v>43100</v>
      </c>
      <c r="T390" s="40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F390" s="40"/>
      <c r="AG390" s="40"/>
      <c r="AH390" s="40"/>
    </row>
    <row r="391" spans="1:34" s="17" customFormat="1" ht="21.6" customHeight="1">
      <c r="A391" s="258">
        <v>66</v>
      </c>
      <c r="B391" s="482" t="s">
        <v>758</v>
      </c>
      <c r="C391" s="347">
        <v>1964</v>
      </c>
      <c r="D391" s="347"/>
      <c r="E391" s="261" t="s">
        <v>220</v>
      </c>
      <c r="F391" s="347">
        <v>5</v>
      </c>
      <c r="G391" s="756">
        <v>4</v>
      </c>
      <c r="H391" s="760">
        <v>5355</v>
      </c>
      <c r="I391" s="760">
        <v>3440.4</v>
      </c>
      <c r="J391" s="760">
        <v>3242.8</v>
      </c>
      <c r="K391" s="760">
        <v>136</v>
      </c>
      <c r="L391" s="757">
        <v>2621402</v>
      </c>
      <c r="M391" s="758">
        <v>0</v>
      </c>
      <c r="N391" s="759">
        <v>0</v>
      </c>
      <c r="O391" s="759">
        <f t="shared" si="82"/>
        <v>2621402</v>
      </c>
      <c r="P391" s="759">
        <v>0</v>
      </c>
      <c r="Q391" s="265">
        <f t="shared" si="83"/>
        <v>761.9468666434135</v>
      </c>
      <c r="R391" s="265">
        <v>7822</v>
      </c>
      <c r="S391" s="266">
        <v>43100</v>
      </c>
      <c r="T391" s="40"/>
      <c r="U391" s="40"/>
      <c r="V391" s="40"/>
      <c r="W391" s="40"/>
      <c r="X391" s="40"/>
      <c r="Y391" s="40"/>
      <c r="Z391" s="40"/>
      <c r="AA391" s="40"/>
      <c r="AB391" s="40"/>
      <c r="AC391" s="40"/>
      <c r="AD391" s="40"/>
      <c r="AE391" s="40"/>
      <c r="AF391" s="40"/>
      <c r="AG391" s="40"/>
      <c r="AH391" s="40"/>
    </row>
    <row r="392" spans="1:34" s="40" customFormat="1" ht="31.5">
      <c r="A392" s="258">
        <v>67</v>
      </c>
      <c r="B392" s="482" t="s">
        <v>744</v>
      </c>
      <c r="C392" s="347">
        <v>1972</v>
      </c>
      <c r="D392" s="347"/>
      <c r="E392" s="261" t="s">
        <v>218</v>
      </c>
      <c r="F392" s="347">
        <v>9</v>
      </c>
      <c r="G392" s="756">
        <v>4</v>
      </c>
      <c r="H392" s="561">
        <v>8529.7999999999993</v>
      </c>
      <c r="I392" s="561">
        <v>6190.9</v>
      </c>
      <c r="J392" s="561">
        <f>I392-164</f>
        <v>6026.9</v>
      </c>
      <c r="K392" s="561">
        <v>261</v>
      </c>
      <c r="L392" s="757">
        <v>3471287</v>
      </c>
      <c r="M392" s="758">
        <v>0</v>
      </c>
      <c r="N392" s="759">
        <v>0</v>
      </c>
      <c r="O392" s="759">
        <f t="shared" si="82"/>
        <v>3471287</v>
      </c>
      <c r="P392" s="759">
        <v>0</v>
      </c>
      <c r="Q392" s="265">
        <f t="shared" si="83"/>
        <v>560.70797460789231</v>
      </c>
      <c r="R392" s="265">
        <v>7822</v>
      </c>
      <c r="S392" s="266">
        <v>43100</v>
      </c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</row>
    <row r="393" spans="1:34" s="17" customFormat="1" ht="31.5">
      <c r="A393" s="258">
        <v>68</v>
      </c>
      <c r="B393" s="482" t="s">
        <v>745</v>
      </c>
      <c r="C393" s="347">
        <v>1971</v>
      </c>
      <c r="D393" s="347"/>
      <c r="E393" s="261" t="s">
        <v>218</v>
      </c>
      <c r="F393" s="347">
        <v>9</v>
      </c>
      <c r="G393" s="756">
        <v>4</v>
      </c>
      <c r="H393" s="561">
        <v>8409.5</v>
      </c>
      <c r="I393" s="561">
        <v>6117</v>
      </c>
      <c r="J393" s="561">
        <f>I393-301.5</f>
        <v>5815.5</v>
      </c>
      <c r="K393" s="561">
        <v>258</v>
      </c>
      <c r="L393" s="757">
        <v>3471167</v>
      </c>
      <c r="M393" s="758">
        <v>0</v>
      </c>
      <c r="N393" s="759">
        <v>0</v>
      </c>
      <c r="O393" s="759">
        <f t="shared" si="82"/>
        <v>3471167</v>
      </c>
      <c r="P393" s="759">
        <v>0</v>
      </c>
      <c r="Q393" s="265">
        <f t="shared" si="83"/>
        <v>567.46231812980216</v>
      </c>
      <c r="R393" s="265">
        <v>7822</v>
      </c>
      <c r="S393" s="266">
        <v>43100</v>
      </c>
    </row>
    <row r="394" spans="1:34" s="40" customFormat="1" ht="31.5">
      <c r="A394" s="258">
        <v>69</v>
      </c>
      <c r="B394" s="482" t="s">
        <v>746</v>
      </c>
      <c r="C394" s="347">
        <v>1991</v>
      </c>
      <c r="D394" s="347"/>
      <c r="E394" s="261" t="s">
        <v>218</v>
      </c>
      <c r="F394" s="347">
        <v>12</v>
      </c>
      <c r="G394" s="756">
        <v>1</v>
      </c>
      <c r="H394" s="561">
        <v>5703.1</v>
      </c>
      <c r="I394" s="561">
        <v>3976.5</v>
      </c>
      <c r="J394" s="561">
        <f>I394</f>
        <v>3976.5</v>
      </c>
      <c r="K394" s="561">
        <v>152</v>
      </c>
      <c r="L394" s="757">
        <v>3891338</v>
      </c>
      <c r="M394" s="758">
        <v>0</v>
      </c>
      <c r="N394" s="759">
        <v>0</v>
      </c>
      <c r="O394" s="759">
        <f t="shared" si="82"/>
        <v>3891338</v>
      </c>
      <c r="P394" s="759">
        <v>0</v>
      </c>
      <c r="Q394" s="265">
        <f t="shared" si="83"/>
        <v>978.58367911479945</v>
      </c>
      <c r="R394" s="265">
        <v>7822</v>
      </c>
      <c r="S394" s="266">
        <v>43100</v>
      </c>
    </row>
    <row r="395" spans="1:34" s="17" customFormat="1" ht="15.75">
      <c r="A395" s="258">
        <v>70</v>
      </c>
      <c r="B395" s="482" t="s">
        <v>747</v>
      </c>
      <c r="C395" s="347">
        <v>1985</v>
      </c>
      <c r="D395" s="347"/>
      <c r="E395" s="261" t="s">
        <v>219</v>
      </c>
      <c r="F395" s="347">
        <v>9</v>
      </c>
      <c r="G395" s="756">
        <v>5</v>
      </c>
      <c r="H395" s="561">
        <v>13715.2</v>
      </c>
      <c r="I395" s="561">
        <v>9275.9</v>
      </c>
      <c r="J395" s="561">
        <f>I395-94.7</f>
        <v>9181.1999999999989</v>
      </c>
      <c r="K395" s="561">
        <v>379</v>
      </c>
      <c r="L395" s="408">
        <v>1965577</v>
      </c>
      <c r="M395" s="609">
        <v>0</v>
      </c>
      <c r="N395" s="264">
        <v>0</v>
      </c>
      <c r="O395" s="264">
        <f t="shared" si="82"/>
        <v>1965577</v>
      </c>
      <c r="P395" s="264">
        <v>0</v>
      </c>
      <c r="Q395" s="265">
        <f t="shared" si="83"/>
        <v>211.90148664819588</v>
      </c>
      <c r="R395" s="265">
        <v>7822</v>
      </c>
      <c r="S395" s="266">
        <v>43100</v>
      </c>
    </row>
    <row r="396" spans="1:34" s="17" customFormat="1" ht="15.75">
      <c r="A396" s="258"/>
      <c r="B396" s="577"/>
      <c r="C396" s="347"/>
      <c r="D396" s="347"/>
      <c r="E396" s="261"/>
      <c r="F396" s="347"/>
      <c r="G396" s="347"/>
      <c r="H396" s="483"/>
      <c r="I396" s="576"/>
      <c r="J396" s="576"/>
      <c r="K396" s="484"/>
      <c r="L396" s="264"/>
      <c r="M396" s="264"/>
      <c r="N396" s="264"/>
      <c r="O396" s="264"/>
      <c r="P396" s="264"/>
      <c r="Q396" s="265"/>
      <c r="R396" s="265"/>
      <c r="S396" s="266"/>
    </row>
    <row r="397" spans="1:34" s="17" customFormat="1" ht="23.45" customHeight="1">
      <c r="A397" s="87"/>
      <c r="B397" s="1066" t="s">
        <v>132</v>
      </c>
      <c r="C397" s="1066"/>
      <c r="D397" s="1066"/>
      <c r="E397" s="1066"/>
      <c r="F397" s="1066"/>
      <c r="G397" s="1066"/>
      <c r="H397" s="96">
        <f>H398+H399+H400</f>
        <v>2337.4</v>
      </c>
      <c r="I397" s="96">
        <f t="shared" ref="I397:P397" si="84">I398+I399+I400</f>
        <v>2118.9</v>
      </c>
      <c r="J397" s="96">
        <f t="shared" si="84"/>
        <v>1840.3999999999999</v>
      </c>
      <c r="K397" s="96">
        <f t="shared" si="84"/>
        <v>91</v>
      </c>
      <c r="L397" s="529">
        <f t="shared" si="84"/>
        <v>5439639</v>
      </c>
      <c r="M397" s="529">
        <f t="shared" si="84"/>
        <v>0</v>
      </c>
      <c r="N397" s="529">
        <f t="shared" si="84"/>
        <v>325798</v>
      </c>
      <c r="O397" s="529">
        <f t="shared" si="84"/>
        <v>5113841</v>
      </c>
      <c r="P397" s="529">
        <f t="shared" si="84"/>
        <v>0</v>
      </c>
      <c r="Q397" s="93" t="s">
        <v>40</v>
      </c>
      <c r="R397" s="93" t="s">
        <v>40</v>
      </c>
      <c r="S397" s="266">
        <v>43100</v>
      </c>
    </row>
    <row r="398" spans="1:34" s="17" customFormat="1" ht="31.5">
      <c r="A398" s="258">
        <v>71</v>
      </c>
      <c r="B398" s="577" t="s">
        <v>697</v>
      </c>
      <c r="C398" s="347">
        <v>1984</v>
      </c>
      <c r="D398" s="347"/>
      <c r="E398" s="261" t="s">
        <v>218</v>
      </c>
      <c r="F398" s="347">
        <v>3</v>
      </c>
      <c r="G398" s="347">
        <v>2</v>
      </c>
      <c r="H398" s="483">
        <v>1130.0999999999999</v>
      </c>
      <c r="I398" s="576">
        <v>1039.4000000000001</v>
      </c>
      <c r="J398" s="576">
        <v>923.5</v>
      </c>
      <c r="K398" s="484">
        <v>48</v>
      </c>
      <c r="L398" s="264">
        <v>1207837</v>
      </c>
      <c r="M398" s="264">
        <v>0</v>
      </c>
      <c r="N398" s="264">
        <v>0</v>
      </c>
      <c r="O398" s="264">
        <v>1207837</v>
      </c>
      <c r="P398" s="264">
        <v>0</v>
      </c>
      <c r="Q398" s="265">
        <f t="shared" si="83"/>
        <v>1162.0521454685395</v>
      </c>
      <c r="R398" s="265">
        <v>7822</v>
      </c>
      <c r="S398" s="266">
        <v>43100</v>
      </c>
    </row>
    <row r="399" spans="1:34" s="17" customFormat="1" ht="31.5">
      <c r="A399" s="258">
        <v>72</v>
      </c>
      <c r="B399" s="577" t="s">
        <v>698</v>
      </c>
      <c r="C399" s="347">
        <v>1952</v>
      </c>
      <c r="D399" s="347"/>
      <c r="E399" s="261" t="s">
        <v>700</v>
      </c>
      <c r="F399" s="347">
        <v>2</v>
      </c>
      <c r="G399" s="347">
        <v>2</v>
      </c>
      <c r="H399" s="483">
        <v>442.4</v>
      </c>
      <c r="I399" s="576">
        <v>397.7</v>
      </c>
      <c r="J399" s="576">
        <v>299.10000000000002</v>
      </c>
      <c r="K399" s="484">
        <v>13</v>
      </c>
      <c r="L399" s="264">
        <v>1871260</v>
      </c>
      <c r="M399" s="264">
        <v>0</v>
      </c>
      <c r="N399" s="264">
        <v>325798</v>
      </c>
      <c r="O399" s="264">
        <v>1545462</v>
      </c>
      <c r="P399" s="264">
        <v>0</v>
      </c>
      <c r="Q399" s="265">
        <f t="shared" si="83"/>
        <v>4705.2049283379429</v>
      </c>
      <c r="R399" s="265">
        <v>7822</v>
      </c>
      <c r="S399" s="266">
        <v>43100</v>
      </c>
    </row>
    <row r="400" spans="1:34" s="17" customFormat="1" ht="31.5">
      <c r="A400" s="258">
        <v>73</v>
      </c>
      <c r="B400" s="577" t="s">
        <v>699</v>
      </c>
      <c r="C400" s="347">
        <v>1958</v>
      </c>
      <c r="D400" s="347"/>
      <c r="E400" s="261" t="s">
        <v>218</v>
      </c>
      <c r="F400" s="347">
        <v>2</v>
      </c>
      <c r="G400" s="347">
        <v>2</v>
      </c>
      <c r="H400" s="483">
        <v>764.9</v>
      </c>
      <c r="I400" s="576">
        <v>681.8</v>
      </c>
      <c r="J400" s="576">
        <v>617.79999999999995</v>
      </c>
      <c r="K400" s="484">
        <v>30</v>
      </c>
      <c r="L400" s="264">
        <v>2360542</v>
      </c>
      <c r="M400" s="264">
        <v>0</v>
      </c>
      <c r="N400" s="264">
        <v>0</v>
      </c>
      <c r="O400" s="264">
        <v>2360542</v>
      </c>
      <c r="P400" s="264"/>
      <c r="Q400" s="265">
        <f t="shared" si="83"/>
        <v>3462.2205925491348</v>
      </c>
      <c r="R400" s="265">
        <v>7822</v>
      </c>
      <c r="S400" s="266">
        <v>43100</v>
      </c>
    </row>
    <row r="401" spans="1:19" s="17" customFormat="1" ht="15.75" customHeight="1">
      <c r="A401" s="87"/>
      <c r="B401" s="1078" t="s">
        <v>593</v>
      </c>
      <c r="C401" s="1078"/>
      <c r="D401" s="1078"/>
      <c r="E401" s="1078"/>
      <c r="F401" s="1078"/>
      <c r="G401" s="1078"/>
      <c r="H401" s="96">
        <f>H402</f>
        <v>1575.1</v>
      </c>
      <c r="I401" s="96">
        <f t="shared" ref="I401:P401" si="85">I402</f>
        <v>1438.1</v>
      </c>
      <c r="J401" s="96">
        <f t="shared" si="85"/>
        <v>1438.1</v>
      </c>
      <c r="K401" s="129">
        <f t="shared" si="85"/>
        <v>54</v>
      </c>
      <c r="L401" s="92">
        <f t="shared" si="85"/>
        <v>2479354</v>
      </c>
      <c r="M401" s="92">
        <f t="shared" si="85"/>
        <v>0</v>
      </c>
      <c r="N401" s="92">
        <f t="shared" si="85"/>
        <v>0</v>
      </c>
      <c r="O401" s="92">
        <f t="shared" si="85"/>
        <v>2479354</v>
      </c>
      <c r="P401" s="92">
        <f t="shared" si="85"/>
        <v>0</v>
      </c>
      <c r="Q401" s="93" t="s">
        <v>40</v>
      </c>
      <c r="R401" s="93" t="s">
        <v>40</v>
      </c>
      <c r="S401" s="266">
        <v>43100</v>
      </c>
    </row>
    <row r="402" spans="1:19" s="17" customFormat="1" ht="31.5">
      <c r="A402" s="258">
        <v>74</v>
      </c>
      <c r="B402" s="482" t="s">
        <v>594</v>
      </c>
      <c r="C402" s="347">
        <v>1969</v>
      </c>
      <c r="D402" s="347"/>
      <c r="E402" s="261" t="s">
        <v>218</v>
      </c>
      <c r="F402" s="347">
        <v>3</v>
      </c>
      <c r="G402" s="347">
        <v>3</v>
      </c>
      <c r="H402" s="483">
        <v>1575.1</v>
      </c>
      <c r="I402" s="483">
        <v>1438.1</v>
      </c>
      <c r="J402" s="483">
        <v>1438.1</v>
      </c>
      <c r="K402" s="484">
        <v>54</v>
      </c>
      <c r="L402" s="264">
        <v>2479354</v>
      </c>
      <c r="M402" s="264">
        <v>0</v>
      </c>
      <c r="N402" s="264">
        <v>0</v>
      </c>
      <c r="O402" s="264">
        <f>L402</f>
        <v>2479354</v>
      </c>
      <c r="P402" s="264">
        <v>0</v>
      </c>
      <c r="Q402" s="265">
        <f>L402/I402</f>
        <v>1724.0483971907379</v>
      </c>
      <c r="R402" s="265">
        <v>6774</v>
      </c>
      <c r="S402" s="266">
        <v>43100</v>
      </c>
    </row>
    <row r="403" spans="1:19" s="1" customFormat="1" ht="15.75" customHeight="1">
      <c r="A403" s="87"/>
      <c r="B403" s="1068" t="s">
        <v>110</v>
      </c>
      <c r="C403" s="1068"/>
      <c r="D403" s="1068"/>
      <c r="E403" s="1068"/>
      <c r="F403" s="1068"/>
      <c r="G403" s="1068"/>
      <c r="H403" s="107">
        <f t="shared" ref="H403:O403" si="86">SUM(H404:H404)</f>
        <v>1494</v>
      </c>
      <c r="I403" s="86">
        <f t="shared" si="86"/>
        <v>1040.8</v>
      </c>
      <c r="J403" s="86">
        <f t="shared" si="86"/>
        <v>1040.8</v>
      </c>
      <c r="K403" s="98">
        <f t="shared" si="86"/>
        <v>59</v>
      </c>
      <c r="L403" s="92">
        <f t="shared" si="86"/>
        <v>2476043</v>
      </c>
      <c r="M403" s="92">
        <f t="shared" si="86"/>
        <v>0</v>
      </c>
      <c r="N403" s="92">
        <f t="shared" si="86"/>
        <v>0</v>
      </c>
      <c r="O403" s="92">
        <f t="shared" si="86"/>
        <v>2476043</v>
      </c>
      <c r="P403" s="92">
        <v>0</v>
      </c>
      <c r="Q403" s="86" t="s">
        <v>40</v>
      </c>
      <c r="R403" s="86" t="s">
        <v>40</v>
      </c>
      <c r="S403" s="266">
        <v>43100</v>
      </c>
    </row>
    <row r="404" spans="1:19" s="1" customFormat="1" ht="15.75">
      <c r="A404" s="258">
        <f>A402+1</f>
        <v>75</v>
      </c>
      <c r="B404" s="259" t="s">
        <v>472</v>
      </c>
      <c r="C404" s="258">
        <v>1964</v>
      </c>
      <c r="D404" s="260"/>
      <c r="E404" s="261" t="s">
        <v>473</v>
      </c>
      <c r="F404" s="260">
        <v>3</v>
      </c>
      <c r="G404" s="260">
        <v>3</v>
      </c>
      <c r="H404" s="262">
        <v>1494</v>
      </c>
      <c r="I404" s="260">
        <v>1040.8</v>
      </c>
      <c r="J404" s="260">
        <v>1040.8</v>
      </c>
      <c r="K404" s="263">
        <v>59</v>
      </c>
      <c r="L404" s="264">
        <v>2476043</v>
      </c>
      <c r="M404" s="264">
        <v>0</v>
      </c>
      <c r="N404" s="264">
        <v>0</v>
      </c>
      <c r="O404" s="264">
        <v>2476043</v>
      </c>
      <c r="P404" s="264">
        <v>0</v>
      </c>
      <c r="Q404" s="265">
        <f>L404/I404</f>
        <v>2378.9805918524212</v>
      </c>
      <c r="R404" s="265">
        <v>7822</v>
      </c>
      <c r="S404" s="266">
        <v>43100</v>
      </c>
    </row>
    <row r="405" spans="1:19" s="1" customFormat="1" ht="15.6" customHeight="1">
      <c r="A405" s="258"/>
      <c r="B405" s="1092" t="s">
        <v>128</v>
      </c>
      <c r="C405" s="1092"/>
      <c r="D405" s="1092"/>
      <c r="E405" s="1092"/>
      <c r="F405" s="1093"/>
      <c r="G405" s="1093"/>
      <c r="H405" s="713">
        <f>SUM(H406:H409)</f>
        <v>13933</v>
      </c>
      <c r="I405" s="713">
        <f t="shared" ref="I405:P405" si="87">SUM(I406:I409)</f>
        <v>12244</v>
      </c>
      <c r="J405" s="713">
        <f t="shared" si="87"/>
        <v>11051.5</v>
      </c>
      <c r="K405" s="713">
        <f t="shared" si="87"/>
        <v>553</v>
      </c>
      <c r="L405" s="714">
        <f t="shared" si="87"/>
        <v>11027716</v>
      </c>
      <c r="M405" s="714">
        <f t="shared" si="87"/>
        <v>0</v>
      </c>
      <c r="N405" s="714">
        <f t="shared" si="87"/>
        <v>0</v>
      </c>
      <c r="O405" s="714">
        <f t="shared" si="87"/>
        <v>11027716</v>
      </c>
      <c r="P405" s="714">
        <f t="shared" si="87"/>
        <v>0</v>
      </c>
      <c r="Q405" s="713" t="s">
        <v>40</v>
      </c>
      <c r="R405" s="649" t="s">
        <v>40</v>
      </c>
      <c r="S405" s="266">
        <v>43100</v>
      </c>
    </row>
    <row r="406" spans="1:19" customFormat="1" ht="22.9" customHeight="1">
      <c r="A406" s="258">
        <v>76</v>
      </c>
      <c r="B406" s="287" t="s">
        <v>721</v>
      </c>
      <c r="C406" s="258">
        <v>1977</v>
      </c>
      <c r="D406" s="260"/>
      <c r="E406" s="607" t="s">
        <v>219</v>
      </c>
      <c r="F406" s="570">
        <v>5</v>
      </c>
      <c r="G406" s="570">
        <v>4</v>
      </c>
      <c r="H406" s="715">
        <v>3299.5</v>
      </c>
      <c r="I406" s="715">
        <v>3053.5</v>
      </c>
      <c r="J406" s="715">
        <v>2987.3</v>
      </c>
      <c r="K406" s="570">
        <v>133</v>
      </c>
      <c r="L406" s="716">
        <v>2009466</v>
      </c>
      <c r="M406" s="716">
        <v>0</v>
      </c>
      <c r="N406" s="716">
        <v>0</v>
      </c>
      <c r="O406" s="716">
        <f>L406</f>
        <v>2009466</v>
      </c>
      <c r="P406" s="716">
        <v>0</v>
      </c>
      <c r="Q406" s="716">
        <f>L406/I406</f>
        <v>658.08613066972327</v>
      </c>
      <c r="R406" s="716">
        <v>7822</v>
      </c>
      <c r="S406" s="535">
        <v>43100</v>
      </c>
    </row>
    <row r="407" spans="1:19" customFormat="1" ht="31.5">
      <c r="A407" s="258">
        <v>77</v>
      </c>
      <c r="B407" s="287" t="s">
        <v>722</v>
      </c>
      <c r="C407" s="258">
        <v>1959</v>
      </c>
      <c r="D407" s="260"/>
      <c r="E407" s="607" t="s">
        <v>218</v>
      </c>
      <c r="F407" s="570">
        <v>2</v>
      </c>
      <c r="G407" s="570">
        <v>2</v>
      </c>
      <c r="H407" s="715">
        <v>515</v>
      </c>
      <c r="I407" s="715">
        <v>459.4</v>
      </c>
      <c r="J407" s="715">
        <v>459.4</v>
      </c>
      <c r="K407" s="570">
        <v>15</v>
      </c>
      <c r="L407" s="716">
        <v>1709729</v>
      </c>
      <c r="M407" s="716">
        <v>0</v>
      </c>
      <c r="N407" s="716">
        <v>0</v>
      </c>
      <c r="O407" s="716">
        <f>L407</f>
        <v>1709729</v>
      </c>
      <c r="P407" s="716">
        <v>0</v>
      </c>
      <c r="Q407" s="716">
        <f>L407/I407</f>
        <v>3721.6565084893341</v>
      </c>
      <c r="R407" s="716">
        <v>7822</v>
      </c>
      <c r="S407" s="535">
        <v>43100</v>
      </c>
    </row>
    <row r="408" spans="1:19" customFormat="1" ht="31.9" customHeight="1">
      <c r="A408" s="258">
        <v>78</v>
      </c>
      <c r="B408" s="287" t="s">
        <v>723</v>
      </c>
      <c r="C408" s="258">
        <v>1989</v>
      </c>
      <c r="D408" s="260"/>
      <c r="E408" s="607" t="s">
        <v>219</v>
      </c>
      <c r="F408" s="570">
        <v>5</v>
      </c>
      <c r="G408" s="570">
        <v>7</v>
      </c>
      <c r="H408" s="715">
        <v>5924.3</v>
      </c>
      <c r="I408" s="715">
        <v>5373.7</v>
      </c>
      <c r="J408" s="715">
        <v>4875.2</v>
      </c>
      <c r="K408" s="570">
        <v>217</v>
      </c>
      <c r="L408" s="716">
        <v>4267870</v>
      </c>
      <c r="M408" s="716">
        <v>0</v>
      </c>
      <c r="N408" s="716">
        <v>0</v>
      </c>
      <c r="O408" s="716">
        <f>L408</f>
        <v>4267870</v>
      </c>
      <c r="P408" s="716">
        <v>0</v>
      </c>
      <c r="Q408" s="716">
        <f>L408/I408</f>
        <v>794.21441464912448</v>
      </c>
      <c r="R408" s="716">
        <v>7822</v>
      </c>
      <c r="S408" s="535">
        <v>43100</v>
      </c>
    </row>
    <row r="409" spans="1:19" customFormat="1" ht="31.5">
      <c r="A409" s="258">
        <v>79</v>
      </c>
      <c r="B409" s="287" t="s">
        <v>724</v>
      </c>
      <c r="C409" s="258">
        <v>1980</v>
      </c>
      <c r="D409" s="260"/>
      <c r="E409" s="607" t="s">
        <v>218</v>
      </c>
      <c r="F409" s="570">
        <v>5</v>
      </c>
      <c r="G409" s="570">
        <v>2</v>
      </c>
      <c r="H409" s="715">
        <v>4194.2</v>
      </c>
      <c r="I409" s="715">
        <v>3357.4</v>
      </c>
      <c r="J409" s="715">
        <v>2729.6</v>
      </c>
      <c r="K409" s="570">
        <v>188</v>
      </c>
      <c r="L409" s="716">
        <v>3040651</v>
      </c>
      <c r="M409" s="716">
        <v>0</v>
      </c>
      <c r="N409" s="716">
        <v>0</v>
      </c>
      <c r="O409" s="716">
        <f>L409</f>
        <v>3040651</v>
      </c>
      <c r="P409" s="716">
        <v>0</v>
      </c>
      <c r="Q409" s="716">
        <f>L409/I409</f>
        <v>905.65646035622797</v>
      </c>
      <c r="R409" s="716">
        <v>7822</v>
      </c>
      <c r="S409" s="535">
        <v>43100</v>
      </c>
    </row>
    <row r="410" spans="1:19" customFormat="1" ht="15.75">
      <c r="A410" s="258"/>
      <c r="B410" s="287"/>
      <c r="C410" s="258"/>
      <c r="D410" s="260"/>
      <c r="E410" s="261"/>
      <c r="F410" s="552"/>
      <c r="G410" s="552"/>
      <c r="H410" s="552"/>
      <c r="I410" s="553"/>
      <c r="J410" s="552"/>
      <c r="K410" s="552"/>
      <c r="L410" s="537"/>
      <c r="M410" s="537"/>
      <c r="N410" s="537"/>
      <c r="O410" s="537"/>
      <c r="P410" s="537"/>
      <c r="Q410" s="538"/>
      <c r="R410" s="538"/>
      <c r="S410" s="266"/>
    </row>
    <row r="411" spans="1:19" customFormat="1" ht="15.75">
      <c r="A411" s="258"/>
      <c r="B411" s="287"/>
      <c r="C411" s="258"/>
      <c r="D411" s="260"/>
      <c r="E411" s="261"/>
      <c r="F411" s="260"/>
      <c r="G411" s="260"/>
      <c r="H411" s="260"/>
      <c r="I411" s="295"/>
      <c r="J411" s="260"/>
      <c r="K411" s="260"/>
      <c r="L411" s="264"/>
      <c r="M411" s="264"/>
      <c r="N411" s="264"/>
      <c r="O411" s="264"/>
      <c r="P411" s="264"/>
      <c r="Q411" s="265"/>
      <c r="R411" s="265"/>
      <c r="S411" s="266"/>
    </row>
    <row r="412" spans="1:19" customFormat="1" ht="24" customHeight="1">
      <c r="A412" s="258"/>
      <c r="B412" s="1110" t="s">
        <v>668</v>
      </c>
      <c r="C412" s="1111"/>
      <c r="D412" s="1111"/>
      <c r="E412" s="1111"/>
      <c r="F412" s="1111"/>
      <c r="G412" s="1112"/>
      <c r="H412" s="260">
        <f>H413+H414</f>
        <v>5520.2</v>
      </c>
      <c r="I412" s="260">
        <f t="shared" ref="I412:P412" si="88">I413+I414</f>
        <v>4958.3599999999997</v>
      </c>
      <c r="J412" s="260">
        <f t="shared" si="88"/>
        <v>4941.46</v>
      </c>
      <c r="K412" s="260">
        <f t="shared" si="88"/>
        <v>173</v>
      </c>
      <c r="L412" s="628">
        <f t="shared" si="88"/>
        <v>4521219</v>
      </c>
      <c r="M412" s="628">
        <f t="shared" si="88"/>
        <v>0</v>
      </c>
      <c r="N412" s="628">
        <f t="shared" si="88"/>
        <v>0</v>
      </c>
      <c r="O412" s="628">
        <f t="shared" si="88"/>
        <v>4521219</v>
      </c>
      <c r="P412" s="628">
        <f t="shared" si="88"/>
        <v>0</v>
      </c>
      <c r="Q412" s="298" t="s">
        <v>40</v>
      </c>
      <c r="R412" s="265" t="s">
        <v>40</v>
      </c>
      <c r="S412" s="266">
        <v>43100</v>
      </c>
    </row>
    <row r="413" spans="1:19" customFormat="1" ht="24" customHeight="1">
      <c r="A413" s="258">
        <v>80</v>
      </c>
      <c r="B413" s="629" t="s">
        <v>669</v>
      </c>
      <c r="C413" s="258">
        <v>1974</v>
      </c>
      <c r="D413" s="258"/>
      <c r="E413" s="258" t="s">
        <v>219</v>
      </c>
      <c r="F413" s="258">
        <v>5</v>
      </c>
      <c r="G413" s="258">
        <v>6</v>
      </c>
      <c r="H413" s="260">
        <v>4829</v>
      </c>
      <c r="I413" s="295">
        <v>4323.96</v>
      </c>
      <c r="J413" s="260">
        <v>4307.0600000000004</v>
      </c>
      <c r="K413" s="260">
        <v>141</v>
      </c>
      <c r="L413" s="264">
        <v>2857112</v>
      </c>
      <c r="M413" s="264">
        <v>0</v>
      </c>
      <c r="N413" s="264">
        <v>0</v>
      </c>
      <c r="O413" s="264">
        <v>2857112</v>
      </c>
      <c r="P413" s="264">
        <v>0</v>
      </c>
      <c r="Q413" s="265">
        <f>L413/I413</f>
        <v>660.76281926752324</v>
      </c>
      <c r="R413" s="265">
        <v>7822</v>
      </c>
      <c r="S413" s="266">
        <v>43100</v>
      </c>
    </row>
    <row r="414" spans="1:19" customFormat="1" ht="31.5">
      <c r="A414" s="258">
        <v>81</v>
      </c>
      <c r="B414" s="287" t="s">
        <v>670</v>
      </c>
      <c r="C414" s="258">
        <v>1961</v>
      </c>
      <c r="D414" s="260"/>
      <c r="E414" s="261" t="s">
        <v>218</v>
      </c>
      <c r="F414" s="260">
        <v>2</v>
      </c>
      <c r="G414" s="260">
        <v>2</v>
      </c>
      <c r="H414" s="260">
        <v>691.2</v>
      </c>
      <c r="I414" s="295">
        <v>634.4</v>
      </c>
      <c r="J414" s="260">
        <v>634.4</v>
      </c>
      <c r="K414" s="260">
        <v>32</v>
      </c>
      <c r="L414" s="264">
        <v>1664107</v>
      </c>
      <c r="M414" s="264">
        <v>0</v>
      </c>
      <c r="N414" s="264">
        <v>0</v>
      </c>
      <c r="O414" s="264">
        <v>1664107</v>
      </c>
      <c r="P414" s="264">
        <v>0</v>
      </c>
      <c r="Q414" s="265">
        <f>L414/I414</f>
        <v>2623.1194829760407</v>
      </c>
      <c r="R414" s="265">
        <v>7822</v>
      </c>
      <c r="S414" s="266">
        <v>43100</v>
      </c>
    </row>
    <row r="415" spans="1:19" s="1" customFormat="1" ht="15.75">
      <c r="A415" s="87"/>
      <c r="B415" s="1066" t="s">
        <v>994</v>
      </c>
      <c r="C415" s="1066"/>
      <c r="D415" s="1066"/>
      <c r="E415" s="1066"/>
      <c r="F415" s="1066"/>
      <c r="G415" s="1066"/>
      <c r="H415" s="107">
        <f>H416</f>
        <v>625.9</v>
      </c>
      <c r="I415" s="86">
        <f t="shared" ref="I415:N415" si="89">I416</f>
        <v>625.9</v>
      </c>
      <c r="J415" s="86">
        <f t="shared" si="89"/>
        <v>526.9</v>
      </c>
      <c r="K415" s="98">
        <f t="shared" si="89"/>
        <v>32</v>
      </c>
      <c r="L415" s="92">
        <f t="shared" si="89"/>
        <v>1540610</v>
      </c>
      <c r="M415" s="92">
        <f t="shared" si="89"/>
        <v>0</v>
      </c>
      <c r="N415" s="92">
        <f t="shared" si="89"/>
        <v>225510.7</v>
      </c>
      <c r="O415" s="92">
        <f>O416</f>
        <v>1315099.3</v>
      </c>
      <c r="P415" s="92">
        <v>0</v>
      </c>
      <c r="Q415" s="86" t="s">
        <v>40</v>
      </c>
      <c r="R415" s="93" t="s">
        <v>40</v>
      </c>
      <c r="S415" s="266">
        <v>43100</v>
      </c>
    </row>
    <row r="416" spans="1:19" s="1" customFormat="1" ht="31.5">
      <c r="A416" s="87"/>
      <c r="B416" s="224" t="s">
        <v>995</v>
      </c>
      <c r="C416" s="97">
        <v>1963</v>
      </c>
      <c r="D416" s="223"/>
      <c r="E416" s="89" t="s">
        <v>218</v>
      </c>
      <c r="F416" s="97">
        <v>2</v>
      </c>
      <c r="G416" s="97">
        <v>2</v>
      </c>
      <c r="H416" s="107">
        <v>625.9</v>
      </c>
      <c r="I416" s="86">
        <v>625.9</v>
      </c>
      <c r="J416" s="86">
        <v>526.9</v>
      </c>
      <c r="K416" s="98">
        <v>32</v>
      </c>
      <c r="L416" s="92">
        <v>1540610</v>
      </c>
      <c r="M416" s="92">
        <v>0</v>
      </c>
      <c r="N416" s="92">
        <v>225510.7</v>
      </c>
      <c r="O416" s="92">
        <v>1315099.3</v>
      </c>
      <c r="P416" s="92">
        <v>0</v>
      </c>
      <c r="Q416" s="86">
        <f>L416/I416</f>
        <v>2461.4315385844384</v>
      </c>
      <c r="R416" s="93">
        <v>7822</v>
      </c>
      <c r="S416" s="266">
        <v>43100</v>
      </c>
    </row>
    <row r="417" spans="1:19" s="1" customFormat="1" ht="15.75" customHeight="1">
      <c r="A417" s="87"/>
      <c r="B417" s="1068" t="s">
        <v>111</v>
      </c>
      <c r="C417" s="1068"/>
      <c r="D417" s="1068"/>
      <c r="E417" s="1068"/>
      <c r="F417" s="1068"/>
      <c r="G417" s="1068"/>
      <c r="H417" s="107">
        <f t="shared" ref="H417:P417" si="90">H418</f>
        <v>533.5</v>
      </c>
      <c r="I417" s="107">
        <f t="shared" si="90"/>
        <v>525.5</v>
      </c>
      <c r="J417" s="107">
        <f t="shared" si="90"/>
        <v>294.10000000000002</v>
      </c>
      <c r="K417" s="98">
        <f t="shared" si="90"/>
        <v>54</v>
      </c>
      <c r="L417" s="92">
        <f t="shared" si="90"/>
        <v>657835.92000000004</v>
      </c>
      <c r="M417" s="92">
        <f t="shared" si="90"/>
        <v>0</v>
      </c>
      <c r="N417" s="92">
        <f t="shared" si="90"/>
        <v>146321.84</v>
      </c>
      <c r="O417" s="92">
        <f t="shared" si="90"/>
        <v>511514.08</v>
      </c>
      <c r="P417" s="92">
        <f t="shared" si="90"/>
        <v>0</v>
      </c>
      <c r="Q417" s="86" t="s">
        <v>40</v>
      </c>
      <c r="R417" s="86" t="s">
        <v>40</v>
      </c>
      <c r="S417" s="266">
        <v>43100</v>
      </c>
    </row>
    <row r="418" spans="1:19" s="1" customFormat="1" ht="31.5">
      <c r="A418" s="87"/>
      <c r="B418" s="224" t="s">
        <v>420</v>
      </c>
      <c r="C418" s="232">
        <v>1967</v>
      </c>
      <c r="D418" s="223"/>
      <c r="E418" s="89" t="s">
        <v>218</v>
      </c>
      <c r="F418" s="97">
        <v>2</v>
      </c>
      <c r="G418" s="97">
        <v>2</v>
      </c>
      <c r="H418" s="107">
        <v>533.5</v>
      </c>
      <c r="I418" s="86">
        <v>525.5</v>
      </c>
      <c r="J418" s="86">
        <v>294.10000000000002</v>
      </c>
      <c r="K418" s="98">
        <v>54</v>
      </c>
      <c r="L418" s="92">
        <v>657835.92000000004</v>
      </c>
      <c r="M418" s="92">
        <v>0</v>
      </c>
      <c r="N418" s="92">
        <v>146321.84</v>
      </c>
      <c r="O418" s="92">
        <v>511514.08</v>
      </c>
      <c r="P418" s="92">
        <v>0</v>
      </c>
      <c r="Q418" s="86">
        <f>L417/I418</f>
        <v>1251.828582302569</v>
      </c>
      <c r="R418" s="93">
        <v>6774</v>
      </c>
      <c r="S418" s="266">
        <v>43100</v>
      </c>
    </row>
    <row r="419" spans="1:19" s="1" customFormat="1" ht="15.75">
      <c r="A419" s="258"/>
      <c r="B419" s="1067" t="s">
        <v>129</v>
      </c>
      <c r="C419" s="1067"/>
      <c r="D419" s="1067"/>
      <c r="E419" s="1067"/>
      <c r="F419" s="1067"/>
      <c r="G419" s="1067"/>
      <c r="H419" s="296">
        <f>SUM(H420:H421)</f>
        <v>1150.0999999999999</v>
      </c>
      <c r="I419" s="296">
        <f t="shared" ref="I419:P419" si="91">SUM(I420:I421)</f>
        <v>1053.5</v>
      </c>
      <c r="J419" s="296">
        <f t="shared" si="91"/>
        <v>1053.5</v>
      </c>
      <c r="K419" s="296">
        <f t="shared" si="91"/>
        <v>58</v>
      </c>
      <c r="L419" s="592">
        <f t="shared" si="91"/>
        <v>1473433</v>
      </c>
      <c r="M419" s="592">
        <f t="shared" si="91"/>
        <v>0</v>
      </c>
      <c r="N419" s="592">
        <f t="shared" si="91"/>
        <v>0</v>
      </c>
      <c r="O419" s="592">
        <f t="shared" si="91"/>
        <v>1473433</v>
      </c>
      <c r="P419" s="592">
        <f t="shared" si="91"/>
        <v>0</v>
      </c>
      <c r="Q419" s="298" t="s">
        <v>40</v>
      </c>
      <c r="R419" s="265" t="s">
        <v>40</v>
      </c>
      <c r="S419" s="266">
        <v>43100</v>
      </c>
    </row>
    <row r="420" spans="1:19" customFormat="1" ht="31.5">
      <c r="A420" s="258">
        <v>82</v>
      </c>
      <c r="B420" s="287" t="s">
        <v>680</v>
      </c>
      <c r="C420" s="260">
        <v>1964</v>
      </c>
      <c r="D420" s="260"/>
      <c r="E420" s="261" t="s">
        <v>218</v>
      </c>
      <c r="F420" s="260">
        <v>2</v>
      </c>
      <c r="G420" s="260">
        <v>2</v>
      </c>
      <c r="H420" s="258">
        <v>571.29999999999995</v>
      </c>
      <c r="I420" s="260">
        <v>522.9</v>
      </c>
      <c r="J420" s="260">
        <v>522.9</v>
      </c>
      <c r="K420" s="260">
        <v>29</v>
      </c>
      <c r="L420" s="264">
        <v>734707</v>
      </c>
      <c r="M420" s="264">
        <v>0</v>
      </c>
      <c r="N420" s="264">
        <v>0</v>
      </c>
      <c r="O420" s="264">
        <v>734707</v>
      </c>
      <c r="P420" s="264">
        <v>0</v>
      </c>
      <c r="Q420" s="265">
        <f>L420/I420</f>
        <v>1405.0621533754065</v>
      </c>
      <c r="R420" s="265">
        <v>7822</v>
      </c>
      <c r="S420" s="266">
        <v>43100</v>
      </c>
    </row>
    <row r="421" spans="1:19" customFormat="1" ht="31.5">
      <c r="A421" s="258">
        <v>83</v>
      </c>
      <c r="B421" s="287" t="s">
        <v>681</v>
      </c>
      <c r="C421" s="260">
        <v>1964</v>
      </c>
      <c r="D421" s="260"/>
      <c r="E421" s="261" t="s">
        <v>218</v>
      </c>
      <c r="F421" s="260">
        <v>2</v>
      </c>
      <c r="G421" s="260">
        <v>2</v>
      </c>
      <c r="H421" s="260">
        <v>578.79999999999995</v>
      </c>
      <c r="I421" s="260">
        <v>530.6</v>
      </c>
      <c r="J421" s="260">
        <v>530.6</v>
      </c>
      <c r="K421" s="260">
        <v>29</v>
      </c>
      <c r="L421" s="264">
        <v>738726</v>
      </c>
      <c r="M421" s="264">
        <v>0</v>
      </c>
      <c r="N421" s="264">
        <v>0</v>
      </c>
      <c r="O421" s="264">
        <v>738726</v>
      </c>
      <c r="P421" s="264">
        <v>0</v>
      </c>
      <c r="Q421" s="265">
        <f>L421/I421</f>
        <v>1392.2465133810779</v>
      </c>
      <c r="R421" s="265">
        <v>7822</v>
      </c>
      <c r="S421" s="266">
        <v>43100</v>
      </c>
    </row>
    <row r="422" spans="1:19" customFormat="1" ht="15.75">
      <c r="A422" s="258"/>
      <c r="B422" s="287"/>
      <c r="C422" s="260"/>
      <c r="D422" s="260"/>
      <c r="E422" s="261"/>
      <c r="F422" s="260"/>
      <c r="G422" s="260"/>
      <c r="H422" s="260"/>
      <c r="I422" s="260"/>
      <c r="J422" s="260"/>
      <c r="K422" s="260"/>
      <c r="L422" s="264"/>
      <c r="M422" s="264"/>
      <c r="N422" s="264"/>
      <c r="O422" s="264"/>
      <c r="P422" s="264"/>
      <c r="Q422" s="265"/>
      <c r="R422" s="265"/>
      <c r="S422" s="266"/>
    </row>
    <row r="423" spans="1:19" customFormat="1" ht="15.75">
      <c r="A423" s="258"/>
      <c r="B423" s="287"/>
      <c r="C423" s="260"/>
      <c r="D423" s="260"/>
      <c r="E423" s="261"/>
      <c r="F423" s="260"/>
      <c r="G423" s="260"/>
      <c r="H423" s="260"/>
      <c r="I423" s="260"/>
      <c r="J423" s="260"/>
      <c r="K423" s="260"/>
      <c r="L423" s="264"/>
      <c r="M423" s="264"/>
      <c r="N423" s="264"/>
      <c r="O423" s="264"/>
      <c r="P423" s="264"/>
      <c r="Q423" s="265"/>
      <c r="R423" s="265"/>
      <c r="S423" s="266"/>
    </row>
    <row r="424" spans="1:19" s="1" customFormat="1" ht="15.75">
      <c r="A424" s="87"/>
      <c r="B424" s="1066" t="s">
        <v>54</v>
      </c>
      <c r="C424" s="1066"/>
      <c r="D424" s="1066"/>
      <c r="E424" s="1066"/>
      <c r="F424" s="1066"/>
      <c r="G424" s="1066"/>
      <c r="H424" s="107">
        <f>H425</f>
        <v>1983</v>
      </c>
      <c r="I424" s="86">
        <f t="shared" ref="I424:P424" si="92">I425</f>
        <v>1780.1</v>
      </c>
      <c r="J424" s="86">
        <f t="shared" si="92"/>
        <v>1780.1</v>
      </c>
      <c r="K424" s="98">
        <f t="shared" si="92"/>
        <v>80</v>
      </c>
      <c r="L424" s="92">
        <f t="shared" si="92"/>
        <v>2222747</v>
      </c>
      <c r="M424" s="92">
        <f t="shared" si="92"/>
        <v>0</v>
      </c>
      <c r="N424" s="92">
        <f t="shared" si="92"/>
        <v>0</v>
      </c>
      <c r="O424" s="92">
        <f t="shared" si="92"/>
        <v>2222747</v>
      </c>
      <c r="P424" s="92">
        <f t="shared" si="92"/>
        <v>0</v>
      </c>
      <c r="Q424" s="86" t="s">
        <v>40</v>
      </c>
      <c r="R424" s="86" t="s">
        <v>40</v>
      </c>
      <c r="S424" s="266">
        <v>43100</v>
      </c>
    </row>
    <row r="425" spans="1:19" s="1" customFormat="1" ht="15.75" customHeight="1">
      <c r="A425" s="87"/>
      <c r="B425" s="1068" t="s">
        <v>112</v>
      </c>
      <c r="C425" s="1068"/>
      <c r="D425" s="1068"/>
      <c r="E425" s="1068"/>
      <c r="F425" s="1068"/>
      <c r="G425" s="1068"/>
      <c r="H425" s="107">
        <f>SUM(H426:H428)</f>
        <v>1983</v>
      </c>
      <c r="I425" s="86">
        <f t="shared" ref="I425:P425" si="93">SUM(I426:I428)</f>
        <v>1780.1</v>
      </c>
      <c r="J425" s="86">
        <f t="shared" si="93"/>
        <v>1780.1</v>
      </c>
      <c r="K425" s="98">
        <f t="shared" si="93"/>
        <v>80</v>
      </c>
      <c r="L425" s="92">
        <f t="shared" si="93"/>
        <v>2222747</v>
      </c>
      <c r="M425" s="92">
        <f t="shared" si="93"/>
        <v>0</v>
      </c>
      <c r="N425" s="92">
        <f t="shared" si="93"/>
        <v>0</v>
      </c>
      <c r="O425" s="92">
        <f t="shared" si="93"/>
        <v>2222747</v>
      </c>
      <c r="P425" s="92">
        <f t="shared" si="93"/>
        <v>0</v>
      </c>
      <c r="Q425" s="86" t="s">
        <v>40</v>
      </c>
      <c r="R425" s="86" t="s">
        <v>40</v>
      </c>
      <c r="S425" s="266">
        <v>43100</v>
      </c>
    </row>
    <row r="426" spans="1:19" s="28" customFormat="1" ht="31.5">
      <c r="A426" s="87"/>
      <c r="B426" s="225" t="s">
        <v>422</v>
      </c>
      <c r="C426" s="87">
        <v>1972</v>
      </c>
      <c r="D426" s="145"/>
      <c r="E426" s="89" t="s">
        <v>218</v>
      </c>
      <c r="F426" s="88">
        <v>2</v>
      </c>
      <c r="G426" s="88">
        <v>2</v>
      </c>
      <c r="H426" s="90">
        <v>778.9</v>
      </c>
      <c r="I426" s="105">
        <v>719.8</v>
      </c>
      <c r="J426" s="105">
        <v>719.8</v>
      </c>
      <c r="K426" s="91">
        <v>27</v>
      </c>
      <c r="L426" s="92">
        <v>1003542</v>
      </c>
      <c r="M426" s="92">
        <v>0</v>
      </c>
      <c r="N426" s="92">
        <v>0</v>
      </c>
      <c r="O426" s="92">
        <f>L426</f>
        <v>1003542</v>
      </c>
      <c r="P426" s="92">
        <v>0</v>
      </c>
      <c r="Q426" s="93">
        <f>L426/I426</f>
        <v>1394.1956098916366</v>
      </c>
      <c r="R426" s="93">
        <v>6774</v>
      </c>
      <c r="S426" s="266">
        <v>43100</v>
      </c>
    </row>
    <row r="427" spans="1:19" s="28" customFormat="1" ht="31.5">
      <c r="A427" s="87"/>
      <c r="B427" s="225" t="s">
        <v>421</v>
      </c>
      <c r="C427" s="148">
        <v>1980</v>
      </c>
      <c r="D427" s="149"/>
      <c r="E427" s="89" t="s">
        <v>218</v>
      </c>
      <c r="F427" s="88">
        <v>3</v>
      </c>
      <c r="G427" s="88">
        <v>2</v>
      </c>
      <c r="H427" s="90">
        <v>928.6</v>
      </c>
      <c r="I427" s="105">
        <v>843.2</v>
      </c>
      <c r="J427" s="105">
        <v>843.2</v>
      </c>
      <c r="K427" s="91">
        <v>39</v>
      </c>
      <c r="L427" s="92">
        <v>740146</v>
      </c>
      <c r="M427" s="92">
        <v>0</v>
      </c>
      <c r="N427" s="92">
        <v>0</v>
      </c>
      <c r="O427" s="92">
        <f>L427</f>
        <v>740146</v>
      </c>
      <c r="P427" s="92">
        <v>0</v>
      </c>
      <c r="Q427" s="93">
        <f>L427/I427</f>
        <v>877.7822580645161</v>
      </c>
      <c r="R427" s="93">
        <v>6774</v>
      </c>
      <c r="S427" s="266">
        <v>43100</v>
      </c>
    </row>
    <row r="428" spans="1:19" s="28" customFormat="1" ht="15.75">
      <c r="A428" s="87"/>
      <c r="B428" s="225" t="s">
        <v>423</v>
      </c>
      <c r="C428" s="88">
        <v>1965</v>
      </c>
      <c r="D428" s="145"/>
      <c r="E428" s="89" t="s">
        <v>221</v>
      </c>
      <c r="F428" s="88">
        <v>2</v>
      </c>
      <c r="G428" s="88">
        <v>2</v>
      </c>
      <c r="H428" s="90">
        <v>275.5</v>
      </c>
      <c r="I428" s="105">
        <v>217.1</v>
      </c>
      <c r="J428" s="105">
        <v>217.1</v>
      </c>
      <c r="K428" s="91">
        <v>14</v>
      </c>
      <c r="L428" s="92">
        <v>479059</v>
      </c>
      <c r="M428" s="92">
        <v>0</v>
      </c>
      <c r="N428" s="92">
        <v>0</v>
      </c>
      <c r="O428" s="92">
        <f>L428</f>
        <v>479059</v>
      </c>
      <c r="P428" s="92">
        <v>0</v>
      </c>
      <c r="Q428" s="93">
        <f>L428/I428</f>
        <v>2206.6282818977429</v>
      </c>
      <c r="R428" s="93">
        <v>6774</v>
      </c>
      <c r="S428" s="266">
        <v>43100</v>
      </c>
    </row>
    <row r="429" spans="1:19" s="1" customFormat="1" ht="15.75">
      <c r="A429" s="87"/>
      <c r="B429" s="1066" t="s">
        <v>55</v>
      </c>
      <c r="C429" s="1066"/>
      <c r="D429" s="1066"/>
      <c r="E429" s="1066"/>
      <c r="F429" s="1066"/>
      <c r="G429" s="1066"/>
      <c r="H429" s="107">
        <f>H430</f>
        <v>912.1</v>
      </c>
      <c r="I429" s="86">
        <f t="shared" ref="I429:R429" si="94">I430</f>
        <v>794.9</v>
      </c>
      <c r="J429" s="86">
        <f t="shared" si="94"/>
        <v>679.2</v>
      </c>
      <c r="K429" s="98">
        <f t="shared" si="94"/>
        <v>39</v>
      </c>
      <c r="L429" s="92">
        <f t="shared" si="94"/>
        <v>2809430</v>
      </c>
      <c r="M429" s="92">
        <f t="shared" si="94"/>
        <v>0</v>
      </c>
      <c r="N429" s="92">
        <f t="shared" si="94"/>
        <v>0</v>
      </c>
      <c r="O429" s="92">
        <f t="shared" si="94"/>
        <v>2809430</v>
      </c>
      <c r="P429" s="92">
        <f t="shared" si="94"/>
        <v>0</v>
      </c>
      <c r="Q429" s="86" t="str">
        <f t="shared" si="94"/>
        <v>Х</v>
      </c>
      <c r="R429" s="86" t="str">
        <f t="shared" si="94"/>
        <v>Х</v>
      </c>
      <c r="S429" s="266">
        <v>43100</v>
      </c>
    </row>
    <row r="430" spans="1:19" s="1" customFormat="1" ht="15.75">
      <c r="A430" s="87"/>
      <c r="B430" s="1066" t="s">
        <v>122</v>
      </c>
      <c r="C430" s="1066"/>
      <c r="D430" s="1066"/>
      <c r="E430" s="1066"/>
      <c r="F430" s="1066"/>
      <c r="G430" s="1066"/>
      <c r="H430" s="107">
        <f>SUM(H431:H432)</f>
        <v>912.1</v>
      </c>
      <c r="I430" s="107">
        <f t="shared" ref="I430:P430" si="95">SUM(I431:I432)</f>
        <v>794.9</v>
      </c>
      <c r="J430" s="107">
        <f t="shared" si="95"/>
        <v>679.2</v>
      </c>
      <c r="K430" s="107">
        <f t="shared" si="95"/>
        <v>39</v>
      </c>
      <c r="L430" s="313">
        <f t="shared" si="95"/>
        <v>2809430</v>
      </c>
      <c r="M430" s="313">
        <f t="shared" si="95"/>
        <v>0</v>
      </c>
      <c r="N430" s="313">
        <f t="shared" si="95"/>
        <v>0</v>
      </c>
      <c r="O430" s="313">
        <f t="shared" si="95"/>
        <v>2809430</v>
      </c>
      <c r="P430" s="313">
        <f t="shared" si="95"/>
        <v>0</v>
      </c>
      <c r="Q430" s="86" t="s">
        <v>40</v>
      </c>
      <c r="R430" s="93" t="s">
        <v>40</v>
      </c>
      <c r="S430" s="266">
        <v>43100</v>
      </c>
    </row>
    <row r="431" spans="1:19" s="1" customFormat="1" ht="31.5">
      <c r="A431" s="258">
        <v>84</v>
      </c>
      <c r="B431" s="287" t="s">
        <v>598</v>
      </c>
      <c r="C431" s="486" t="s">
        <v>600</v>
      </c>
      <c r="D431" s="260"/>
      <c r="E431" s="261" t="s">
        <v>218</v>
      </c>
      <c r="F431" s="260">
        <v>2</v>
      </c>
      <c r="G431" s="260">
        <v>2</v>
      </c>
      <c r="H431" s="262">
        <v>542.5</v>
      </c>
      <c r="I431" s="265">
        <v>490.5</v>
      </c>
      <c r="J431" s="265">
        <v>460.2</v>
      </c>
      <c r="K431" s="263">
        <v>16</v>
      </c>
      <c r="L431" s="264">
        <v>1550741</v>
      </c>
      <c r="M431" s="264">
        <v>0</v>
      </c>
      <c r="N431" s="264">
        <v>0</v>
      </c>
      <c r="O431" s="264">
        <v>1550741</v>
      </c>
      <c r="P431" s="264">
        <v>0</v>
      </c>
      <c r="Q431" s="265">
        <f>L431/I431</f>
        <v>3161.5514780835883</v>
      </c>
      <c r="R431" s="265">
        <v>7822</v>
      </c>
      <c r="S431" s="266">
        <v>43100</v>
      </c>
    </row>
    <row r="432" spans="1:19" s="1" customFormat="1" ht="31.5">
      <c r="A432" s="258">
        <v>85</v>
      </c>
      <c r="B432" s="287" t="s">
        <v>599</v>
      </c>
      <c r="C432" s="486" t="s">
        <v>601</v>
      </c>
      <c r="D432" s="260"/>
      <c r="E432" s="261" t="s">
        <v>218</v>
      </c>
      <c r="F432" s="260">
        <v>2</v>
      </c>
      <c r="G432" s="260">
        <v>1</v>
      </c>
      <c r="H432" s="262">
        <v>369.6</v>
      </c>
      <c r="I432" s="265">
        <v>304.39999999999998</v>
      </c>
      <c r="J432" s="265">
        <v>219</v>
      </c>
      <c r="K432" s="263">
        <v>23</v>
      </c>
      <c r="L432" s="264">
        <v>1258689</v>
      </c>
      <c r="M432" s="264">
        <v>0</v>
      </c>
      <c r="N432" s="264">
        <v>0</v>
      </c>
      <c r="O432" s="264">
        <f>L432</f>
        <v>1258689</v>
      </c>
      <c r="P432" s="264">
        <v>0</v>
      </c>
      <c r="Q432" s="265">
        <f>L432/I432</f>
        <v>4134.9835742444156</v>
      </c>
      <c r="R432" s="265">
        <v>7822</v>
      </c>
      <c r="S432" s="266">
        <v>43100</v>
      </c>
    </row>
    <row r="433" spans="1:19" s="1" customFormat="1" ht="15.75">
      <c r="A433" s="258"/>
      <c r="B433" s="287"/>
      <c r="C433" s="486"/>
      <c r="D433" s="260"/>
      <c r="E433" s="261"/>
      <c r="F433" s="260"/>
      <c r="G433" s="260"/>
      <c r="H433" s="262"/>
      <c r="I433" s="265"/>
      <c r="J433" s="265"/>
      <c r="K433" s="263"/>
      <c r="L433" s="264"/>
      <c r="M433" s="264"/>
      <c r="N433" s="264"/>
      <c r="O433" s="264"/>
      <c r="P433" s="264"/>
      <c r="Q433" s="265"/>
      <c r="R433" s="265"/>
      <c r="S433" s="266"/>
    </row>
    <row r="434" spans="1:19" s="1" customFormat="1" ht="15.75">
      <c r="A434" s="87"/>
      <c r="B434" s="1066" t="s">
        <v>56</v>
      </c>
      <c r="C434" s="1066"/>
      <c r="D434" s="1066"/>
      <c r="E434" s="1066"/>
      <c r="F434" s="1066"/>
      <c r="G434" s="1066"/>
      <c r="H434" s="107">
        <f t="shared" ref="H434:P434" si="96">H441+H435+H443</f>
        <v>10396</v>
      </c>
      <c r="I434" s="86">
        <f t="shared" si="96"/>
        <v>8219.3000000000011</v>
      </c>
      <c r="J434" s="86">
        <f t="shared" si="96"/>
        <v>7766.0999999999995</v>
      </c>
      <c r="K434" s="98">
        <f t="shared" si="96"/>
        <v>320</v>
      </c>
      <c r="L434" s="92">
        <f t="shared" si="96"/>
        <v>10789271</v>
      </c>
      <c r="M434" s="92">
        <f t="shared" si="96"/>
        <v>0</v>
      </c>
      <c r="N434" s="92">
        <f t="shared" si="96"/>
        <v>0</v>
      </c>
      <c r="O434" s="92">
        <f t="shared" si="96"/>
        <v>10533352</v>
      </c>
      <c r="P434" s="92">
        <f t="shared" si="96"/>
        <v>255919</v>
      </c>
      <c r="Q434" s="86" t="str">
        <f>Q435</f>
        <v>Х</v>
      </c>
      <c r="R434" s="86" t="str">
        <f>R435</f>
        <v>Х</v>
      </c>
      <c r="S434" s="266">
        <v>43100</v>
      </c>
    </row>
    <row r="435" spans="1:19" s="14" customFormat="1" ht="19.149999999999999" customHeight="1">
      <c r="A435" s="258"/>
      <c r="B435" s="1081" t="s">
        <v>424</v>
      </c>
      <c r="C435" s="1081"/>
      <c r="D435" s="1081"/>
      <c r="E435" s="1081"/>
      <c r="F435" s="1082"/>
      <c r="G435" s="1082"/>
      <c r="H435" s="646">
        <f t="shared" ref="H435:P435" si="97">SUM(H436:H440)</f>
        <v>4140.7</v>
      </c>
      <c r="I435" s="646">
        <f t="shared" si="97"/>
        <v>3087.8</v>
      </c>
      <c r="J435" s="646">
        <f t="shared" si="97"/>
        <v>2634.6</v>
      </c>
      <c r="K435" s="646">
        <f t="shared" si="97"/>
        <v>125</v>
      </c>
      <c r="L435" s="647">
        <f t="shared" si="97"/>
        <v>6762929</v>
      </c>
      <c r="M435" s="647">
        <f t="shared" si="97"/>
        <v>0</v>
      </c>
      <c r="N435" s="647">
        <f t="shared" si="97"/>
        <v>0</v>
      </c>
      <c r="O435" s="647">
        <f t="shared" si="97"/>
        <v>6762929</v>
      </c>
      <c r="P435" s="647">
        <f t="shared" si="97"/>
        <v>0</v>
      </c>
      <c r="Q435" s="648" t="s">
        <v>40</v>
      </c>
      <c r="R435" s="649" t="s">
        <v>40</v>
      </c>
      <c r="S435" s="266">
        <v>43100</v>
      </c>
    </row>
    <row r="436" spans="1:19" s="33" customFormat="1" ht="31.5">
      <c r="A436" s="258">
        <v>86</v>
      </c>
      <c r="B436" s="533" t="s">
        <v>703</v>
      </c>
      <c r="C436" s="258">
        <v>1918</v>
      </c>
      <c r="D436" s="258"/>
      <c r="E436" s="607" t="s">
        <v>218</v>
      </c>
      <c r="F436" s="258">
        <v>2</v>
      </c>
      <c r="G436" s="258">
        <v>1</v>
      </c>
      <c r="H436" s="532">
        <v>386.4</v>
      </c>
      <c r="I436" s="532">
        <v>279.39999999999998</v>
      </c>
      <c r="J436" s="532">
        <v>219</v>
      </c>
      <c r="K436" s="258">
        <v>9</v>
      </c>
      <c r="L436" s="650">
        <v>749745</v>
      </c>
      <c r="M436" s="650">
        <v>0</v>
      </c>
      <c r="N436" s="650">
        <v>0</v>
      </c>
      <c r="O436" s="650">
        <v>749745</v>
      </c>
      <c r="P436" s="650">
        <v>0</v>
      </c>
      <c r="Q436" s="650">
        <f>L436/I436</f>
        <v>2683.4108804581247</v>
      </c>
      <c r="R436" s="531">
        <v>7822</v>
      </c>
      <c r="S436" s="535">
        <v>43100</v>
      </c>
    </row>
    <row r="437" spans="1:19" s="33" customFormat="1" ht="31.5">
      <c r="A437" s="258">
        <v>87</v>
      </c>
      <c r="B437" s="651" t="s">
        <v>704</v>
      </c>
      <c r="C437" s="258">
        <v>1963</v>
      </c>
      <c r="D437" s="258"/>
      <c r="E437" s="607" t="s">
        <v>218</v>
      </c>
      <c r="F437" s="258">
        <v>3</v>
      </c>
      <c r="G437" s="258">
        <v>3</v>
      </c>
      <c r="H437" s="532">
        <v>2235.5</v>
      </c>
      <c r="I437" s="532">
        <v>1556</v>
      </c>
      <c r="J437" s="532">
        <v>1556</v>
      </c>
      <c r="K437" s="258">
        <v>50</v>
      </c>
      <c r="L437" s="650">
        <v>2218282</v>
      </c>
      <c r="M437" s="650">
        <v>0</v>
      </c>
      <c r="N437" s="650">
        <v>0</v>
      </c>
      <c r="O437" s="650">
        <v>2218282</v>
      </c>
      <c r="P437" s="650">
        <v>0</v>
      </c>
      <c r="Q437" s="650">
        <f>L437/I437</f>
        <v>1425.6311053984575</v>
      </c>
      <c r="R437" s="531">
        <v>7822</v>
      </c>
      <c r="S437" s="535">
        <v>43100</v>
      </c>
    </row>
    <row r="438" spans="1:19" s="33" customFormat="1" ht="36" customHeight="1">
      <c r="A438" s="258">
        <v>88</v>
      </c>
      <c r="B438" s="533" t="s">
        <v>705</v>
      </c>
      <c r="C438" s="258">
        <v>1962</v>
      </c>
      <c r="D438" s="258"/>
      <c r="E438" s="607" t="s">
        <v>218</v>
      </c>
      <c r="F438" s="258">
        <v>2</v>
      </c>
      <c r="G438" s="258">
        <v>2</v>
      </c>
      <c r="H438" s="532">
        <v>522.5</v>
      </c>
      <c r="I438" s="532">
        <v>458.9</v>
      </c>
      <c r="J438" s="532">
        <v>381</v>
      </c>
      <c r="K438" s="258">
        <v>21</v>
      </c>
      <c r="L438" s="650">
        <v>1808957</v>
      </c>
      <c r="M438" s="650">
        <v>0</v>
      </c>
      <c r="N438" s="650">
        <v>0</v>
      </c>
      <c r="O438" s="650">
        <v>1808957</v>
      </c>
      <c r="P438" s="650">
        <v>0</v>
      </c>
      <c r="Q438" s="650">
        <f>L438/I438</f>
        <v>3941.9415994770106</v>
      </c>
      <c r="R438" s="531">
        <v>7822</v>
      </c>
      <c r="S438" s="535">
        <v>43100</v>
      </c>
    </row>
    <row r="439" spans="1:19" s="33" customFormat="1" ht="15.75">
      <c r="A439" s="258">
        <v>89</v>
      </c>
      <c r="B439" s="533" t="s">
        <v>706</v>
      </c>
      <c r="C439" s="258">
        <v>1891</v>
      </c>
      <c r="D439" s="258"/>
      <c r="E439" s="607" t="s">
        <v>221</v>
      </c>
      <c r="F439" s="258">
        <v>2</v>
      </c>
      <c r="G439" s="258">
        <v>3</v>
      </c>
      <c r="H439" s="532">
        <v>571.9</v>
      </c>
      <c r="I439" s="532">
        <v>403.1</v>
      </c>
      <c r="J439" s="532">
        <v>208.6</v>
      </c>
      <c r="K439" s="258">
        <v>20</v>
      </c>
      <c r="L439" s="650">
        <v>275807</v>
      </c>
      <c r="M439" s="650">
        <v>0</v>
      </c>
      <c r="N439" s="650">
        <v>0</v>
      </c>
      <c r="O439" s="650">
        <v>275807</v>
      </c>
      <c r="P439" s="650">
        <v>0</v>
      </c>
      <c r="Q439" s="650">
        <f>L439/I439</f>
        <v>684.21483502852891</v>
      </c>
      <c r="R439" s="531">
        <v>7822</v>
      </c>
      <c r="S439" s="535">
        <v>43100</v>
      </c>
    </row>
    <row r="440" spans="1:19" s="33" customFormat="1" ht="31.5">
      <c r="A440" s="258">
        <v>91</v>
      </c>
      <c r="B440" s="530" t="s">
        <v>707</v>
      </c>
      <c r="C440" s="258">
        <v>1956</v>
      </c>
      <c r="D440" s="258"/>
      <c r="E440" s="607" t="s">
        <v>218</v>
      </c>
      <c r="F440" s="258">
        <v>2</v>
      </c>
      <c r="G440" s="258">
        <v>1</v>
      </c>
      <c r="H440" s="532">
        <v>424.4</v>
      </c>
      <c r="I440" s="532">
        <v>390.4</v>
      </c>
      <c r="J440" s="532">
        <v>270</v>
      </c>
      <c r="K440" s="258">
        <v>25</v>
      </c>
      <c r="L440" s="650">
        <v>1710138</v>
      </c>
      <c r="M440" s="650">
        <v>0</v>
      </c>
      <c r="N440" s="650">
        <v>0</v>
      </c>
      <c r="O440" s="650">
        <v>1710138</v>
      </c>
      <c r="P440" s="650">
        <v>0</v>
      </c>
      <c r="Q440" s="650">
        <f>L440/I440</f>
        <v>4380.4764344262294</v>
      </c>
      <c r="R440" s="531">
        <v>7822</v>
      </c>
      <c r="S440" s="535">
        <v>43100</v>
      </c>
    </row>
    <row r="441" spans="1:19" s="1" customFormat="1" ht="15.75" customHeight="1">
      <c r="A441" s="87"/>
      <c r="B441" s="1068" t="s">
        <v>121</v>
      </c>
      <c r="C441" s="1068"/>
      <c r="D441" s="1068"/>
      <c r="E441" s="1068"/>
      <c r="F441" s="1068"/>
      <c r="G441" s="1068"/>
      <c r="H441" s="107">
        <f>H442</f>
        <v>4874.1000000000004</v>
      </c>
      <c r="I441" s="86">
        <f t="shared" ref="I441:P441" si="98">I442</f>
        <v>3750.3</v>
      </c>
      <c r="J441" s="86">
        <f t="shared" si="98"/>
        <v>3750.3</v>
      </c>
      <c r="K441" s="98">
        <f t="shared" si="98"/>
        <v>127</v>
      </c>
      <c r="L441" s="92">
        <f t="shared" si="98"/>
        <v>2515554</v>
      </c>
      <c r="M441" s="92">
        <f t="shared" si="98"/>
        <v>0</v>
      </c>
      <c r="N441" s="92">
        <f t="shared" si="98"/>
        <v>0</v>
      </c>
      <c r="O441" s="92">
        <f t="shared" si="98"/>
        <v>2515554</v>
      </c>
      <c r="P441" s="92">
        <f t="shared" si="98"/>
        <v>0</v>
      </c>
      <c r="Q441" s="86" t="s">
        <v>40</v>
      </c>
      <c r="R441" s="86" t="s">
        <v>40</v>
      </c>
      <c r="S441" s="266">
        <v>43100</v>
      </c>
    </row>
    <row r="442" spans="1:19" s="1" customFormat="1" ht="36.6" customHeight="1">
      <c r="A442" s="87"/>
      <c r="B442" s="224" t="s">
        <v>989</v>
      </c>
      <c r="C442" s="232">
        <v>1981</v>
      </c>
      <c r="D442" s="97"/>
      <c r="E442" s="89" t="s">
        <v>219</v>
      </c>
      <c r="F442" s="97">
        <v>5</v>
      </c>
      <c r="G442" s="97">
        <v>5</v>
      </c>
      <c r="H442" s="107">
        <v>4874.1000000000004</v>
      </c>
      <c r="I442" s="86">
        <v>3750.3</v>
      </c>
      <c r="J442" s="86">
        <v>3750.3</v>
      </c>
      <c r="K442" s="98">
        <v>127</v>
      </c>
      <c r="L442" s="92">
        <v>2515554</v>
      </c>
      <c r="M442" s="92">
        <v>0</v>
      </c>
      <c r="N442" s="92">
        <v>0</v>
      </c>
      <c r="O442" s="92">
        <f>L442</f>
        <v>2515554</v>
      </c>
      <c r="P442" s="92">
        <v>0</v>
      </c>
      <c r="Q442" s="86">
        <f>L442/I442</f>
        <v>670.76073914086874</v>
      </c>
      <c r="R442" s="93">
        <v>7822</v>
      </c>
      <c r="S442" s="266">
        <v>43100</v>
      </c>
    </row>
    <row r="443" spans="1:19" s="1" customFormat="1" ht="15.75" customHeight="1">
      <c r="A443" s="87"/>
      <c r="B443" s="1068" t="s">
        <v>807</v>
      </c>
      <c r="C443" s="1068"/>
      <c r="D443" s="1068"/>
      <c r="E443" s="1068"/>
      <c r="F443" s="1068"/>
      <c r="G443" s="1068"/>
      <c r="H443" s="107">
        <f>H444</f>
        <v>1381.2</v>
      </c>
      <c r="I443" s="86">
        <f t="shared" ref="I443:P443" si="99">I444</f>
        <v>1381.2</v>
      </c>
      <c r="J443" s="86">
        <f t="shared" si="99"/>
        <v>1381.2</v>
      </c>
      <c r="K443" s="98">
        <f t="shared" si="99"/>
        <v>68</v>
      </c>
      <c r="L443" s="92">
        <f t="shared" si="99"/>
        <v>1510788</v>
      </c>
      <c r="M443" s="92">
        <f t="shared" si="99"/>
        <v>0</v>
      </c>
      <c r="N443" s="92">
        <f t="shared" si="99"/>
        <v>0</v>
      </c>
      <c r="O443" s="92">
        <f t="shared" si="99"/>
        <v>1254869</v>
      </c>
      <c r="P443" s="92">
        <f t="shared" si="99"/>
        <v>255919</v>
      </c>
      <c r="Q443" s="86" t="s">
        <v>40</v>
      </c>
      <c r="R443" s="86" t="s">
        <v>40</v>
      </c>
      <c r="S443" s="266">
        <v>43100</v>
      </c>
    </row>
    <row r="444" spans="1:19" s="1" customFormat="1" ht="15.75">
      <c r="A444" s="87"/>
      <c r="B444" s="224" t="s">
        <v>808</v>
      </c>
      <c r="C444" s="232">
        <v>1979</v>
      </c>
      <c r="D444" s="97"/>
      <c r="E444" s="89" t="s">
        <v>219</v>
      </c>
      <c r="F444" s="97">
        <v>3</v>
      </c>
      <c r="G444" s="97">
        <v>3</v>
      </c>
      <c r="H444" s="107">
        <v>1381.2</v>
      </c>
      <c r="I444" s="86">
        <v>1381.2</v>
      </c>
      <c r="J444" s="86">
        <v>1381.2</v>
      </c>
      <c r="K444" s="98">
        <v>68</v>
      </c>
      <c r="L444" s="92">
        <v>1510788</v>
      </c>
      <c r="M444" s="92">
        <v>0</v>
      </c>
      <c r="N444" s="92">
        <v>0</v>
      </c>
      <c r="O444" s="92">
        <v>1254869</v>
      </c>
      <c r="P444" s="92">
        <v>255919</v>
      </c>
      <c r="Q444" s="86">
        <f>L444/I444</f>
        <v>1093.8227628149434</v>
      </c>
      <c r="R444" s="93">
        <v>7822</v>
      </c>
      <c r="S444" s="266">
        <v>43100</v>
      </c>
    </row>
    <row r="445" spans="1:19" s="1" customFormat="1" ht="15.75">
      <c r="A445" s="87"/>
      <c r="B445" s="1066" t="s">
        <v>57</v>
      </c>
      <c r="C445" s="1066"/>
      <c r="D445" s="1066"/>
      <c r="E445" s="1066"/>
      <c r="F445" s="1066"/>
      <c r="G445" s="1066"/>
      <c r="H445" s="107">
        <f>H446</f>
        <v>8010.4</v>
      </c>
      <c r="I445" s="107">
        <f t="shared" ref="I445:P445" si="100">I446</f>
        <v>7196.9</v>
      </c>
      <c r="J445" s="107">
        <f t="shared" si="100"/>
        <v>7104.4</v>
      </c>
      <c r="K445" s="98">
        <f t="shared" si="100"/>
        <v>199</v>
      </c>
      <c r="L445" s="92">
        <f t="shared" si="100"/>
        <v>2579247</v>
      </c>
      <c r="M445" s="92">
        <f t="shared" si="100"/>
        <v>0</v>
      </c>
      <c r="N445" s="92">
        <f t="shared" si="100"/>
        <v>0</v>
      </c>
      <c r="O445" s="92">
        <f t="shared" si="100"/>
        <v>2579247</v>
      </c>
      <c r="P445" s="92">
        <f t="shared" si="100"/>
        <v>0</v>
      </c>
      <c r="Q445" s="86" t="s">
        <v>40</v>
      </c>
      <c r="R445" s="93" t="s">
        <v>40</v>
      </c>
      <c r="S445" s="266">
        <v>43100</v>
      </c>
    </row>
    <row r="446" spans="1:19" s="1" customFormat="1" ht="15.75" customHeight="1">
      <c r="A446" s="87"/>
      <c r="B446" s="1068" t="s">
        <v>119</v>
      </c>
      <c r="C446" s="1068"/>
      <c r="D446" s="1068"/>
      <c r="E446" s="1068"/>
      <c r="F446" s="1068"/>
      <c r="G446" s="1068"/>
      <c r="H446" s="107">
        <f t="shared" ref="H446:P446" si="101">H447+H448</f>
        <v>8010.4</v>
      </c>
      <c r="I446" s="107">
        <f t="shared" si="101"/>
        <v>7196.9</v>
      </c>
      <c r="J446" s="107">
        <f t="shared" si="101"/>
        <v>7104.4</v>
      </c>
      <c r="K446" s="98">
        <f t="shared" si="101"/>
        <v>199</v>
      </c>
      <c r="L446" s="92">
        <f t="shared" si="101"/>
        <v>2579247</v>
      </c>
      <c r="M446" s="92">
        <f t="shared" si="101"/>
        <v>0</v>
      </c>
      <c r="N446" s="92">
        <f t="shared" si="101"/>
        <v>0</v>
      </c>
      <c r="O446" s="92">
        <f t="shared" si="101"/>
        <v>2579247</v>
      </c>
      <c r="P446" s="92">
        <f t="shared" si="101"/>
        <v>0</v>
      </c>
      <c r="Q446" s="86" t="s">
        <v>40</v>
      </c>
      <c r="R446" s="86" t="s">
        <v>40</v>
      </c>
      <c r="S446" s="266">
        <v>43100</v>
      </c>
    </row>
    <row r="447" spans="1:19" s="1" customFormat="1" ht="15.75">
      <c r="A447" s="87"/>
      <c r="B447" s="224" t="s">
        <v>980</v>
      </c>
      <c r="C447" s="232">
        <v>1985</v>
      </c>
      <c r="D447" s="97"/>
      <c r="E447" s="89" t="s">
        <v>219</v>
      </c>
      <c r="F447" s="97">
        <v>5</v>
      </c>
      <c r="G447" s="97">
        <v>8</v>
      </c>
      <c r="H447" s="107">
        <v>6272.4</v>
      </c>
      <c r="I447" s="107">
        <v>5594.8</v>
      </c>
      <c r="J447" s="107">
        <v>5502.3</v>
      </c>
      <c r="K447" s="98">
        <v>157</v>
      </c>
      <c r="L447" s="92">
        <v>1384480</v>
      </c>
      <c r="M447" s="92">
        <v>0</v>
      </c>
      <c r="N447" s="92">
        <v>0</v>
      </c>
      <c r="O447" s="92">
        <f>L447</f>
        <v>1384480</v>
      </c>
      <c r="P447" s="92">
        <v>0</v>
      </c>
      <c r="Q447" s="86">
        <f>L447/I447</f>
        <v>247.45835418602988</v>
      </c>
      <c r="R447" s="93">
        <v>7822</v>
      </c>
      <c r="S447" s="266">
        <v>43100</v>
      </c>
    </row>
    <row r="448" spans="1:19" s="18" customFormat="1" ht="31.5">
      <c r="A448" s="87"/>
      <c r="B448" s="227" t="s">
        <v>981</v>
      </c>
      <c r="C448" s="232">
        <v>1988</v>
      </c>
      <c r="D448" s="97"/>
      <c r="E448" s="89" t="s">
        <v>218</v>
      </c>
      <c r="F448" s="97">
        <v>3</v>
      </c>
      <c r="G448" s="97">
        <v>3</v>
      </c>
      <c r="H448" s="107">
        <v>1738</v>
      </c>
      <c r="I448" s="107">
        <v>1602.1</v>
      </c>
      <c r="J448" s="107">
        <v>1602.1</v>
      </c>
      <c r="K448" s="98">
        <v>42</v>
      </c>
      <c r="L448" s="92">
        <v>1194767</v>
      </c>
      <c r="M448" s="92">
        <v>0</v>
      </c>
      <c r="N448" s="92">
        <v>0</v>
      </c>
      <c r="O448" s="92">
        <f>L448</f>
        <v>1194767</v>
      </c>
      <c r="P448" s="92">
        <v>0</v>
      </c>
      <c r="Q448" s="86">
        <f>L448/I448</f>
        <v>745.75057736720555</v>
      </c>
      <c r="R448" s="93">
        <v>7822</v>
      </c>
      <c r="S448" s="266">
        <v>43100</v>
      </c>
    </row>
    <row r="449" spans="1:19" s="1" customFormat="1" ht="15.75">
      <c r="A449" s="87"/>
      <c r="B449" s="1066" t="s">
        <v>58</v>
      </c>
      <c r="C449" s="1066"/>
      <c r="D449" s="1066"/>
      <c r="E449" s="1066"/>
      <c r="F449" s="1066"/>
      <c r="G449" s="1066"/>
      <c r="H449" s="107">
        <f>H450</f>
        <v>15250.300000000001</v>
      </c>
      <c r="I449" s="107">
        <f t="shared" ref="I449:P449" si="102">I450</f>
        <v>13418.4</v>
      </c>
      <c r="J449" s="107">
        <f t="shared" si="102"/>
        <v>12151.1</v>
      </c>
      <c r="K449" s="98">
        <f t="shared" si="102"/>
        <v>490</v>
      </c>
      <c r="L449" s="92">
        <f t="shared" si="102"/>
        <v>12013200</v>
      </c>
      <c r="M449" s="92">
        <f t="shared" si="102"/>
        <v>0</v>
      </c>
      <c r="N449" s="92">
        <f t="shared" si="102"/>
        <v>0</v>
      </c>
      <c r="O449" s="92">
        <f t="shared" si="102"/>
        <v>12013200</v>
      </c>
      <c r="P449" s="92">
        <f t="shared" si="102"/>
        <v>0</v>
      </c>
      <c r="Q449" s="86" t="s">
        <v>40</v>
      </c>
      <c r="R449" s="86" t="s">
        <v>40</v>
      </c>
      <c r="S449" s="266">
        <v>43100</v>
      </c>
    </row>
    <row r="450" spans="1:19" s="1" customFormat="1" ht="15.75" customHeight="1">
      <c r="A450" s="87"/>
      <c r="B450" s="1068" t="s">
        <v>87</v>
      </c>
      <c r="C450" s="1068"/>
      <c r="D450" s="1068"/>
      <c r="E450" s="1068"/>
      <c r="F450" s="1068"/>
      <c r="G450" s="1068"/>
      <c r="H450" s="107">
        <f>SUM(H451:H459)</f>
        <v>15250.300000000001</v>
      </c>
      <c r="I450" s="86">
        <f t="shared" ref="I450:N450" si="103">SUM(I451:I459)</f>
        <v>13418.4</v>
      </c>
      <c r="J450" s="86">
        <f t="shared" si="103"/>
        <v>12151.1</v>
      </c>
      <c r="K450" s="98">
        <f t="shared" si="103"/>
        <v>490</v>
      </c>
      <c r="L450" s="92">
        <f t="shared" si="103"/>
        <v>12013200</v>
      </c>
      <c r="M450" s="92">
        <f t="shared" si="103"/>
        <v>0</v>
      </c>
      <c r="N450" s="92">
        <f t="shared" si="103"/>
        <v>0</v>
      </c>
      <c r="O450" s="92">
        <f>SUM(O451:O459)</f>
        <v>12013200</v>
      </c>
      <c r="P450" s="92">
        <v>0</v>
      </c>
      <c r="Q450" s="86" t="s">
        <v>40</v>
      </c>
      <c r="R450" s="86" t="s">
        <v>40</v>
      </c>
      <c r="S450" s="266">
        <v>43100</v>
      </c>
    </row>
    <row r="451" spans="1:19" s="24" customFormat="1" ht="31.5">
      <c r="A451" s="87"/>
      <c r="B451" s="227" t="s">
        <v>425</v>
      </c>
      <c r="C451" s="87">
        <v>1962</v>
      </c>
      <c r="D451" s="79"/>
      <c r="E451" s="89" t="s">
        <v>218</v>
      </c>
      <c r="F451" s="79">
        <v>5</v>
      </c>
      <c r="G451" s="79">
        <v>4</v>
      </c>
      <c r="H451" s="150">
        <v>3382</v>
      </c>
      <c r="I451" s="94">
        <v>3164.5</v>
      </c>
      <c r="J451" s="94">
        <v>2546.4</v>
      </c>
      <c r="K451" s="128">
        <v>88</v>
      </c>
      <c r="L451" s="92">
        <f t="shared" ref="L451:L459" si="104">O451</f>
        <v>2239107</v>
      </c>
      <c r="M451" s="92">
        <v>0</v>
      </c>
      <c r="N451" s="92">
        <v>0</v>
      </c>
      <c r="O451" s="92">
        <v>2239107</v>
      </c>
      <c r="P451" s="92">
        <v>0</v>
      </c>
      <c r="Q451" s="80">
        <f t="shared" ref="Q451:Q459" si="105">L451/I451</f>
        <v>707.57054826986882</v>
      </c>
      <c r="R451" s="93">
        <v>6774</v>
      </c>
      <c r="S451" s="266">
        <v>43100</v>
      </c>
    </row>
    <row r="452" spans="1:19" s="24" customFormat="1" ht="15.75">
      <c r="A452" s="87"/>
      <c r="B452" s="227" t="s">
        <v>79</v>
      </c>
      <c r="C452" s="79">
        <v>1949</v>
      </c>
      <c r="D452" s="79"/>
      <c r="E452" s="89" t="s">
        <v>222</v>
      </c>
      <c r="F452" s="79">
        <v>2</v>
      </c>
      <c r="G452" s="79">
        <v>2</v>
      </c>
      <c r="H452" s="150">
        <v>448.3</v>
      </c>
      <c r="I452" s="80">
        <v>402.5</v>
      </c>
      <c r="J452" s="80">
        <v>346.7</v>
      </c>
      <c r="K452" s="81">
        <v>16</v>
      </c>
      <c r="L452" s="92">
        <f t="shared" si="104"/>
        <v>706234</v>
      </c>
      <c r="M452" s="92">
        <v>0</v>
      </c>
      <c r="N452" s="92">
        <v>0</v>
      </c>
      <c r="O452" s="92">
        <v>706234</v>
      </c>
      <c r="P452" s="92">
        <v>0</v>
      </c>
      <c r="Q452" s="80">
        <f t="shared" si="105"/>
        <v>1754.6186335403727</v>
      </c>
      <c r="R452" s="93">
        <v>6774</v>
      </c>
      <c r="S452" s="266">
        <v>43100</v>
      </c>
    </row>
    <row r="453" spans="1:19" s="24" customFormat="1" ht="15.75">
      <c r="A453" s="87"/>
      <c r="B453" s="227" t="s">
        <v>78</v>
      </c>
      <c r="C453" s="79">
        <v>1949</v>
      </c>
      <c r="D453" s="79"/>
      <c r="E453" s="89" t="s">
        <v>221</v>
      </c>
      <c r="F453" s="79">
        <v>2</v>
      </c>
      <c r="G453" s="79">
        <v>2</v>
      </c>
      <c r="H453" s="150">
        <v>438.3</v>
      </c>
      <c r="I453" s="80">
        <v>393.5</v>
      </c>
      <c r="J453" s="80">
        <f>I453-49.9</f>
        <v>343.6</v>
      </c>
      <c r="K453" s="81">
        <v>16</v>
      </c>
      <c r="L453" s="92">
        <f t="shared" si="104"/>
        <v>651603</v>
      </c>
      <c r="M453" s="92">
        <v>0</v>
      </c>
      <c r="N453" s="92">
        <v>0</v>
      </c>
      <c r="O453" s="92">
        <v>651603</v>
      </c>
      <c r="P453" s="92">
        <v>0</v>
      </c>
      <c r="Q453" s="80">
        <f t="shared" si="105"/>
        <v>1655.9161372299873</v>
      </c>
      <c r="R453" s="93">
        <v>6774</v>
      </c>
      <c r="S453" s="266">
        <v>43100</v>
      </c>
    </row>
    <row r="454" spans="1:19" s="24" customFormat="1" ht="31.5">
      <c r="A454" s="87"/>
      <c r="B454" s="227" t="s">
        <v>426</v>
      </c>
      <c r="C454" s="87">
        <v>1990</v>
      </c>
      <c r="D454" s="79"/>
      <c r="E454" s="89" t="s">
        <v>218</v>
      </c>
      <c r="F454" s="79">
        <v>3</v>
      </c>
      <c r="G454" s="79">
        <v>1</v>
      </c>
      <c r="H454" s="150">
        <v>700.1</v>
      </c>
      <c r="I454" s="94">
        <v>650.70000000000005</v>
      </c>
      <c r="J454" s="94">
        <v>650.70000000000005</v>
      </c>
      <c r="K454" s="128">
        <v>18</v>
      </c>
      <c r="L454" s="92">
        <f t="shared" si="104"/>
        <v>698701</v>
      </c>
      <c r="M454" s="92">
        <v>0</v>
      </c>
      <c r="N454" s="92">
        <v>0</v>
      </c>
      <c r="O454" s="92">
        <v>698701</v>
      </c>
      <c r="P454" s="92">
        <v>0</v>
      </c>
      <c r="Q454" s="80">
        <f t="shared" si="105"/>
        <v>1073.7682495773781</v>
      </c>
      <c r="R454" s="93">
        <v>6774</v>
      </c>
      <c r="S454" s="266">
        <v>43100</v>
      </c>
    </row>
    <row r="455" spans="1:19" s="24" customFormat="1" ht="31.5">
      <c r="A455" s="87"/>
      <c r="B455" s="227" t="s">
        <v>80</v>
      </c>
      <c r="C455" s="87">
        <v>1982</v>
      </c>
      <c r="D455" s="79"/>
      <c r="E455" s="89" t="s">
        <v>218</v>
      </c>
      <c r="F455" s="79">
        <v>5</v>
      </c>
      <c r="G455" s="79">
        <v>4</v>
      </c>
      <c r="H455" s="151">
        <v>3159.2</v>
      </c>
      <c r="I455" s="94">
        <v>2600.8000000000002</v>
      </c>
      <c r="J455" s="94">
        <v>2455.5</v>
      </c>
      <c r="K455" s="128">
        <v>106</v>
      </c>
      <c r="L455" s="92">
        <f t="shared" si="104"/>
        <v>1512903</v>
      </c>
      <c r="M455" s="92">
        <v>0</v>
      </c>
      <c r="N455" s="92">
        <v>0</v>
      </c>
      <c r="O455" s="92">
        <v>1512903</v>
      </c>
      <c r="P455" s="92">
        <v>0</v>
      </c>
      <c r="Q455" s="80">
        <f t="shared" si="105"/>
        <v>581.70678252845278</v>
      </c>
      <c r="R455" s="93">
        <v>6774</v>
      </c>
      <c r="S455" s="266">
        <v>43100</v>
      </c>
    </row>
    <row r="456" spans="1:19" s="24" customFormat="1" ht="15.75">
      <c r="A456" s="87"/>
      <c r="B456" s="227" t="s">
        <v>84</v>
      </c>
      <c r="C456" s="87">
        <v>1953</v>
      </c>
      <c r="D456" s="79"/>
      <c r="E456" s="89" t="s">
        <v>220</v>
      </c>
      <c r="F456" s="79">
        <v>2</v>
      </c>
      <c r="G456" s="79">
        <v>2</v>
      </c>
      <c r="H456" s="151">
        <v>664.5</v>
      </c>
      <c r="I456" s="94">
        <v>609.4</v>
      </c>
      <c r="J456" s="94">
        <f>450.2-48.3</f>
        <v>401.9</v>
      </c>
      <c r="K456" s="128">
        <v>15</v>
      </c>
      <c r="L456" s="92">
        <f t="shared" si="104"/>
        <v>1668544</v>
      </c>
      <c r="M456" s="92">
        <v>0</v>
      </c>
      <c r="N456" s="92">
        <v>0</v>
      </c>
      <c r="O456" s="92">
        <v>1668544</v>
      </c>
      <c r="P456" s="92">
        <v>0</v>
      </c>
      <c r="Q456" s="80">
        <f t="shared" si="105"/>
        <v>2738.0111585165737</v>
      </c>
      <c r="R456" s="93">
        <v>6774</v>
      </c>
      <c r="S456" s="266">
        <v>43100</v>
      </c>
    </row>
    <row r="457" spans="1:19" s="24" customFormat="1" ht="31.5">
      <c r="A457" s="87"/>
      <c r="B457" s="227" t="s">
        <v>81</v>
      </c>
      <c r="C457" s="87">
        <v>1988</v>
      </c>
      <c r="D457" s="79"/>
      <c r="E457" s="89" t="s">
        <v>218</v>
      </c>
      <c r="F457" s="79">
        <v>5</v>
      </c>
      <c r="G457" s="79">
        <v>6</v>
      </c>
      <c r="H457" s="151">
        <v>4806.3999999999996</v>
      </c>
      <c r="I457" s="94">
        <v>4087.2</v>
      </c>
      <c r="J457" s="94">
        <v>4087.2</v>
      </c>
      <c r="K457" s="128">
        <v>172</v>
      </c>
      <c r="L457" s="92">
        <f t="shared" si="104"/>
        <v>2294873</v>
      </c>
      <c r="M457" s="92">
        <v>0</v>
      </c>
      <c r="N457" s="92">
        <v>0</v>
      </c>
      <c r="O457" s="92">
        <v>2294873</v>
      </c>
      <c r="P457" s="92">
        <v>0</v>
      </c>
      <c r="Q457" s="80">
        <f t="shared" si="105"/>
        <v>561.47802896848702</v>
      </c>
      <c r="R457" s="93">
        <v>6774</v>
      </c>
      <c r="S457" s="266">
        <v>43100</v>
      </c>
    </row>
    <row r="458" spans="1:19" s="24" customFormat="1" ht="15.75">
      <c r="A458" s="87"/>
      <c r="B458" s="227" t="s">
        <v>82</v>
      </c>
      <c r="C458" s="87">
        <v>1948</v>
      </c>
      <c r="D458" s="79"/>
      <c r="E458" s="89" t="s">
        <v>221</v>
      </c>
      <c r="F458" s="79">
        <v>2</v>
      </c>
      <c r="G458" s="79">
        <v>1</v>
      </c>
      <c r="H458" s="151">
        <v>559.9</v>
      </c>
      <c r="I458" s="94">
        <v>503.7</v>
      </c>
      <c r="J458" s="94">
        <f>I458-190.7</f>
        <v>313</v>
      </c>
      <c r="K458" s="128">
        <v>26</v>
      </c>
      <c r="L458" s="92">
        <f t="shared" si="104"/>
        <v>879987</v>
      </c>
      <c r="M458" s="92">
        <v>0</v>
      </c>
      <c r="N458" s="92">
        <v>0</v>
      </c>
      <c r="O458" s="92">
        <v>879987</v>
      </c>
      <c r="P458" s="92">
        <v>0</v>
      </c>
      <c r="Q458" s="80">
        <f t="shared" si="105"/>
        <v>1747.0458606313282</v>
      </c>
      <c r="R458" s="93">
        <v>6774</v>
      </c>
      <c r="S458" s="266">
        <v>43100</v>
      </c>
    </row>
    <row r="459" spans="1:19" s="24" customFormat="1" ht="31.5">
      <c r="A459" s="87"/>
      <c r="B459" s="227" t="s">
        <v>83</v>
      </c>
      <c r="C459" s="87">
        <v>1958</v>
      </c>
      <c r="D459" s="79"/>
      <c r="E459" s="89" t="s">
        <v>218</v>
      </c>
      <c r="F459" s="79">
        <v>2</v>
      </c>
      <c r="G459" s="79">
        <v>3</v>
      </c>
      <c r="H459" s="151">
        <v>1091.5999999999999</v>
      </c>
      <c r="I459" s="94">
        <v>1006.1</v>
      </c>
      <c r="J459" s="94">
        <v>1006.1</v>
      </c>
      <c r="K459" s="128">
        <v>33</v>
      </c>
      <c r="L459" s="92">
        <f t="shared" si="104"/>
        <v>1361248</v>
      </c>
      <c r="M459" s="92">
        <v>0</v>
      </c>
      <c r="N459" s="92">
        <v>0</v>
      </c>
      <c r="O459" s="92">
        <v>1361248</v>
      </c>
      <c r="P459" s="92">
        <v>0</v>
      </c>
      <c r="Q459" s="80">
        <f t="shared" si="105"/>
        <v>1352.9947321339828</v>
      </c>
      <c r="R459" s="93">
        <v>6774</v>
      </c>
      <c r="S459" s="266">
        <v>43100</v>
      </c>
    </row>
    <row r="460" spans="1:19" s="1" customFormat="1" ht="15.75">
      <c r="A460" s="87"/>
      <c r="B460" s="1066" t="s">
        <v>60</v>
      </c>
      <c r="C460" s="1066"/>
      <c r="D460" s="1066"/>
      <c r="E460" s="1066"/>
      <c r="F460" s="1066"/>
      <c r="G460" s="1066"/>
      <c r="H460" s="107">
        <f>H461</f>
        <v>8449.7999999999993</v>
      </c>
      <c r="I460" s="86">
        <f t="shared" ref="I460:P460" si="106">I461</f>
        <v>4991.1999999999989</v>
      </c>
      <c r="J460" s="86">
        <f t="shared" si="106"/>
        <v>4257.5</v>
      </c>
      <c r="K460" s="98">
        <f t="shared" si="106"/>
        <v>357</v>
      </c>
      <c r="L460" s="92">
        <f t="shared" si="106"/>
        <v>6800353</v>
      </c>
      <c r="M460" s="92">
        <f t="shared" si="106"/>
        <v>0</v>
      </c>
      <c r="N460" s="92">
        <f t="shared" si="106"/>
        <v>0</v>
      </c>
      <c r="O460" s="92">
        <f t="shared" si="106"/>
        <v>6800353</v>
      </c>
      <c r="P460" s="92">
        <f t="shared" si="106"/>
        <v>0</v>
      </c>
      <c r="Q460" s="86" t="s">
        <v>40</v>
      </c>
      <c r="R460" s="86" t="s">
        <v>40</v>
      </c>
      <c r="S460" s="266">
        <v>43100</v>
      </c>
    </row>
    <row r="461" spans="1:19" s="1" customFormat="1" ht="15.75">
      <c r="A461" s="87"/>
      <c r="B461" s="1066" t="s">
        <v>113</v>
      </c>
      <c r="C461" s="1066"/>
      <c r="D461" s="1066"/>
      <c r="E461" s="1066"/>
      <c r="F461" s="1066"/>
      <c r="G461" s="1066"/>
      <c r="H461" s="107">
        <f>SUM(H462:H465)</f>
        <v>8449.7999999999993</v>
      </c>
      <c r="I461" s="86">
        <f t="shared" ref="I461:P461" si="107">SUM(I462:I465)</f>
        <v>4991.1999999999989</v>
      </c>
      <c r="J461" s="86">
        <f t="shared" si="107"/>
        <v>4257.5</v>
      </c>
      <c r="K461" s="98">
        <f t="shared" si="107"/>
        <v>357</v>
      </c>
      <c r="L461" s="92">
        <f t="shared" si="107"/>
        <v>6800353</v>
      </c>
      <c r="M461" s="92">
        <f t="shared" si="107"/>
        <v>0</v>
      </c>
      <c r="N461" s="92">
        <f t="shared" si="107"/>
        <v>0</v>
      </c>
      <c r="O461" s="92">
        <f t="shared" si="107"/>
        <v>6800353</v>
      </c>
      <c r="P461" s="92">
        <f t="shared" si="107"/>
        <v>0</v>
      </c>
      <c r="Q461" s="86" t="s">
        <v>40</v>
      </c>
      <c r="R461" s="86" t="s">
        <v>40</v>
      </c>
      <c r="S461" s="266">
        <v>43100</v>
      </c>
    </row>
    <row r="462" spans="1:19" s="41" customFormat="1" ht="15.75">
      <c r="A462" s="87"/>
      <c r="B462" s="225" t="s">
        <v>887</v>
      </c>
      <c r="C462" s="88">
        <v>1993</v>
      </c>
      <c r="D462" s="88"/>
      <c r="E462" s="89" t="s">
        <v>219</v>
      </c>
      <c r="F462" s="88">
        <v>5</v>
      </c>
      <c r="G462" s="88">
        <v>5</v>
      </c>
      <c r="H462" s="90">
        <v>3796.1</v>
      </c>
      <c r="I462" s="88">
        <v>2311.6999999999998</v>
      </c>
      <c r="J462" s="88">
        <v>2864.9</v>
      </c>
      <c r="K462" s="91">
        <v>145</v>
      </c>
      <c r="L462" s="92">
        <v>3626543</v>
      </c>
      <c r="M462" s="92">
        <v>0</v>
      </c>
      <c r="N462" s="92">
        <v>0</v>
      </c>
      <c r="O462" s="92">
        <f>L462</f>
        <v>3626543</v>
      </c>
      <c r="P462" s="92">
        <v>0</v>
      </c>
      <c r="Q462" s="93">
        <f>L462/I462</f>
        <v>1568.777523034996</v>
      </c>
      <c r="R462" s="93">
        <v>6774</v>
      </c>
      <c r="S462" s="266">
        <v>43100</v>
      </c>
    </row>
    <row r="463" spans="1:19" s="41" customFormat="1" ht="31.5">
      <c r="A463" s="87"/>
      <c r="B463" s="225" t="s">
        <v>888</v>
      </c>
      <c r="C463" s="88">
        <v>1978</v>
      </c>
      <c r="D463" s="88"/>
      <c r="E463" s="89" t="s">
        <v>218</v>
      </c>
      <c r="F463" s="88">
        <v>5</v>
      </c>
      <c r="G463" s="88">
        <v>1</v>
      </c>
      <c r="H463" s="90">
        <v>4056.6</v>
      </c>
      <c r="I463" s="88">
        <v>2191.6</v>
      </c>
      <c r="J463" s="88">
        <v>937</v>
      </c>
      <c r="K463" s="91">
        <v>196</v>
      </c>
      <c r="L463" s="92">
        <v>2160246</v>
      </c>
      <c r="M463" s="92">
        <v>0</v>
      </c>
      <c r="N463" s="92">
        <v>0</v>
      </c>
      <c r="O463" s="92">
        <f>L463</f>
        <v>2160246</v>
      </c>
      <c r="P463" s="92">
        <v>0</v>
      </c>
      <c r="Q463" s="93">
        <f>L463/I463</f>
        <v>985.69355721847057</v>
      </c>
      <c r="R463" s="93">
        <v>6774</v>
      </c>
      <c r="S463" s="266">
        <v>43100</v>
      </c>
    </row>
    <row r="464" spans="1:19" s="41" customFormat="1" ht="31.5">
      <c r="A464" s="87"/>
      <c r="B464" s="225" t="s">
        <v>889</v>
      </c>
      <c r="C464" s="88">
        <v>1925</v>
      </c>
      <c r="D464" s="88"/>
      <c r="E464" s="89" t="s">
        <v>218</v>
      </c>
      <c r="F464" s="88">
        <v>2</v>
      </c>
      <c r="G464" s="88">
        <v>2</v>
      </c>
      <c r="H464" s="90">
        <v>597.1</v>
      </c>
      <c r="I464" s="88">
        <v>487.9</v>
      </c>
      <c r="J464" s="88">
        <v>455.6</v>
      </c>
      <c r="K464" s="91">
        <v>16</v>
      </c>
      <c r="L464" s="92">
        <v>1013564</v>
      </c>
      <c r="M464" s="92">
        <v>0</v>
      </c>
      <c r="N464" s="92">
        <v>0</v>
      </c>
      <c r="O464" s="92">
        <f>L464</f>
        <v>1013564</v>
      </c>
      <c r="P464" s="92">
        <v>0</v>
      </c>
      <c r="Q464" s="93">
        <f>L464/I464</f>
        <v>2077.401106784177</v>
      </c>
      <c r="R464" s="93">
        <v>6774</v>
      </c>
      <c r="S464" s="266">
        <v>43100</v>
      </c>
    </row>
    <row r="465" spans="1:19" s="41" customFormat="1" ht="15.75">
      <c r="A465" s="87"/>
      <c r="B465" s="225"/>
      <c r="C465" s="88"/>
      <c r="D465" s="88"/>
      <c r="E465" s="89"/>
      <c r="F465" s="88"/>
      <c r="G465" s="88"/>
      <c r="H465" s="90"/>
      <c r="I465" s="88"/>
      <c r="J465" s="88"/>
      <c r="K465" s="91"/>
      <c r="L465" s="92"/>
      <c r="M465" s="92"/>
      <c r="N465" s="92"/>
      <c r="O465" s="92"/>
      <c r="P465" s="92"/>
      <c r="Q465" s="93"/>
      <c r="R465" s="93"/>
      <c r="S465" s="266"/>
    </row>
    <row r="466" spans="1:19" s="41" customFormat="1" ht="15.75" customHeight="1">
      <c r="A466" s="87"/>
      <c r="B466" s="1079" t="s">
        <v>208</v>
      </c>
      <c r="C466" s="1079"/>
      <c r="D466" s="1079"/>
      <c r="E466" s="1079"/>
      <c r="F466" s="1079"/>
      <c r="G466" s="1079"/>
      <c r="H466" s="93">
        <f t="shared" ref="H466:O467" si="108">H467</f>
        <v>318.7</v>
      </c>
      <c r="I466" s="93">
        <f t="shared" si="108"/>
        <v>297.60000000000002</v>
      </c>
      <c r="J466" s="93">
        <f t="shared" si="108"/>
        <v>297.60000000000002</v>
      </c>
      <c r="K466" s="91">
        <f t="shared" si="108"/>
        <v>14</v>
      </c>
      <c r="L466" s="92">
        <f t="shared" si="108"/>
        <v>1167102</v>
      </c>
      <c r="M466" s="92">
        <f t="shared" si="108"/>
        <v>0</v>
      </c>
      <c r="N466" s="92">
        <f t="shared" si="108"/>
        <v>202967.46</v>
      </c>
      <c r="O466" s="92">
        <f t="shared" si="108"/>
        <v>964134.54</v>
      </c>
      <c r="P466" s="92">
        <f>P467</f>
        <v>0</v>
      </c>
      <c r="Q466" s="86" t="s">
        <v>40</v>
      </c>
      <c r="R466" s="93" t="s">
        <v>40</v>
      </c>
      <c r="S466" s="266">
        <v>43100</v>
      </c>
    </row>
    <row r="467" spans="1:19" s="41" customFormat="1" ht="15.75">
      <c r="A467" s="87"/>
      <c r="B467" s="1066" t="s">
        <v>209</v>
      </c>
      <c r="C467" s="1066"/>
      <c r="D467" s="1066"/>
      <c r="E467" s="1066"/>
      <c r="F467" s="1066"/>
      <c r="G467" s="1066"/>
      <c r="H467" s="93">
        <f t="shared" si="108"/>
        <v>318.7</v>
      </c>
      <c r="I467" s="93">
        <f t="shared" si="108"/>
        <v>297.60000000000002</v>
      </c>
      <c r="J467" s="93">
        <f t="shared" si="108"/>
        <v>297.60000000000002</v>
      </c>
      <c r="K467" s="91">
        <f t="shared" si="108"/>
        <v>14</v>
      </c>
      <c r="L467" s="92">
        <f t="shared" si="108"/>
        <v>1167102</v>
      </c>
      <c r="M467" s="92">
        <f t="shared" si="108"/>
        <v>0</v>
      </c>
      <c r="N467" s="92">
        <f t="shared" si="108"/>
        <v>202967.46</v>
      </c>
      <c r="O467" s="92">
        <f t="shared" si="108"/>
        <v>964134.54</v>
      </c>
      <c r="P467" s="92">
        <f>P468</f>
        <v>0</v>
      </c>
      <c r="Q467" s="86" t="s">
        <v>40</v>
      </c>
      <c r="R467" s="86" t="s">
        <v>40</v>
      </c>
      <c r="S467" s="266">
        <v>43100</v>
      </c>
    </row>
    <row r="468" spans="1:19" s="41" customFormat="1" ht="31.5">
      <c r="A468" s="258">
        <v>92</v>
      </c>
      <c r="B468" s="287" t="s">
        <v>478</v>
      </c>
      <c r="C468" s="260">
        <v>1962</v>
      </c>
      <c r="D468" s="260"/>
      <c r="E468" s="261" t="s">
        <v>218</v>
      </c>
      <c r="F468" s="260">
        <v>2</v>
      </c>
      <c r="G468" s="260">
        <v>1</v>
      </c>
      <c r="H468" s="262">
        <v>318.7</v>
      </c>
      <c r="I468" s="260">
        <v>297.60000000000002</v>
      </c>
      <c r="J468" s="260">
        <v>297.60000000000002</v>
      </c>
      <c r="K468" s="263">
        <v>14</v>
      </c>
      <c r="L468" s="264">
        <v>1167102</v>
      </c>
      <c r="M468" s="264">
        <v>0</v>
      </c>
      <c r="N468" s="264">
        <v>202967.46</v>
      </c>
      <c r="O468" s="264">
        <v>964134.54</v>
      </c>
      <c r="P468" s="264">
        <v>0</v>
      </c>
      <c r="Q468" s="265">
        <f>L468/I468</f>
        <v>3921.713709677419</v>
      </c>
      <c r="R468" s="265">
        <v>7822</v>
      </c>
      <c r="S468" s="266">
        <v>43100</v>
      </c>
    </row>
    <row r="469" spans="1:19" s="1" customFormat="1" ht="15.75">
      <c r="A469" s="87"/>
      <c r="B469" s="1066" t="s">
        <v>61</v>
      </c>
      <c r="C469" s="1066"/>
      <c r="D469" s="1066"/>
      <c r="E469" s="1066"/>
      <c r="F469" s="1066"/>
      <c r="G469" s="1066"/>
      <c r="H469" s="107">
        <f>H470</f>
        <v>4625.8</v>
      </c>
      <c r="I469" s="86">
        <f t="shared" ref="I469:P469" si="109">I470</f>
        <v>4269</v>
      </c>
      <c r="J469" s="86">
        <f t="shared" si="109"/>
        <v>4126.6000000000004</v>
      </c>
      <c r="K469" s="98">
        <f t="shared" si="109"/>
        <v>154</v>
      </c>
      <c r="L469" s="92">
        <f t="shared" si="109"/>
        <v>3666180</v>
      </c>
      <c r="M469" s="92">
        <f t="shared" si="109"/>
        <v>0</v>
      </c>
      <c r="N469" s="92">
        <f t="shared" si="109"/>
        <v>0</v>
      </c>
      <c r="O469" s="92">
        <f t="shared" si="109"/>
        <v>3666180</v>
      </c>
      <c r="P469" s="92">
        <f t="shared" si="109"/>
        <v>0</v>
      </c>
      <c r="Q469" s="93" t="s">
        <v>40</v>
      </c>
      <c r="R469" s="93" t="s">
        <v>40</v>
      </c>
      <c r="S469" s="266">
        <v>43100</v>
      </c>
    </row>
    <row r="470" spans="1:19" s="1" customFormat="1" ht="15.75">
      <c r="A470" s="87"/>
      <c r="B470" s="1066" t="s">
        <v>118</v>
      </c>
      <c r="C470" s="1066"/>
      <c r="D470" s="1066"/>
      <c r="E470" s="1066"/>
      <c r="F470" s="1066"/>
      <c r="G470" s="1066"/>
      <c r="H470" s="107">
        <f>H471+H472</f>
        <v>4625.8</v>
      </c>
      <c r="I470" s="107">
        <f t="shared" ref="I470:P470" si="110">I471+I472</f>
        <v>4269</v>
      </c>
      <c r="J470" s="107">
        <f t="shared" si="110"/>
        <v>4126.6000000000004</v>
      </c>
      <c r="K470" s="98">
        <f t="shared" si="110"/>
        <v>154</v>
      </c>
      <c r="L470" s="313">
        <f t="shared" si="110"/>
        <v>3666180</v>
      </c>
      <c r="M470" s="313">
        <f t="shared" si="110"/>
        <v>0</v>
      </c>
      <c r="N470" s="313">
        <f t="shared" si="110"/>
        <v>0</v>
      </c>
      <c r="O470" s="313">
        <f t="shared" si="110"/>
        <v>3666180</v>
      </c>
      <c r="P470" s="313">
        <f t="shared" si="110"/>
        <v>0</v>
      </c>
      <c r="Q470" s="93" t="s">
        <v>40</v>
      </c>
      <c r="R470" s="86" t="s">
        <v>40</v>
      </c>
      <c r="S470" s="266">
        <v>43100</v>
      </c>
    </row>
    <row r="471" spans="1:19" s="1" customFormat="1" ht="15.75">
      <c r="A471" s="258">
        <v>93</v>
      </c>
      <c r="B471" s="310" t="s">
        <v>495</v>
      </c>
      <c r="C471" s="295">
        <v>1981</v>
      </c>
      <c r="D471" s="310"/>
      <c r="E471" s="261" t="s">
        <v>219</v>
      </c>
      <c r="F471" s="295">
        <v>5</v>
      </c>
      <c r="G471" s="295">
        <v>4</v>
      </c>
      <c r="H471" s="296">
        <v>3720</v>
      </c>
      <c r="I471" s="298">
        <v>3423.2</v>
      </c>
      <c r="J471" s="298">
        <v>3280.8</v>
      </c>
      <c r="K471" s="297">
        <v>123</v>
      </c>
      <c r="L471" s="264">
        <v>2553216</v>
      </c>
      <c r="M471" s="264">
        <v>0</v>
      </c>
      <c r="N471" s="264">
        <v>0</v>
      </c>
      <c r="O471" s="264">
        <v>2553216</v>
      </c>
      <c r="P471" s="92">
        <f>P476</f>
        <v>0</v>
      </c>
      <c r="Q471" s="265">
        <f>L471/I471</f>
        <v>745.8565085300304</v>
      </c>
      <c r="R471" s="298">
        <v>7822</v>
      </c>
      <c r="S471" s="266">
        <v>43100</v>
      </c>
    </row>
    <row r="472" spans="1:19" s="1" customFormat="1" ht="15.75">
      <c r="A472" s="258">
        <v>94</v>
      </c>
      <c r="B472" s="294" t="s">
        <v>496</v>
      </c>
      <c r="C472" s="260">
        <v>1980</v>
      </c>
      <c r="D472" s="260"/>
      <c r="E472" s="261" t="s">
        <v>219</v>
      </c>
      <c r="F472" s="260">
        <v>2</v>
      </c>
      <c r="G472" s="260">
        <v>2</v>
      </c>
      <c r="H472" s="262">
        <v>905.8</v>
      </c>
      <c r="I472" s="265">
        <v>845.8</v>
      </c>
      <c r="J472" s="265">
        <v>845.8</v>
      </c>
      <c r="K472" s="263">
        <v>31</v>
      </c>
      <c r="L472" s="264">
        <v>1112964</v>
      </c>
      <c r="M472" s="264">
        <v>0</v>
      </c>
      <c r="N472" s="264">
        <v>0</v>
      </c>
      <c r="O472" s="264">
        <v>1112964</v>
      </c>
      <c r="P472" s="264">
        <v>0</v>
      </c>
      <c r="Q472" s="298">
        <f>L472/I472</f>
        <v>1315.8713643887445</v>
      </c>
      <c r="R472" s="265">
        <v>7822</v>
      </c>
      <c r="S472" s="266">
        <v>43100</v>
      </c>
    </row>
    <row r="473" spans="1:19" s="1" customFormat="1" ht="15.75">
      <c r="A473" s="87"/>
      <c r="B473" s="1072" t="s">
        <v>649</v>
      </c>
      <c r="C473" s="1073"/>
      <c r="D473" s="1073"/>
      <c r="E473" s="1073"/>
      <c r="F473" s="1073"/>
      <c r="G473" s="1074"/>
      <c r="H473" s="90">
        <f>H474</f>
        <v>478</v>
      </c>
      <c r="I473" s="90">
        <f t="shared" ref="I473:P473" si="111">I474</f>
        <v>438.4</v>
      </c>
      <c r="J473" s="90">
        <f t="shared" si="111"/>
        <v>0</v>
      </c>
      <c r="K473" s="90">
        <f t="shared" si="111"/>
        <v>15</v>
      </c>
      <c r="L473" s="497">
        <f t="shared" si="111"/>
        <v>204131</v>
      </c>
      <c r="M473" s="497">
        <f t="shared" si="111"/>
        <v>0</v>
      </c>
      <c r="N473" s="497">
        <f t="shared" si="111"/>
        <v>0</v>
      </c>
      <c r="O473" s="497">
        <f t="shared" si="111"/>
        <v>204131</v>
      </c>
      <c r="P473" s="497">
        <f t="shared" si="111"/>
        <v>0</v>
      </c>
      <c r="Q473" s="86" t="s">
        <v>40</v>
      </c>
      <c r="R473" s="86" t="s">
        <v>40</v>
      </c>
      <c r="S473" s="266">
        <v>43100</v>
      </c>
    </row>
    <row r="474" spans="1:19" s="1" customFormat="1" ht="20.45" customHeight="1">
      <c r="A474" s="258"/>
      <c r="B474" s="1069" t="s">
        <v>650</v>
      </c>
      <c r="C474" s="1070"/>
      <c r="D474" s="1070"/>
      <c r="E474" s="1070"/>
      <c r="F474" s="1070"/>
      <c r="G474" s="1071"/>
      <c r="H474" s="262">
        <f>H475</f>
        <v>478</v>
      </c>
      <c r="I474" s="262">
        <f t="shared" ref="I474:P474" si="112">I475</f>
        <v>438.4</v>
      </c>
      <c r="J474" s="262">
        <f t="shared" si="112"/>
        <v>0</v>
      </c>
      <c r="K474" s="262">
        <f t="shared" si="112"/>
        <v>15</v>
      </c>
      <c r="L474" s="633">
        <f t="shared" si="112"/>
        <v>204131</v>
      </c>
      <c r="M474" s="633">
        <f t="shared" si="112"/>
        <v>0</v>
      </c>
      <c r="N474" s="633">
        <f t="shared" si="112"/>
        <v>0</v>
      </c>
      <c r="O474" s="633">
        <f t="shared" si="112"/>
        <v>204131</v>
      </c>
      <c r="P474" s="633">
        <f t="shared" si="112"/>
        <v>0</v>
      </c>
      <c r="Q474" s="298" t="s">
        <v>40</v>
      </c>
      <c r="R474" s="298" t="s">
        <v>40</v>
      </c>
      <c r="S474" s="266">
        <v>43100</v>
      </c>
    </row>
    <row r="475" spans="1:19" s="1" customFormat="1" ht="31.5">
      <c r="A475" s="258">
        <v>95</v>
      </c>
      <c r="B475" s="294" t="s">
        <v>651</v>
      </c>
      <c r="C475" s="260">
        <v>1966</v>
      </c>
      <c r="D475" s="260"/>
      <c r="E475" s="261" t="s">
        <v>218</v>
      </c>
      <c r="F475" s="260">
        <v>2</v>
      </c>
      <c r="G475" s="260">
        <v>3</v>
      </c>
      <c r="H475" s="262">
        <v>478</v>
      </c>
      <c r="I475" s="265">
        <v>438.4</v>
      </c>
      <c r="J475" s="265">
        <v>0</v>
      </c>
      <c r="K475" s="263">
        <v>15</v>
      </c>
      <c r="L475" s="264">
        <v>204131</v>
      </c>
      <c r="M475" s="264">
        <v>0</v>
      </c>
      <c r="N475" s="264">
        <v>0</v>
      </c>
      <c r="O475" s="264">
        <v>204131</v>
      </c>
      <c r="P475" s="264">
        <v>0</v>
      </c>
      <c r="Q475" s="298">
        <f>L475/I475</f>
        <v>465.62728102189783</v>
      </c>
      <c r="R475" s="265">
        <v>7822</v>
      </c>
      <c r="S475" s="266">
        <v>43100</v>
      </c>
    </row>
    <row r="476" spans="1:19" s="1" customFormat="1" ht="15.75">
      <c r="A476" s="87"/>
      <c r="B476" s="1066" t="s">
        <v>62</v>
      </c>
      <c r="C476" s="1066"/>
      <c r="D476" s="1066"/>
      <c r="E476" s="1066"/>
      <c r="F476" s="1066"/>
      <c r="G476" s="1066"/>
      <c r="H476" s="107">
        <f>H477</f>
        <v>508.92</v>
      </c>
      <c r="I476" s="86">
        <f t="shared" ref="I476:P476" si="113">I477</f>
        <v>442.92</v>
      </c>
      <c r="J476" s="86">
        <f t="shared" si="113"/>
        <v>442.92</v>
      </c>
      <c r="K476" s="98">
        <f t="shared" si="113"/>
        <v>16</v>
      </c>
      <c r="L476" s="92">
        <f t="shared" si="113"/>
        <v>1214790</v>
      </c>
      <c r="M476" s="92">
        <f t="shared" si="113"/>
        <v>0</v>
      </c>
      <c r="N476" s="92">
        <f t="shared" si="113"/>
        <v>0</v>
      </c>
      <c r="O476" s="92">
        <f t="shared" si="113"/>
        <v>1214790</v>
      </c>
      <c r="P476" s="92">
        <f t="shared" si="113"/>
        <v>0</v>
      </c>
      <c r="Q476" s="86" t="s">
        <v>40</v>
      </c>
      <c r="R476" s="86" t="s">
        <v>40</v>
      </c>
      <c r="S476" s="266">
        <v>43100</v>
      </c>
    </row>
    <row r="477" spans="1:19" s="1" customFormat="1" ht="15.75">
      <c r="A477" s="87"/>
      <c r="B477" s="1066" t="s">
        <v>117</v>
      </c>
      <c r="C477" s="1066"/>
      <c r="D477" s="1066"/>
      <c r="E477" s="1066"/>
      <c r="F477" s="1066"/>
      <c r="G477" s="1066"/>
      <c r="H477" s="107">
        <f>H478</f>
        <v>508.92</v>
      </c>
      <c r="I477" s="86">
        <f t="shared" ref="I477:P477" si="114">I478</f>
        <v>442.92</v>
      </c>
      <c r="J477" s="86">
        <f t="shared" si="114"/>
        <v>442.92</v>
      </c>
      <c r="K477" s="98">
        <f t="shared" si="114"/>
        <v>16</v>
      </c>
      <c r="L477" s="92">
        <f t="shared" si="114"/>
        <v>1214790</v>
      </c>
      <c r="M477" s="92">
        <f t="shared" si="114"/>
        <v>0</v>
      </c>
      <c r="N477" s="92">
        <f t="shared" si="114"/>
        <v>0</v>
      </c>
      <c r="O477" s="92">
        <f t="shared" si="114"/>
        <v>1214790</v>
      </c>
      <c r="P477" s="92">
        <f t="shared" si="114"/>
        <v>0</v>
      </c>
      <c r="Q477" s="86" t="s">
        <v>40</v>
      </c>
      <c r="R477" s="86" t="s">
        <v>40</v>
      </c>
      <c r="S477" s="266">
        <v>43100</v>
      </c>
    </row>
    <row r="478" spans="1:19" s="1" customFormat="1" ht="15.75">
      <c r="A478" s="258">
        <v>96</v>
      </c>
      <c r="B478" s="310" t="s">
        <v>486</v>
      </c>
      <c r="C478" s="295">
        <v>1973</v>
      </c>
      <c r="D478" s="295"/>
      <c r="E478" s="261" t="s">
        <v>220</v>
      </c>
      <c r="F478" s="295">
        <v>2</v>
      </c>
      <c r="G478" s="295">
        <v>2</v>
      </c>
      <c r="H478" s="296">
        <v>508.92</v>
      </c>
      <c r="I478" s="298">
        <v>442.92</v>
      </c>
      <c r="J478" s="298">
        <v>442.92</v>
      </c>
      <c r="K478" s="297">
        <v>16</v>
      </c>
      <c r="L478" s="264">
        <v>1214790</v>
      </c>
      <c r="M478" s="264">
        <v>0</v>
      </c>
      <c r="N478" s="264">
        <v>0</v>
      </c>
      <c r="O478" s="264">
        <f>L478</f>
        <v>1214790</v>
      </c>
      <c r="P478" s="264">
        <v>0</v>
      </c>
      <c r="Q478" s="298">
        <f>L478/I478</f>
        <v>2742.6849092386888</v>
      </c>
      <c r="R478" s="265">
        <v>7822</v>
      </c>
      <c r="S478" s="266">
        <v>43100</v>
      </c>
    </row>
    <row r="479" spans="1:19" s="1" customFormat="1" ht="15.75">
      <c r="A479" s="87"/>
      <c r="B479" s="1066" t="s">
        <v>63</v>
      </c>
      <c r="C479" s="1066"/>
      <c r="D479" s="1066"/>
      <c r="E479" s="1066"/>
      <c r="F479" s="1066"/>
      <c r="G479" s="1066"/>
      <c r="H479" s="107">
        <f>H480</f>
        <v>4999.2</v>
      </c>
      <c r="I479" s="86">
        <f t="shared" ref="I479:P479" si="115">I480</f>
        <v>4566.3</v>
      </c>
      <c r="J479" s="86">
        <f t="shared" si="115"/>
        <v>4512.6000000000004</v>
      </c>
      <c r="K479" s="98">
        <f t="shared" si="115"/>
        <v>190</v>
      </c>
      <c r="L479" s="92">
        <f t="shared" si="115"/>
        <v>3037109</v>
      </c>
      <c r="M479" s="92">
        <f t="shared" si="115"/>
        <v>0</v>
      </c>
      <c r="N479" s="92">
        <f t="shared" si="115"/>
        <v>214483.68</v>
      </c>
      <c r="O479" s="92">
        <f t="shared" si="115"/>
        <v>2822625.3200000003</v>
      </c>
      <c r="P479" s="92">
        <f t="shared" si="115"/>
        <v>0</v>
      </c>
      <c r="Q479" s="86" t="s">
        <v>40</v>
      </c>
      <c r="R479" s="86" t="s">
        <v>40</v>
      </c>
      <c r="S479" s="266">
        <v>43100</v>
      </c>
    </row>
    <row r="480" spans="1:19" s="1" customFormat="1" ht="15.75" customHeight="1">
      <c r="A480" s="258"/>
      <c r="B480" s="1081" t="s">
        <v>116</v>
      </c>
      <c r="C480" s="1081"/>
      <c r="D480" s="1081"/>
      <c r="E480" s="1081"/>
      <c r="F480" s="1081"/>
      <c r="G480" s="1081"/>
      <c r="H480" s="296">
        <f>H481+H482</f>
        <v>4999.2</v>
      </c>
      <c r="I480" s="298">
        <f t="shared" ref="I480:P480" si="116">I481+I482</f>
        <v>4566.3</v>
      </c>
      <c r="J480" s="298">
        <f t="shared" si="116"/>
        <v>4512.6000000000004</v>
      </c>
      <c r="K480" s="297">
        <f t="shared" si="116"/>
        <v>190</v>
      </c>
      <c r="L480" s="264">
        <f>L481+L482</f>
        <v>3037109</v>
      </c>
      <c r="M480" s="264">
        <f t="shared" si="116"/>
        <v>0</v>
      </c>
      <c r="N480" s="264">
        <f t="shared" si="116"/>
        <v>214483.68</v>
      </c>
      <c r="O480" s="264">
        <f t="shared" si="116"/>
        <v>2822625.3200000003</v>
      </c>
      <c r="P480" s="264">
        <f t="shared" si="116"/>
        <v>0</v>
      </c>
      <c r="Q480" s="298" t="s">
        <v>40</v>
      </c>
      <c r="R480" s="298" t="s">
        <v>40</v>
      </c>
      <c r="S480" s="266">
        <v>43100</v>
      </c>
    </row>
    <row r="481" spans="1:19" s="1" customFormat="1" ht="15.75">
      <c r="A481" s="258">
        <v>97</v>
      </c>
      <c r="B481" s="634" t="s">
        <v>675</v>
      </c>
      <c r="C481" s="635">
        <v>1992</v>
      </c>
      <c r="D481" s="636"/>
      <c r="E481" s="261" t="s">
        <v>219</v>
      </c>
      <c r="F481" s="635">
        <v>5</v>
      </c>
      <c r="G481" s="635">
        <v>4</v>
      </c>
      <c r="H481" s="335">
        <v>3349.7</v>
      </c>
      <c r="I481" s="336">
        <v>3054.1</v>
      </c>
      <c r="J481" s="336">
        <v>3000.4</v>
      </c>
      <c r="K481" s="337">
        <v>125</v>
      </c>
      <c r="L481" s="264">
        <v>2012761</v>
      </c>
      <c r="M481" s="264">
        <v>0</v>
      </c>
      <c r="N481" s="264">
        <v>142143.20000000001</v>
      </c>
      <c r="O481" s="264">
        <v>1870617.8</v>
      </c>
      <c r="P481" s="264">
        <v>0</v>
      </c>
      <c r="Q481" s="338">
        <f>L481/I481</f>
        <v>659.03572247143188</v>
      </c>
      <c r="R481" s="265">
        <v>7822</v>
      </c>
      <c r="S481" s="266">
        <v>43100</v>
      </c>
    </row>
    <row r="482" spans="1:19" s="1" customFormat="1" ht="15.75">
      <c r="A482" s="258">
        <v>98</v>
      </c>
      <c r="B482" s="634" t="s">
        <v>676</v>
      </c>
      <c r="C482" s="636">
        <v>1983</v>
      </c>
      <c r="D482" s="637"/>
      <c r="E482" s="261" t="s">
        <v>219</v>
      </c>
      <c r="F482" s="635">
        <v>5</v>
      </c>
      <c r="G482" s="635">
        <v>2</v>
      </c>
      <c r="H482" s="335">
        <v>1649.5</v>
      </c>
      <c r="I482" s="336">
        <v>1512.2</v>
      </c>
      <c r="J482" s="336">
        <v>1512.2</v>
      </c>
      <c r="K482" s="337">
        <v>65</v>
      </c>
      <c r="L482" s="264">
        <v>1024348</v>
      </c>
      <c r="M482" s="264">
        <v>0</v>
      </c>
      <c r="N482" s="264">
        <v>72340.479999999996</v>
      </c>
      <c r="O482" s="264">
        <v>952007.52</v>
      </c>
      <c r="P482" s="264">
        <v>0</v>
      </c>
      <c r="Q482" s="338">
        <f>L482/I482</f>
        <v>677.38923422827668</v>
      </c>
      <c r="R482" s="265">
        <v>7822</v>
      </c>
      <c r="S482" s="266">
        <v>43100</v>
      </c>
    </row>
    <row r="483" spans="1:19" s="1" customFormat="1" ht="15.75">
      <c r="A483" s="258"/>
      <c r="B483" s="1075" t="s">
        <v>663</v>
      </c>
      <c r="C483" s="1076"/>
      <c r="D483" s="1076"/>
      <c r="E483" s="1076"/>
      <c r="F483" s="1076"/>
      <c r="G483" s="1077"/>
      <c r="H483" s="335">
        <f>H484</f>
        <v>555</v>
      </c>
      <c r="I483" s="335">
        <f t="shared" ref="I483:P483" si="117">I484</f>
        <v>513.20000000000005</v>
      </c>
      <c r="J483" s="335">
        <f t="shared" si="117"/>
        <v>437.9</v>
      </c>
      <c r="K483" s="335">
        <f t="shared" si="117"/>
        <v>16</v>
      </c>
      <c r="L483" s="706">
        <f t="shared" si="117"/>
        <v>1402598</v>
      </c>
      <c r="M483" s="706">
        <f t="shared" si="117"/>
        <v>0</v>
      </c>
      <c r="N483" s="706">
        <f t="shared" si="117"/>
        <v>0</v>
      </c>
      <c r="O483" s="706">
        <f t="shared" si="117"/>
        <v>1402598</v>
      </c>
      <c r="P483" s="706">
        <f t="shared" si="117"/>
        <v>0</v>
      </c>
      <c r="Q483" s="338"/>
      <c r="R483" s="265"/>
      <c r="S483" s="266">
        <v>43100</v>
      </c>
    </row>
    <row r="484" spans="1:19" s="1" customFormat="1" ht="31.5">
      <c r="A484" s="258">
        <v>99</v>
      </c>
      <c r="B484" s="634" t="s">
        <v>664</v>
      </c>
      <c r="C484" s="636">
        <v>1972</v>
      </c>
      <c r="D484" s="637"/>
      <c r="E484" s="498" t="s">
        <v>665</v>
      </c>
      <c r="F484" s="635">
        <v>2</v>
      </c>
      <c r="G484" s="635">
        <v>2</v>
      </c>
      <c r="H484" s="335">
        <v>555</v>
      </c>
      <c r="I484" s="336">
        <v>513.20000000000005</v>
      </c>
      <c r="J484" s="336">
        <v>437.9</v>
      </c>
      <c r="K484" s="337">
        <v>16</v>
      </c>
      <c r="L484" s="264">
        <v>1402598</v>
      </c>
      <c r="M484" s="264">
        <v>0</v>
      </c>
      <c r="N484" s="264">
        <v>0</v>
      </c>
      <c r="O484" s="264">
        <v>1402598</v>
      </c>
      <c r="P484" s="264">
        <v>0</v>
      </c>
      <c r="Q484" s="338">
        <f>L484/I484</f>
        <v>2733.0436477007011</v>
      </c>
      <c r="R484" s="265">
        <v>7822</v>
      </c>
      <c r="S484" s="266">
        <v>43100</v>
      </c>
    </row>
    <row r="485" spans="1:19" s="1" customFormat="1" ht="15.75">
      <c r="A485" s="87"/>
      <c r="B485" s="1066" t="s">
        <v>64</v>
      </c>
      <c r="C485" s="1066"/>
      <c r="D485" s="1066"/>
      <c r="E485" s="1066"/>
      <c r="F485" s="1066"/>
      <c r="G485" s="1066"/>
      <c r="H485" s="107">
        <f>H486</f>
        <v>1306.5</v>
      </c>
      <c r="I485" s="86">
        <f t="shared" ref="I485:P485" si="118">I486</f>
        <v>1229.3</v>
      </c>
      <c r="J485" s="86">
        <f t="shared" si="118"/>
        <v>1229.3</v>
      </c>
      <c r="K485" s="98">
        <f t="shared" si="118"/>
        <v>49</v>
      </c>
      <c r="L485" s="92">
        <f t="shared" si="118"/>
        <v>5743338</v>
      </c>
      <c r="M485" s="92">
        <f t="shared" si="118"/>
        <v>0</v>
      </c>
      <c r="N485" s="92">
        <f t="shared" si="118"/>
        <v>0</v>
      </c>
      <c r="O485" s="92">
        <f t="shared" si="118"/>
        <v>5743338</v>
      </c>
      <c r="P485" s="92">
        <f t="shared" si="118"/>
        <v>0</v>
      </c>
      <c r="Q485" s="86" t="s">
        <v>40</v>
      </c>
      <c r="R485" s="86" t="s">
        <v>40</v>
      </c>
      <c r="S485" s="266">
        <v>43100</v>
      </c>
    </row>
    <row r="486" spans="1:19" s="1" customFormat="1" ht="15.75">
      <c r="A486" s="87"/>
      <c r="B486" s="1066" t="s">
        <v>115</v>
      </c>
      <c r="C486" s="1066"/>
      <c r="D486" s="1066"/>
      <c r="E486" s="1066"/>
      <c r="F486" s="1066"/>
      <c r="G486" s="1066"/>
      <c r="H486" s="107">
        <f>SUM(H487:H490)</f>
        <v>1306.5</v>
      </c>
      <c r="I486" s="86">
        <f t="shared" ref="I486:O486" si="119">SUM(I487:I490)</f>
        <v>1229.3</v>
      </c>
      <c r="J486" s="86">
        <f t="shared" si="119"/>
        <v>1229.3</v>
      </c>
      <c r="K486" s="98">
        <f t="shared" si="119"/>
        <v>49</v>
      </c>
      <c r="L486" s="92">
        <f t="shared" si="119"/>
        <v>5743338</v>
      </c>
      <c r="M486" s="92">
        <f t="shared" si="119"/>
        <v>0</v>
      </c>
      <c r="N486" s="92">
        <f t="shared" si="119"/>
        <v>0</v>
      </c>
      <c r="O486" s="92">
        <f t="shared" si="119"/>
        <v>5743338</v>
      </c>
      <c r="P486" s="92">
        <f>SUM(P487:P489)</f>
        <v>0</v>
      </c>
      <c r="Q486" s="86" t="s">
        <v>40</v>
      </c>
      <c r="R486" s="86" t="s">
        <v>40</v>
      </c>
      <c r="S486" s="266">
        <v>43100</v>
      </c>
    </row>
    <row r="487" spans="1:19" s="1" customFormat="1" ht="31.5">
      <c r="A487" s="258">
        <v>100</v>
      </c>
      <c r="B487" s="310" t="s">
        <v>608</v>
      </c>
      <c r="C487" s="295">
        <v>1978</v>
      </c>
      <c r="D487" s="295"/>
      <c r="E487" s="261" t="s">
        <v>218</v>
      </c>
      <c r="F487" s="295">
        <v>2</v>
      </c>
      <c r="G487" s="295">
        <v>1</v>
      </c>
      <c r="H487" s="296">
        <v>291</v>
      </c>
      <c r="I487" s="298">
        <v>291</v>
      </c>
      <c r="J487" s="298">
        <v>291</v>
      </c>
      <c r="K487" s="297">
        <v>10</v>
      </c>
      <c r="L487" s="264">
        <v>2311572</v>
      </c>
      <c r="M487" s="264">
        <v>0</v>
      </c>
      <c r="N487" s="264">
        <v>0</v>
      </c>
      <c r="O487" s="264">
        <f>L487</f>
        <v>2311572</v>
      </c>
      <c r="P487" s="264">
        <v>0</v>
      </c>
      <c r="Q487" s="298">
        <f>L487/I487</f>
        <v>7943.5463917525776</v>
      </c>
      <c r="R487" s="265">
        <v>7822</v>
      </c>
      <c r="S487" s="266">
        <v>43100</v>
      </c>
    </row>
    <row r="488" spans="1:19" s="1" customFormat="1" ht="31.5">
      <c r="A488" s="258">
        <v>101</v>
      </c>
      <c r="B488" s="310" t="s">
        <v>609</v>
      </c>
      <c r="C488" s="295">
        <v>1917</v>
      </c>
      <c r="D488" s="295"/>
      <c r="E488" s="261" t="s">
        <v>218</v>
      </c>
      <c r="F488" s="295">
        <v>1</v>
      </c>
      <c r="G488" s="295">
        <v>1</v>
      </c>
      <c r="H488" s="296">
        <v>120</v>
      </c>
      <c r="I488" s="298">
        <v>120</v>
      </c>
      <c r="J488" s="298">
        <v>120</v>
      </c>
      <c r="K488" s="297">
        <v>5</v>
      </c>
      <c r="L488" s="264">
        <v>968625</v>
      </c>
      <c r="M488" s="264">
        <v>0</v>
      </c>
      <c r="N488" s="264">
        <v>0</v>
      </c>
      <c r="O488" s="264">
        <f>L488</f>
        <v>968625</v>
      </c>
      <c r="P488" s="264">
        <v>0</v>
      </c>
      <c r="Q488" s="298">
        <f>L488/I488</f>
        <v>8071.875</v>
      </c>
      <c r="R488" s="265">
        <v>7822</v>
      </c>
      <c r="S488" s="266">
        <v>43100</v>
      </c>
    </row>
    <row r="489" spans="1:19" s="1" customFormat="1" ht="31.5">
      <c r="A489" s="258">
        <v>102</v>
      </c>
      <c r="B489" s="310" t="s">
        <v>610</v>
      </c>
      <c r="C489" s="295">
        <v>1965</v>
      </c>
      <c r="D489" s="295"/>
      <c r="E489" s="261" t="s">
        <v>218</v>
      </c>
      <c r="F489" s="295">
        <v>2</v>
      </c>
      <c r="G489" s="295">
        <v>1</v>
      </c>
      <c r="H489" s="296">
        <v>407.6</v>
      </c>
      <c r="I489" s="298">
        <v>376.6</v>
      </c>
      <c r="J489" s="298">
        <v>376.6</v>
      </c>
      <c r="K489" s="297">
        <v>17</v>
      </c>
      <c r="L489" s="264">
        <v>1139852</v>
      </c>
      <c r="M489" s="264">
        <v>0</v>
      </c>
      <c r="N489" s="264">
        <v>0</v>
      </c>
      <c r="O489" s="264">
        <f>L489</f>
        <v>1139852</v>
      </c>
      <c r="P489" s="264">
        <v>0</v>
      </c>
      <c r="Q489" s="298">
        <f>L489/I489</f>
        <v>3026.6914498141264</v>
      </c>
      <c r="R489" s="265">
        <v>7822</v>
      </c>
      <c r="S489" s="266">
        <v>43100</v>
      </c>
    </row>
    <row r="490" spans="1:19" s="1" customFormat="1" ht="31.5">
      <c r="A490" s="258">
        <v>103</v>
      </c>
      <c r="B490" s="310" t="s">
        <v>611</v>
      </c>
      <c r="C490" s="295">
        <v>1965</v>
      </c>
      <c r="D490" s="295"/>
      <c r="E490" s="261" t="s">
        <v>218</v>
      </c>
      <c r="F490" s="295">
        <v>2</v>
      </c>
      <c r="G490" s="295">
        <v>1</v>
      </c>
      <c r="H490" s="296">
        <v>487.9</v>
      </c>
      <c r="I490" s="298">
        <v>441.7</v>
      </c>
      <c r="J490" s="298">
        <v>441.7</v>
      </c>
      <c r="K490" s="297">
        <v>17</v>
      </c>
      <c r="L490" s="264">
        <v>1323289</v>
      </c>
      <c r="M490" s="264">
        <v>0</v>
      </c>
      <c r="N490" s="264">
        <v>0</v>
      </c>
      <c r="O490" s="264">
        <f>L490</f>
        <v>1323289</v>
      </c>
      <c r="P490" s="264">
        <v>0</v>
      </c>
      <c r="Q490" s="298">
        <f>L490/I490</f>
        <v>2995.8999320805979</v>
      </c>
      <c r="R490" s="265">
        <v>7822</v>
      </c>
      <c r="S490" s="266">
        <v>43100</v>
      </c>
    </row>
    <row r="491" spans="1:19" s="1" customFormat="1" ht="15.75">
      <c r="A491" s="87"/>
      <c r="B491" s="1066" t="s">
        <v>211</v>
      </c>
      <c r="C491" s="1066"/>
      <c r="D491" s="1066"/>
      <c r="E491" s="1066"/>
      <c r="F491" s="1066"/>
      <c r="G491" s="1066"/>
      <c r="H491" s="107">
        <f t="shared" ref="H491:P491" si="120">H492+H494</f>
        <v>1095.3</v>
      </c>
      <c r="I491" s="107">
        <f t="shared" si="120"/>
        <v>1043.2</v>
      </c>
      <c r="J491" s="107">
        <f t="shared" si="120"/>
        <v>928</v>
      </c>
      <c r="K491" s="98">
        <f t="shared" si="120"/>
        <v>27</v>
      </c>
      <c r="L491" s="92">
        <f t="shared" si="120"/>
        <v>2988909</v>
      </c>
      <c r="M491" s="92">
        <f t="shared" si="120"/>
        <v>0</v>
      </c>
      <c r="N491" s="92">
        <f t="shared" si="120"/>
        <v>0</v>
      </c>
      <c r="O491" s="92">
        <f t="shared" si="120"/>
        <v>2988909</v>
      </c>
      <c r="P491" s="92">
        <f t="shared" si="120"/>
        <v>0</v>
      </c>
      <c r="Q491" s="86" t="s">
        <v>40</v>
      </c>
      <c r="R491" s="86" t="s">
        <v>40</v>
      </c>
      <c r="S491" s="266">
        <v>43100</v>
      </c>
    </row>
    <row r="492" spans="1:19" s="1" customFormat="1" ht="15.75">
      <c r="A492" s="87"/>
      <c r="B492" s="1066" t="s">
        <v>629</v>
      </c>
      <c r="C492" s="1066"/>
      <c r="D492" s="1066"/>
      <c r="E492" s="1066"/>
      <c r="F492" s="1066"/>
      <c r="G492" s="1066"/>
      <c r="H492" s="107">
        <f>H493</f>
        <v>494.8</v>
      </c>
      <c r="I492" s="107">
        <f t="shared" ref="I492:P492" si="121">I493</f>
        <v>494.8</v>
      </c>
      <c r="J492" s="107">
        <f t="shared" si="121"/>
        <v>379.6</v>
      </c>
      <c r="K492" s="98">
        <f t="shared" si="121"/>
        <v>12</v>
      </c>
      <c r="L492" s="92">
        <f t="shared" si="121"/>
        <v>1537679</v>
      </c>
      <c r="M492" s="92">
        <f t="shared" si="121"/>
        <v>0</v>
      </c>
      <c r="N492" s="92">
        <f t="shared" si="121"/>
        <v>0</v>
      </c>
      <c r="O492" s="92">
        <f t="shared" si="121"/>
        <v>1537679</v>
      </c>
      <c r="P492" s="92">
        <f t="shared" si="121"/>
        <v>0</v>
      </c>
      <c r="Q492" s="86" t="s">
        <v>40</v>
      </c>
      <c r="R492" s="93" t="s">
        <v>40</v>
      </c>
      <c r="S492" s="266">
        <v>43100</v>
      </c>
    </row>
    <row r="493" spans="1:19" s="1" customFormat="1" ht="31.5">
      <c r="A493" s="87"/>
      <c r="B493" s="223" t="s">
        <v>630</v>
      </c>
      <c r="C493" s="97">
        <v>1917</v>
      </c>
      <c r="D493" s="97"/>
      <c r="E493" s="89" t="s">
        <v>218</v>
      </c>
      <c r="F493" s="97">
        <v>2</v>
      </c>
      <c r="G493" s="97">
        <v>1</v>
      </c>
      <c r="H493" s="107">
        <v>494.8</v>
      </c>
      <c r="I493" s="86">
        <v>494.8</v>
      </c>
      <c r="J493" s="86">
        <v>379.6</v>
      </c>
      <c r="K493" s="98">
        <v>12</v>
      </c>
      <c r="L493" s="92">
        <v>1537679</v>
      </c>
      <c r="M493" s="92">
        <v>0</v>
      </c>
      <c r="N493" s="92">
        <v>0</v>
      </c>
      <c r="O493" s="92">
        <v>1537679</v>
      </c>
      <c r="P493" s="92">
        <v>0</v>
      </c>
      <c r="Q493" s="86">
        <f>L493/I493</f>
        <v>3107.6778496362167</v>
      </c>
      <c r="R493" s="93">
        <v>7822</v>
      </c>
      <c r="S493" s="266">
        <v>43100</v>
      </c>
    </row>
    <row r="494" spans="1:19" s="1" customFormat="1" ht="15.75">
      <c r="A494" s="87"/>
      <c r="B494" s="1066" t="s">
        <v>631</v>
      </c>
      <c r="C494" s="1066"/>
      <c r="D494" s="1066"/>
      <c r="E494" s="1066"/>
      <c r="F494" s="1066"/>
      <c r="G494" s="1066"/>
      <c r="H494" s="107">
        <f>H495</f>
        <v>600.5</v>
      </c>
      <c r="I494" s="107">
        <f t="shared" ref="I494:P494" si="122">I495</f>
        <v>548.4</v>
      </c>
      <c r="J494" s="107">
        <f t="shared" si="122"/>
        <v>548.4</v>
      </c>
      <c r="K494" s="98">
        <f t="shared" si="122"/>
        <v>15</v>
      </c>
      <c r="L494" s="92">
        <f t="shared" si="122"/>
        <v>1451230</v>
      </c>
      <c r="M494" s="92">
        <f t="shared" si="122"/>
        <v>0</v>
      </c>
      <c r="N494" s="92">
        <f t="shared" si="122"/>
        <v>0</v>
      </c>
      <c r="O494" s="92">
        <f t="shared" si="122"/>
        <v>1451230</v>
      </c>
      <c r="P494" s="92">
        <f t="shared" si="122"/>
        <v>0</v>
      </c>
      <c r="Q494" s="86" t="s">
        <v>40</v>
      </c>
      <c r="R494" s="93" t="s">
        <v>40</v>
      </c>
      <c r="S494" s="266">
        <v>43100</v>
      </c>
    </row>
    <row r="495" spans="1:19" s="1" customFormat="1" ht="31.5">
      <c r="A495" s="87"/>
      <c r="B495" s="223" t="s">
        <v>632</v>
      </c>
      <c r="C495" s="97">
        <v>1982</v>
      </c>
      <c r="D495" s="97"/>
      <c r="E495" s="89" t="s">
        <v>218</v>
      </c>
      <c r="F495" s="97">
        <v>2</v>
      </c>
      <c r="G495" s="97">
        <v>2</v>
      </c>
      <c r="H495" s="107">
        <v>600.5</v>
      </c>
      <c r="I495" s="86">
        <v>548.4</v>
      </c>
      <c r="J495" s="86">
        <v>548.4</v>
      </c>
      <c r="K495" s="98">
        <v>15</v>
      </c>
      <c r="L495" s="92">
        <v>1451230</v>
      </c>
      <c r="M495" s="92">
        <v>0</v>
      </c>
      <c r="N495" s="92">
        <v>0</v>
      </c>
      <c r="O495" s="92">
        <v>1451230</v>
      </c>
      <c r="P495" s="92">
        <v>0</v>
      </c>
      <c r="Q495" s="86">
        <f>L495/I495</f>
        <v>2646.2983223924143</v>
      </c>
      <c r="R495" s="93">
        <v>7822</v>
      </c>
      <c r="S495" s="266">
        <v>43100</v>
      </c>
    </row>
    <row r="496" spans="1:19" s="1" customFormat="1" ht="15.75">
      <c r="A496" s="87"/>
      <c r="B496" s="1066" t="s">
        <v>66</v>
      </c>
      <c r="C496" s="1066"/>
      <c r="D496" s="1066"/>
      <c r="E496" s="1066"/>
      <c r="F496" s="1066"/>
      <c r="G496" s="1066"/>
      <c r="H496" s="107">
        <f>H499+H497</f>
        <v>2315.6</v>
      </c>
      <c r="I496" s="107">
        <f t="shared" ref="I496:P496" si="123">I499+I497</f>
        <v>1993.8000000000002</v>
      </c>
      <c r="J496" s="107">
        <f t="shared" si="123"/>
        <v>1887.2</v>
      </c>
      <c r="K496" s="107">
        <f t="shared" si="123"/>
        <v>65</v>
      </c>
      <c r="L496" s="313">
        <f t="shared" si="123"/>
        <v>4692143</v>
      </c>
      <c r="M496" s="313">
        <f t="shared" si="123"/>
        <v>0</v>
      </c>
      <c r="N496" s="313">
        <f t="shared" si="123"/>
        <v>0</v>
      </c>
      <c r="O496" s="313">
        <f t="shared" si="123"/>
        <v>4692143</v>
      </c>
      <c r="P496" s="313">
        <f t="shared" si="123"/>
        <v>0</v>
      </c>
      <c r="Q496" s="86" t="s">
        <v>40</v>
      </c>
      <c r="R496" s="86" t="s">
        <v>40</v>
      </c>
      <c r="S496" s="266">
        <v>43100</v>
      </c>
    </row>
    <row r="497" spans="1:19" s="1" customFormat="1" ht="15.75">
      <c r="A497" s="258"/>
      <c r="B497" s="310" t="s">
        <v>641</v>
      </c>
      <c r="C497" s="310"/>
      <c r="D497" s="310"/>
      <c r="E497" s="310"/>
      <c r="F497" s="310"/>
      <c r="G497" s="310"/>
      <c r="H497" s="296">
        <f>H498</f>
        <v>675.9</v>
      </c>
      <c r="I497" s="296">
        <f t="shared" ref="I497:P497" si="124">I498</f>
        <v>626.4</v>
      </c>
      <c r="J497" s="296">
        <f t="shared" si="124"/>
        <v>544.20000000000005</v>
      </c>
      <c r="K497" s="296">
        <f t="shared" si="124"/>
        <v>21</v>
      </c>
      <c r="L497" s="734">
        <f t="shared" si="124"/>
        <v>346938</v>
      </c>
      <c r="M497" s="734">
        <f t="shared" si="124"/>
        <v>0</v>
      </c>
      <c r="N497" s="734">
        <f t="shared" si="124"/>
        <v>0</v>
      </c>
      <c r="O497" s="734">
        <f t="shared" si="124"/>
        <v>346938</v>
      </c>
      <c r="P497" s="734">
        <f t="shared" si="124"/>
        <v>0</v>
      </c>
      <c r="Q497" s="298" t="s">
        <v>40</v>
      </c>
      <c r="R497" s="265" t="s">
        <v>40</v>
      </c>
      <c r="S497" s="266">
        <v>43100</v>
      </c>
    </row>
    <row r="498" spans="1:19" s="1" customFormat="1" ht="31.5">
      <c r="A498" s="258"/>
      <c r="B498" s="310" t="s">
        <v>642</v>
      </c>
      <c r="C498" s="295">
        <v>1972</v>
      </c>
      <c r="D498" s="295"/>
      <c r="E498" s="261" t="s">
        <v>218</v>
      </c>
      <c r="F498" s="295">
        <v>2</v>
      </c>
      <c r="G498" s="295">
        <v>2</v>
      </c>
      <c r="H498" s="296">
        <v>675.9</v>
      </c>
      <c r="I498" s="298">
        <v>626.4</v>
      </c>
      <c r="J498" s="298">
        <v>544.20000000000005</v>
      </c>
      <c r="K498" s="297">
        <v>21</v>
      </c>
      <c r="L498" s="759">
        <v>346938</v>
      </c>
      <c r="M498" s="759">
        <v>0</v>
      </c>
      <c r="N498" s="759">
        <v>0</v>
      </c>
      <c r="O498" s="759">
        <v>346938</v>
      </c>
      <c r="P498" s="759">
        <v>0</v>
      </c>
      <c r="Q498" s="592">
        <f>L498/I498</f>
        <v>553.86015325670496</v>
      </c>
      <c r="R498" s="592">
        <v>7822</v>
      </c>
      <c r="S498" s="266">
        <v>43100</v>
      </c>
    </row>
    <row r="499" spans="1:19" s="1" customFormat="1" ht="15.75">
      <c r="A499" s="87"/>
      <c r="B499" s="1066" t="s">
        <v>114</v>
      </c>
      <c r="C499" s="1066"/>
      <c r="D499" s="1066"/>
      <c r="E499" s="1066"/>
      <c r="F499" s="1066"/>
      <c r="G499" s="1066"/>
      <c r="H499" s="107">
        <f>H500+H501+H502</f>
        <v>1639.7</v>
      </c>
      <c r="I499" s="86">
        <f>I500+I501+I502</f>
        <v>1367.4</v>
      </c>
      <c r="J499" s="86">
        <f>J500+J501+J502</f>
        <v>1343</v>
      </c>
      <c r="K499" s="98">
        <f t="shared" ref="K499:P499" si="125">K500+K501+K502</f>
        <v>44</v>
      </c>
      <c r="L499" s="92">
        <f t="shared" si="125"/>
        <v>4345205</v>
      </c>
      <c r="M499" s="92">
        <f t="shared" si="125"/>
        <v>0</v>
      </c>
      <c r="N499" s="92">
        <f>N500+N501+N502</f>
        <v>0</v>
      </c>
      <c r="O499" s="92">
        <f t="shared" si="125"/>
        <v>4345205</v>
      </c>
      <c r="P499" s="92">
        <f t="shared" si="125"/>
        <v>0</v>
      </c>
      <c r="Q499" s="86" t="s">
        <v>40</v>
      </c>
      <c r="R499" s="93" t="s">
        <v>40</v>
      </c>
      <c r="S499" s="266">
        <v>43100</v>
      </c>
    </row>
    <row r="500" spans="1:19" s="1" customFormat="1" ht="15.75">
      <c r="A500" s="258">
        <v>104</v>
      </c>
      <c r="B500" s="310" t="s">
        <v>497</v>
      </c>
      <c r="C500" s="295">
        <v>1890</v>
      </c>
      <c r="D500" s="295"/>
      <c r="E500" s="261" t="s">
        <v>221</v>
      </c>
      <c r="F500" s="295">
        <v>2</v>
      </c>
      <c r="G500" s="295">
        <v>1</v>
      </c>
      <c r="H500" s="296">
        <v>339.6</v>
      </c>
      <c r="I500" s="298">
        <v>152.5</v>
      </c>
      <c r="J500" s="298">
        <v>128.1</v>
      </c>
      <c r="K500" s="297">
        <v>4</v>
      </c>
      <c r="L500" s="264">
        <v>784601</v>
      </c>
      <c r="M500" s="264">
        <v>0</v>
      </c>
      <c r="N500" s="264">
        <v>0</v>
      </c>
      <c r="O500" s="264">
        <v>784601</v>
      </c>
      <c r="P500" s="264">
        <v>0</v>
      </c>
      <c r="Q500" s="298">
        <f>L500/I500</f>
        <v>5144.9245901639342</v>
      </c>
      <c r="R500" s="265">
        <v>7822</v>
      </c>
      <c r="S500" s="266">
        <v>43100</v>
      </c>
    </row>
    <row r="501" spans="1:19" s="1" customFormat="1" ht="31.5">
      <c r="A501" s="258">
        <v>105</v>
      </c>
      <c r="B501" s="310" t="s">
        <v>498</v>
      </c>
      <c r="C501" s="295">
        <v>1964</v>
      </c>
      <c r="D501" s="295"/>
      <c r="E501" s="261" t="s">
        <v>218</v>
      </c>
      <c r="F501" s="295">
        <v>2</v>
      </c>
      <c r="G501" s="295">
        <v>2</v>
      </c>
      <c r="H501" s="296">
        <v>484.3</v>
      </c>
      <c r="I501" s="298">
        <v>470.6</v>
      </c>
      <c r="J501" s="298">
        <v>470.6</v>
      </c>
      <c r="K501" s="297">
        <v>18</v>
      </c>
      <c r="L501" s="264">
        <v>1513632</v>
      </c>
      <c r="M501" s="264">
        <v>0</v>
      </c>
      <c r="N501" s="264">
        <v>0</v>
      </c>
      <c r="O501" s="264">
        <v>1513632</v>
      </c>
      <c r="P501" s="264">
        <v>0</v>
      </c>
      <c r="Q501" s="298">
        <f>L501/I501</f>
        <v>3216.3875903102421</v>
      </c>
      <c r="R501" s="265">
        <v>7822</v>
      </c>
      <c r="S501" s="266">
        <v>43100</v>
      </c>
    </row>
    <row r="502" spans="1:19" s="1" customFormat="1" ht="31.5">
      <c r="A502" s="258">
        <v>106</v>
      </c>
      <c r="B502" s="310" t="s">
        <v>499</v>
      </c>
      <c r="C502" s="295">
        <v>1957</v>
      </c>
      <c r="D502" s="295"/>
      <c r="E502" s="261" t="s">
        <v>218</v>
      </c>
      <c r="F502" s="295">
        <v>2</v>
      </c>
      <c r="G502" s="295">
        <v>2</v>
      </c>
      <c r="H502" s="296">
        <v>815.8</v>
      </c>
      <c r="I502" s="298">
        <v>744.3</v>
      </c>
      <c r="J502" s="298">
        <v>744.3</v>
      </c>
      <c r="K502" s="297">
        <v>22</v>
      </c>
      <c r="L502" s="264">
        <v>2046972</v>
      </c>
      <c r="M502" s="264">
        <v>0</v>
      </c>
      <c r="N502" s="264">
        <v>0</v>
      </c>
      <c r="O502" s="264">
        <v>2046972</v>
      </c>
      <c r="P502" s="264">
        <v>0</v>
      </c>
      <c r="Q502" s="298">
        <f>L502/I502</f>
        <v>2750.1975010076585</v>
      </c>
      <c r="R502" s="265">
        <v>7822</v>
      </c>
      <c r="S502" s="266">
        <v>43100</v>
      </c>
    </row>
    <row r="503" spans="1:19" s="1" customFormat="1" ht="15.75">
      <c r="A503" s="87"/>
      <c r="B503" s="1066" t="s">
        <v>207</v>
      </c>
      <c r="C503" s="1066"/>
      <c r="D503" s="1066"/>
      <c r="E503" s="1066"/>
      <c r="F503" s="1066"/>
      <c r="G503" s="1066"/>
      <c r="H503" s="107">
        <f t="shared" ref="H503:P503" si="126">SUM(H504:H510)</f>
        <v>59226.13</v>
      </c>
      <c r="I503" s="107">
        <f t="shared" si="126"/>
        <v>51865.630000000005</v>
      </c>
      <c r="J503" s="107">
        <f t="shared" si="126"/>
        <v>50847.83</v>
      </c>
      <c r="K503" s="107">
        <f t="shared" si="126"/>
        <v>2200</v>
      </c>
      <c r="L503" s="313">
        <f t="shared" si="126"/>
        <v>21667282</v>
      </c>
      <c r="M503" s="313">
        <f t="shared" si="126"/>
        <v>0</v>
      </c>
      <c r="N503" s="313">
        <f t="shared" si="126"/>
        <v>0</v>
      </c>
      <c r="O503" s="313">
        <f t="shared" si="126"/>
        <v>21667282</v>
      </c>
      <c r="P503" s="313">
        <f t="shared" si="126"/>
        <v>0</v>
      </c>
      <c r="Q503" s="86" t="s">
        <v>40</v>
      </c>
      <c r="R503" s="86" t="s">
        <v>40</v>
      </c>
      <c r="S503" s="266">
        <v>43100</v>
      </c>
    </row>
    <row r="504" spans="1:19" s="17" customFormat="1" ht="15.75">
      <c r="A504" s="258">
        <v>107</v>
      </c>
      <c r="B504" s="402" t="s">
        <v>522</v>
      </c>
      <c r="C504" s="334">
        <v>1979</v>
      </c>
      <c r="D504" s="334"/>
      <c r="E504" s="261" t="s">
        <v>219</v>
      </c>
      <c r="F504" s="403">
        <v>5</v>
      </c>
      <c r="G504" s="403">
        <v>8</v>
      </c>
      <c r="H504" s="404">
        <v>4398.5</v>
      </c>
      <c r="I504" s="404">
        <v>3926.3</v>
      </c>
      <c r="J504" s="336">
        <v>3885.1</v>
      </c>
      <c r="K504" s="337">
        <v>168</v>
      </c>
      <c r="L504" s="264">
        <v>2609742</v>
      </c>
      <c r="M504" s="264">
        <v>0</v>
      </c>
      <c r="N504" s="264">
        <v>0</v>
      </c>
      <c r="O504" s="264">
        <f t="shared" ref="O504:O510" si="127">L504</f>
        <v>2609742</v>
      </c>
      <c r="P504" s="264">
        <v>0</v>
      </c>
      <c r="Q504" s="338">
        <f t="shared" ref="Q504:Q510" si="128">L504/I504</f>
        <v>664.68227084023124</v>
      </c>
      <c r="R504" s="265">
        <v>7822</v>
      </c>
      <c r="S504" s="266">
        <v>43100</v>
      </c>
    </row>
    <row r="505" spans="1:19" s="17" customFormat="1" ht="15.75">
      <c r="A505" s="258">
        <v>108</v>
      </c>
      <c r="B505" s="402" t="s">
        <v>523</v>
      </c>
      <c r="C505" s="334">
        <v>1987</v>
      </c>
      <c r="D505" s="334"/>
      <c r="E505" s="261" t="s">
        <v>219</v>
      </c>
      <c r="F505" s="403">
        <v>9</v>
      </c>
      <c r="G505" s="403">
        <v>3</v>
      </c>
      <c r="H505" s="404">
        <v>7692.2</v>
      </c>
      <c r="I505" s="404">
        <v>6696</v>
      </c>
      <c r="J505" s="336">
        <v>6564</v>
      </c>
      <c r="K505" s="337">
        <v>298</v>
      </c>
      <c r="L505" s="264">
        <v>2313974</v>
      </c>
      <c r="M505" s="264">
        <v>0</v>
      </c>
      <c r="N505" s="264">
        <v>0</v>
      </c>
      <c r="O505" s="264">
        <f t="shared" si="127"/>
        <v>2313974</v>
      </c>
      <c r="P505" s="264">
        <v>0</v>
      </c>
      <c r="Q505" s="338">
        <f t="shared" si="128"/>
        <v>345.57556750298687</v>
      </c>
      <c r="R505" s="265">
        <v>7822</v>
      </c>
      <c r="S505" s="266">
        <v>43100</v>
      </c>
    </row>
    <row r="506" spans="1:19" s="17" customFormat="1" ht="15.75">
      <c r="A506" s="258">
        <v>109</v>
      </c>
      <c r="B506" s="402" t="s">
        <v>524</v>
      </c>
      <c r="C506" s="334">
        <v>1985</v>
      </c>
      <c r="D506" s="334"/>
      <c r="E506" s="261" t="s">
        <v>219</v>
      </c>
      <c r="F506" s="403">
        <v>9</v>
      </c>
      <c r="G506" s="403">
        <v>6</v>
      </c>
      <c r="H506" s="404">
        <v>13232.03</v>
      </c>
      <c r="I506" s="404">
        <v>11510.63</v>
      </c>
      <c r="J506" s="336">
        <v>11085.93</v>
      </c>
      <c r="K506" s="337">
        <v>487</v>
      </c>
      <c r="L506" s="264">
        <v>4688365</v>
      </c>
      <c r="M506" s="264">
        <v>0</v>
      </c>
      <c r="N506" s="264">
        <v>0</v>
      </c>
      <c r="O506" s="264">
        <f t="shared" si="127"/>
        <v>4688365</v>
      </c>
      <c r="P506" s="264">
        <v>0</v>
      </c>
      <c r="Q506" s="338">
        <f t="shared" si="128"/>
        <v>407.30741931588454</v>
      </c>
      <c r="R506" s="265">
        <v>7822</v>
      </c>
      <c r="S506" s="266">
        <v>43100</v>
      </c>
    </row>
    <row r="507" spans="1:19" s="17" customFormat="1" ht="15.75">
      <c r="A507" s="258">
        <v>110</v>
      </c>
      <c r="B507" s="402" t="s">
        <v>525</v>
      </c>
      <c r="C507" s="334">
        <v>1981</v>
      </c>
      <c r="D507" s="334"/>
      <c r="E507" s="261" t="s">
        <v>219</v>
      </c>
      <c r="F507" s="403">
        <v>9</v>
      </c>
      <c r="G507" s="403">
        <v>1</v>
      </c>
      <c r="H507" s="404">
        <v>2545</v>
      </c>
      <c r="I507" s="404">
        <v>2208.1999999999998</v>
      </c>
      <c r="J507" s="336">
        <v>2208.1999999999998</v>
      </c>
      <c r="K507" s="337">
        <v>90</v>
      </c>
      <c r="L507" s="264">
        <v>924354</v>
      </c>
      <c r="M507" s="264">
        <v>0</v>
      </c>
      <c r="N507" s="264">
        <v>0</v>
      </c>
      <c r="O507" s="264">
        <f t="shared" si="127"/>
        <v>924354</v>
      </c>
      <c r="P507" s="264">
        <v>0</v>
      </c>
      <c r="Q507" s="338">
        <f t="shared" si="128"/>
        <v>418.60067022914592</v>
      </c>
      <c r="R507" s="265">
        <v>7822</v>
      </c>
      <c r="S507" s="266">
        <v>43100</v>
      </c>
    </row>
    <row r="508" spans="1:19" s="17" customFormat="1" ht="15.75">
      <c r="A508" s="258">
        <v>111</v>
      </c>
      <c r="B508" s="402" t="s">
        <v>526</v>
      </c>
      <c r="C508" s="334">
        <v>1981</v>
      </c>
      <c r="D508" s="334"/>
      <c r="E508" s="261" t="s">
        <v>219</v>
      </c>
      <c r="F508" s="403">
        <v>9</v>
      </c>
      <c r="G508" s="403">
        <v>2</v>
      </c>
      <c r="H508" s="404">
        <v>5082</v>
      </c>
      <c r="I508" s="404">
        <v>4531.1000000000004</v>
      </c>
      <c r="J508" s="336">
        <v>4352</v>
      </c>
      <c r="K508" s="337">
        <v>209</v>
      </c>
      <c r="L508" s="264">
        <v>1813705</v>
      </c>
      <c r="M508" s="264">
        <v>0</v>
      </c>
      <c r="N508" s="264">
        <v>0</v>
      </c>
      <c r="O508" s="264">
        <f t="shared" si="127"/>
        <v>1813705</v>
      </c>
      <c r="P508" s="264">
        <v>0</v>
      </c>
      <c r="Q508" s="338">
        <f t="shared" si="128"/>
        <v>400.27918165566859</v>
      </c>
      <c r="R508" s="265">
        <v>7822</v>
      </c>
      <c r="S508" s="266">
        <v>43100</v>
      </c>
    </row>
    <row r="509" spans="1:19" s="17" customFormat="1" ht="15.75">
      <c r="A509" s="258">
        <v>112</v>
      </c>
      <c r="B509" s="402" t="s">
        <v>527</v>
      </c>
      <c r="C509" s="334">
        <v>1987</v>
      </c>
      <c r="D509" s="334"/>
      <c r="E509" s="261" t="s">
        <v>219</v>
      </c>
      <c r="F509" s="403">
        <v>9</v>
      </c>
      <c r="G509" s="403">
        <v>6</v>
      </c>
      <c r="H509" s="404">
        <v>12965.8</v>
      </c>
      <c r="I509" s="404">
        <v>11429.2</v>
      </c>
      <c r="J509" s="336">
        <v>11247.7</v>
      </c>
      <c r="K509" s="337">
        <v>474</v>
      </c>
      <c r="L509" s="264">
        <v>4665548</v>
      </c>
      <c r="M509" s="264">
        <v>0</v>
      </c>
      <c r="N509" s="264">
        <v>0</v>
      </c>
      <c r="O509" s="264">
        <f t="shared" si="127"/>
        <v>4665548</v>
      </c>
      <c r="P509" s="264">
        <v>0</v>
      </c>
      <c r="Q509" s="338">
        <f t="shared" si="128"/>
        <v>408.21299828509427</v>
      </c>
      <c r="R509" s="265">
        <v>7822</v>
      </c>
      <c r="S509" s="266">
        <v>43100</v>
      </c>
    </row>
    <row r="510" spans="1:19" s="17" customFormat="1" ht="15.75">
      <c r="A510" s="258">
        <v>113</v>
      </c>
      <c r="B510" s="402" t="s">
        <v>528</v>
      </c>
      <c r="C510" s="334">
        <v>1983</v>
      </c>
      <c r="D510" s="334"/>
      <c r="E510" s="261" t="s">
        <v>219</v>
      </c>
      <c r="F510" s="403">
        <v>9</v>
      </c>
      <c r="G510" s="403">
        <v>6</v>
      </c>
      <c r="H510" s="404">
        <v>13310.6</v>
      </c>
      <c r="I510" s="404">
        <v>11564.2</v>
      </c>
      <c r="J510" s="336">
        <v>11504.9</v>
      </c>
      <c r="K510" s="337">
        <v>474</v>
      </c>
      <c r="L510" s="264">
        <v>4651594</v>
      </c>
      <c r="M510" s="264">
        <v>0</v>
      </c>
      <c r="N510" s="264">
        <v>0</v>
      </c>
      <c r="O510" s="264">
        <f t="shared" si="127"/>
        <v>4651594</v>
      </c>
      <c r="P510" s="264">
        <v>0</v>
      </c>
      <c r="Q510" s="338">
        <f t="shared" si="128"/>
        <v>402.24088134068933</v>
      </c>
      <c r="R510" s="265">
        <v>7822</v>
      </c>
      <c r="S510" s="266">
        <v>43100</v>
      </c>
    </row>
    <row r="511" spans="1:19" s="17" customFormat="1" ht="15.75">
      <c r="A511" s="258"/>
      <c r="B511" s="294"/>
      <c r="C511" s="334"/>
      <c r="D511" s="334"/>
      <c r="E511" s="261"/>
      <c r="F511" s="295"/>
      <c r="G511" s="295"/>
      <c r="H511" s="335"/>
      <c r="I511" s="336"/>
      <c r="J511" s="336"/>
      <c r="K511" s="337"/>
      <c r="L511" s="264"/>
      <c r="M511" s="264"/>
      <c r="N511" s="264"/>
      <c r="O511" s="264"/>
      <c r="P511" s="264"/>
      <c r="Q511" s="338"/>
      <c r="R511" s="265"/>
      <c r="S511" s="266"/>
    </row>
    <row r="512" spans="1:19" s="17" customFormat="1" ht="15.75">
      <c r="A512" s="258"/>
      <c r="B512" s="294"/>
      <c r="C512" s="334"/>
      <c r="D512" s="334"/>
      <c r="E512" s="261"/>
      <c r="F512" s="295"/>
      <c r="G512" s="295"/>
      <c r="H512" s="335"/>
      <c r="I512" s="336"/>
      <c r="J512" s="336"/>
      <c r="K512" s="337"/>
      <c r="L512" s="264"/>
      <c r="M512" s="264"/>
      <c r="N512" s="264"/>
      <c r="O512" s="264"/>
      <c r="P512" s="264"/>
      <c r="Q512" s="338"/>
      <c r="R512" s="265"/>
      <c r="S512" s="266"/>
    </row>
    <row r="513" spans="1:19" s="17" customFormat="1" ht="15.75">
      <c r="A513" s="258"/>
      <c r="B513" s="294"/>
      <c r="C513" s="295"/>
      <c r="D513" s="295"/>
      <c r="E513" s="261"/>
      <c r="F513" s="295"/>
      <c r="G513" s="295"/>
      <c r="H513" s="296"/>
      <c r="I513" s="339"/>
      <c r="J513" s="339"/>
      <c r="K513" s="297"/>
      <c r="L513" s="264"/>
      <c r="M513" s="264"/>
      <c r="N513" s="264"/>
      <c r="O513" s="264"/>
      <c r="P513" s="264"/>
      <c r="Q513" s="338"/>
      <c r="R513" s="265"/>
      <c r="S513" s="266"/>
    </row>
    <row r="514" spans="1:19" s="17" customFormat="1" ht="15.75">
      <c r="A514" s="258"/>
      <c r="B514" s="294"/>
      <c r="C514" s="334"/>
      <c r="D514" s="334"/>
      <c r="E514" s="261"/>
      <c r="F514" s="334"/>
      <c r="G514" s="334"/>
      <c r="H514" s="335"/>
      <c r="I514" s="336"/>
      <c r="J514" s="336"/>
      <c r="K514" s="337"/>
      <c r="L514" s="264"/>
      <c r="M514" s="264"/>
      <c r="N514" s="264"/>
      <c r="O514" s="264"/>
      <c r="P514" s="264"/>
      <c r="Q514" s="338"/>
      <c r="R514" s="265"/>
      <c r="S514" s="266"/>
    </row>
    <row r="515" spans="1:19" s="13" customFormat="1" ht="15.75">
      <c r="A515" s="87"/>
      <c r="B515" s="1066" t="s">
        <v>67</v>
      </c>
      <c r="C515" s="1066"/>
      <c r="D515" s="1066"/>
      <c r="E515" s="1066"/>
      <c r="F515" s="1066"/>
      <c r="G515" s="1066"/>
      <c r="H515" s="107">
        <f>H516+H518</f>
        <v>4794.6000000000004</v>
      </c>
      <c r="I515" s="97">
        <f t="shared" ref="I515:P515" si="129">I516+I518</f>
        <v>4684.8999999999996</v>
      </c>
      <c r="J515" s="86">
        <f>J516+J518</f>
        <v>4161</v>
      </c>
      <c r="K515" s="98">
        <f>K516+K518</f>
        <v>162</v>
      </c>
      <c r="L515" s="92">
        <f>L516+L518</f>
        <v>2859283.07</v>
      </c>
      <c r="M515" s="92">
        <f t="shared" si="129"/>
        <v>0</v>
      </c>
      <c r="N515" s="92">
        <f t="shared" si="129"/>
        <v>260236.27</v>
      </c>
      <c r="O515" s="92">
        <f>O516+O518</f>
        <v>2599046.7999999998</v>
      </c>
      <c r="P515" s="92">
        <f t="shared" si="129"/>
        <v>0</v>
      </c>
      <c r="Q515" s="93" t="s">
        <v>40</v>
      </c>
      <c r="R515" s="88" t="s">
        <v>40</v>
      </c>
      <c r="S515" s="266">
        <v>43100</v>
      </c>
    </row>
    <row r="516" spans="1:19" s="1" customFormat="1" ht="15.75">
      <c r="A516" s="87"/>
      <c r="B516" s="1066" t="s">
        <v>90</v>
      </c>
      <c r="C516" s="1066"/>
      <c r="D516" s="1066"/>
      <c r="E516" s="1066"/>
      <c r="F516" s="1066"/>
      <c r="G516" s="1066"/>
      <c r="H516" s="107">
        <f>H517</f>
        <v>1507.8</v>
      </c>
      <c r="I516" s="86">
        <f t="shared" ref="I516:P516" si="130">I517</f>
        <v>1398.1</v>
      </c>
      <c r="J516" s="86">
        <f t="shared" si="130"/>
        <v>1200.7</v>
      </c>
      <c r="K516" s="98">
        <f t="shared" si="130"/>
        <v>62</v>
      </c>
      <c r="L516" s="92">
        <f>L517</f>
        <v>728197.07</v>
      </c>
      <c r="M516" s="92">
        <f t="shared" si="130"/>
        <v>0</v>
      </c>
      <c r="N516" s="92">
        <f t="shared" si="130"/>
        <v>260236.27</v>
      </c>
      <c r="O516" s="92">
        <f t="shared" si="130"/>
        <v>467960.8</v>
      </c>
      <c r="P516" s="92">
        <f t="shared" si="130"/>
        <v>0</v>
      </c>
      <c r="Q516" s="93" t="s">
        <v>40</v>
      </c>
      <c r="R516" s="88" t="s">
        <v>40</v>
      </c>
      <c r="S516" s="266">
        <v>43100</v>
      </c>
    </row>
    <row r="517" spans="1:19" s="18" customFormat="1" ht="15.75">
      <c r="A517" s="87">
        <f>A514+1</f>
        <v>1</v>
      </c>
      <c r="B517" s="226" t="s">
        <v>429</v>
      </c>
      <c r="C517" s="97">
        <v>1983</v>
      </c>
      <c r="D517" s="152"/>
      <c r="E517" s="89" t="s">
        <v>219</v>
      </c>
      <c r="F517" s="97">
        <v>3</v>
      </c>
      <c r="G517" s="97">
        <v>3</v>
      </c>
      <c r="H517" s="107">
        <v>1507.8</v>
      </c>
      <c r="I517" s="86">
        <v>1398.1</v>
      </c>
      <c r="J517" s="86">
        <v>1200.7</v>
      </c>
      <c r="K517" s="98">
        <v>62</v>
      </c>
      <c r="L517" s="92">
        <v>728197.07</v>
      </c>
      <c r="M517" s="92">
        <v>0</v>
      </c>
      <c r="N517" s="92">
        <v>260236.27</v>
      </c>
      <c r="O517" s="92">
        <v>467960.8</v>
      </c>
      <c r="P517" s="92">
        <v>0</v>
      </c>
      <c r="Q517" s="86">
        <f>L517/I517</f>
        <v>520.84762892496963</v>
      </c>
      <c r="R517" s="93">
        <v>6774</v>
      </c>
      <c r="S517" s="266">
        <v>43100</v>
      </c>
    </row>
    <row r="518" spans="1:19" s="18" customFormat="1" ht="15.75">
      <c r="A518" s="258"/>
      <c r="B518" s="1114" t="s">
        <v>127</v>
      </c>
      <c r="C518" s="1114"/>
      <c r="D518" s="1114"/>
      <c r="E518" s="1114"/>
      <c r="F518" s="1114"/>
      <c r="G518" s="1114"/>
      <c r="H518" s="296">
        <f t="shared" ref="H518:M518" si="131">H519</f>
        <v>3286.8</v>
      </c>
      <c r="I518" s="298">
        <f t="shared" si="131"/>
        <v>3286.8</v>
      </c>
      <c r="J518" s="298">
        <f t="shared" si="131"/>
        <v>2960.3</v>
      </c>
      <c r="K518" s="297">
        <f t="shared" si="131"/>
        <v>100</v>
      </c>
      <c r="L518" s="264">
        <f t="shared" si="131"/>
        <v>2131086</v>
      </c>
      <c r="M518" s="264">
        <f t="shared" si="131"/>
        <v>0</v>
      </c>
      <c r="N518" s="264">
        <f>N519</f>
        <v>0</v>
      </c>
      <c r="O518" s="264">
        <f>O519</f>
        <v>2131086</v>
      </c>
      <c r="P518" s="264">
        <f>P519</f>
        <v>0</v>
      </c>
      <c r="Q518" s="298" t="s">
        <v>40</v>
      </c>
      <c r="R518" s="260" t="s">
        <v>40</v>
      </c>
      <c r="S518" s="266">
        <v>43100</v>
      </c>
    </row>
    <row r="519" spans="1:19" s="18" customFormat="1" ht="25.9" customHeight="1">
      <c r="A519" s="258">
        <f>A517+1</f>
        <v>2</v>
      </c>
      <c r="B519" s="287" t="s">
        <v>686</v>
      </c>
      <c r="C519" s="258">
        <v>1977</v>
      </c>
      <c r="D519" s="258"/>
      <c r="E519" s="261" t="s">
        <v>219</v>
      </c>
      <c r="F519" s="258">
        <v>5</v>
      </c>
      <c r="G519" s="258">
        <v>4</v>
      </c>
      <c r="H519" s="677">
        <v>3286.8</v>
      </c>
      <c r="I519" s="258">
        <v>3286.8</v>
      </c>
      <c r="J519" s="258">
        <v>2960.3</v>
      </c>
      <c r="K519" s="513">
        <v>100</v>
      </c>
      <c r="L519" s="264">
        <v>2131086</v>
      </c>
      <c r="M519" s="264">
        <v>0</v>
      </c>
      <c r="N519" s="264">
        <v>0</v>
      </c>
      <c r="O519" s="264">
        <f>L519</f>
        <v>2131086</v>
      </c>
      <c r="P519" s="264">
        <v>0</v>
      </c>
      <c r="Q519" s="531">
        <f>L519/I519</f>
        <v>648.37714494340992</v>
      </c>
      <c r="R519" s="265">
        <v>7822</v>
      </c>
      <c r="S519" s="266">
        <v>43100</v>
      </c>
    </row>
    <row r="520" spans="1:19" s="18" customFormat="1" ht="21.75" customHeight="1">
      <c r="A520" s="1080" t="s">
        <v>206</v>
      </c>
      <c r="B520" s="1080"/>
      <c r="C520" s="1080"/>
      <c r="D520" s="1080"/>
      <c r="E520" s="1080"/>
      <c r="F520" s="1080"/>
      <c r="G520" s="1080"/>
      <c r="H520" s="1080"/>
      <c r="I520" s="1080"/>
      <c r="J520" s="1080"/>
      <c r="K520" s="1080"/>
      <c r="L520" s="1080"/>
      <c r="M520" s="1080"/>
      <c r="N520" s="1080"/>
      <c r="O520" s="1080"/>
      <c r="P520" s="1080"/>
      <c r="Q520" s="1080"/>
      <c r="R520" s="1080"/>
      <c r="S520" s="1080"/>
    </row>
    <row r="521" spans="1:19" s="18" customFormat="1" ht="19.5" customHeight="1">
      <c r="A521" s="87"/>
      <c r="B521" s="1079" t="s">
        <v>205</v>
      </c>
      <c r="C521" s="1079"/>
      <c r="D521" s="1079"/>
      <c r="E521" s="1079"/>
      <c r="F521" s="1079"/>
      <c r="G521" s="1079"/>
      <c r="H521" s="151">
        <f>H523+H532</f>
        <v>52786.899999999994</v>
      </c>
      <c r="I521" s="151">
        <f t="shared" ref="I521:P521" si="132">I523+I532</f>
        <v>46873.700000000004</v>
      </c>
      <c r="J521" s="151">
        <f t="shared" si="132"/>
        <v>46061</v>
      </c>
      <c r="K521" s="128">
        <f t="shared" si="132"/>
        <v>1629</v>
      </c>
      <c r="L521" s="92">
        <f t="shared" si="132"/>
        <v>7387178.6400000006</v>
      </c>
      <c r="M521" s="92">
        <f t="shared" si="132"/>
        <v>0</v>
      </c>
      <c r="N521" s="92">
        <f t="shared" si="132"/>
        <v>1365892</v>
      </c>
      <c r="O521" s="92">
        <f t="shared" si="132"/>
        <v>6021286.6400000006</v>
      </c>
      <c r="P521" s="92">
        <f t="shared" si="132"/>
        <v>0</v>
      </c>
      <c r="Q521" s="93" t="s">
        <v>40</v>
      </c>
      <c r="R521" s="88" t="s">
        <v>40</v>
      </c>
      <c r="S521" s="88" t="s">
        <v>40</v>
      </c>
    </row>
    <row r="522" spans="1:19" s="1" customFormat="1" ht="21.75" customHeight="1">
      <c r="A522" s="1080" t="s">
        <v>35</v>
      </c>
      <c r="B522" s="1080"/>
      <c r="C522" s="1080"/>
      <c r="D522" s="1080"/>
      <c r="E522" s="1080"/>
      <c r="F522" s="1080"/>
      <c r="G522" s="1080"/>
      <c r="H522" s="1080"/>
      <c r="I522" s="1080"/>
      <c r="J522" s="1080"/>
      <c r="K522" s="1080"/>
      <c r="L522" s="1080"/>
      <c r="M522" s="1080"/>
      <c r="N522" s="1080"/>
      <c r="O522" s="1080"/>
      <c r="P522" s="1080"/>
      <c r="Q522" s="1080"/>
      <c r="R522" s="1080"/>
      <c r="S522" s="1080"/>
    </row>
    <row r="523" spans="1:19" s="1" customFormat="1" ht="21.75" customHeight="1">
      <c r="A523" s="232"/>
      <c r="B523" s="1079" t="s">
        <v>20</v>
      </c>
      <c r="C523" s="1079"/>
      <c r="D523" s="1079"/>
      <c r="E523" s="1079"/>
      <c r="F523" s="1079"/>
      <c r="G523" s="1079"/>
      <c r="H523" s="90">
        <f t="shared" ref="H523:P523" si="133">H524</f>
        <v>23801.1</v>
      </c>
      <c r="I523" s="90">
        <f t="shared" si="133"/>
        <v>20069.3</v>
      </c>
      <c r="J523" s="90">
        <f t="shared" si="133"/>
        <v>20069.3</v>
      </c>
      <c r="K523" s="91">
        <f t="shared" si="133"/>
        <v>702</v>
      </c>
      <c r="L523" s="92">
        <f t="shared" si="133"/>
        <v>2447351.64</v>
      </c>
      <c r="M523" s="92">
        <f t="shared" si="133"/>
        <v>0</v>
      </c>
      <c r="N523" s="92">
        <f t="shared" si="133"/>
        <v>0</v>
      </c>
      <c r="O523" s="92">
        <f t="shared" si="133"/>
        <v>2447351.64</v>
      </c>
      <c r="P523" s="92">
        <f t="shared" si="133"/>
        <v>0</v>
      </c>
      <c r="Q523" s="93" t="s">
        <v>40</v>
      </c>
      <c r="R523" s="88" t="s">
        <v>40</v>
      </c>
      <c r="S523" s="266">
        <v>43100</v>
      </c>
    </row>
    <row r="524" spans="1:19" s="29" customFormat="1" ht="15.75" customHeight="1">
      <c r="A524" s="79"/>
      <c r="B524" s="1079" t="s">
        <v>53</v>
      </c>
      <c r="C524" s="1079"/>
      <c r="D524" s="1079"/>
      <c r="E524" s="1079"/>
      <c r="F524" s="1079"/>
      <c r="G524" s="1079"/>
      <c r="H524" s="90">
        <f>H525</f>
        <v>23801.1</v>
      </c>
      <c r="I524" s="93">
        <f t="shared" ref="I524:P524" si="134">I525</f>
        <v>20069.3</v>
      </c>
      <c r="J524" s="93">
        <f t="shared" si="134"/>
        <v>20069.3</v>
      </c>
      <c r="K524" s="91">
        <f t="shared" si="134"/>
        <v>702</v>
      </c>
      <c r="L524" s="92">
        <f t="shared" si="134"/>
        <v>2447351.64</v>
      </c>
      <c r="M524" s="92">
        <f t="shared" si="134"/>
        <v>0</v>
      </c>
      <c r="N524" s="92">
        <f t="shared" si="134"/>
        <v>0</v>
      </c>
      <c r="O524" s="92">
        <f t="shared" si="134"/>
        <v>2447351.64</v>
      </c>
      <c r="P524" s="92">
        <f t="shared" si="134"/>
        <v>0</v>
      </c>
      <c r="Q524" s="93" t="s">
        <v>40</v>
      </c>
      <c r="R524" s="88" t="s">
        <v>40</v>
      </c>
      <c r="S524" s="266">
        <v>43100</v>
      </c>
    </row>
    <row r="525" spans="1:19" s="29" customFormat="1" ht="15.75" customHeight="1">
      <c r="A525" s="79"/>
      <c r="B525" s="1079" t="s">
        <v>88</v>
      </c>
      <c r="C525" s="1079"/>
      <c r="D525" s="1079"/>
      <c r="E525" s="1079"/>
      <c r="F525" s="1079"/>
      <c r="G525" s="1079"/>
      <c r="H525" s="90">
        <f t="shared" ref="H525:P525" si="135">SUM(H526:H530)</f>
        <v>23801.1</v>
      </c>
      <c r="I525" s="93">
        <f t="shared" si="135"/>
        <v>20069.3</v>
      </c>
      <c r="J525" s="93">
        <f t="shared" si="135"/>
        <v>20069.3</v>
      </c>
      <c r="K525" s="91">
        <f t="shared" si="135"/>
        <v>702</v>
      </c>
      <c r="L525" s="92">
        <f t="shared" si="135"/>
        <v>2447351.64</v>
      </c>
      <c r="M525" s="92">
        <f t="shared" si="135"/>
        <v>0</v>
      </c>
      <c r="N525" s="92">
        <f t="shared" si="135"/>
        <v>0</v>
      </c>
      <c r="O525" s="92">
        <f t="shared" si="135"/>
        <v>2447351.64</v>
      </c>
      <c r="P525" s="92">
        <f t="shared" si="135"/>
        <v>0</v>
      </c>
      <c r="Q525" s="93" t="s">
        <v>40</v>
      </c>
      <c r="R525" s="88" t="s">
        <v>40</v>
      </c>
      <c r="S525" s="266">
        <v>43100</v>
      </c>
    </row>
    <row r="526" spans="1:19" s="26" customFormat="1" ht="15.75">
      <c r="A526" s="232">
        <f>A519+1</f>
        <v>3</v>
      </c>
      <c r="B526" s="153" t="s">
        <v>359</v>
      </c>
      <c r="C526" s="154">
        <v>1975</v>
      </c>
      <c r="D526" s="108"/>
      <c r="E526" s="89" t="s">
        <v>219</v>
      </c>
      <c r="F526" s="79">
        <v>5</v>
      </c>
      <c r="G526" s="79">
        <v>4</v>
      </c>
      <c r="H526" s="150">
        <f>2075.9+150</f>
        <v>2225.9</v>
      </c>
      <c r="I526" s="80">
        <v>2075.9</v>
      </c>
      <c r="J526" s="80">
        <v>2075.9</v>
      </c>
      <c r="K526" s="81">
        <v>112</v>
      </c>
      <c r="L526" s="92">
        <v>203849</v>
      </c>
      <c r="M526" s="92">
        <v>0</v>
      </c>
      <c r="N526" s="92">
        <v>0</v>
      </c>
      <c r="O526" s="92">
        <f>L526</f>
        <v>203849</v>
      </c>
      <c r="P526" s="92">
        <v>0</v>
      </c>
      <c r="Q526" s="93">
        <f>L526/I526</f>
        <v>98.197890071776087</v>
      </c>
      <c r="R526" s="93">
        <v>6774</v>
      </c>
      <c r="S526" s="266">
        <v>43100</v>
      </c>
    </row>
    <row r="527" spans="1:19" s="26" customFormat="1" ht="15.75">
      <c r="A527" s="232">
        <f>A526+1</f>
        <v>4</v>
      </c>
      <c r="B527" s="153" t="s">
        <v>360</v>
      </c>
      <c r="C527" s="154">
        <v>1991</v>
      </c>
      <c r="D527" s="108"/>
      <c r="E527" s="89" t="s">
        <v>219</v>
      </c>
      <c r="F527" s="79">
        <v>9</v>
      </c>
      <c r="G527" s="79">
        <v>2</v>
      </c>
      <c r="H527" s="150">
        <f>4259.3+1200.8</f>
        <v>5460.1</v>
      </c>
      <c r="I527" s="80">
        <v>4259.3</v>
      </c>
      <c r="J527" s="80">
        <v>4259.3</v>
      </c>
      <c r="K527" s="81">
        <v>132</v>
      </c>
      <c r="L527" s="92">
        <v>489343.64</v>
      </c>
      <c r="M527" s="92">
        <v>0</v>
      </c>
      <c r="N527" s="92">
        <v>0</v>
      </c>
      <c r="O527" s="92">
        <f>L527</f>
        <v>489343.64</v>
      </c>
      <c r="P527" s="92">
        <v>0</v>
      </c>
      <c r="Q527" s="93">
        <f>L527/I527</f>
        <v>114.88827741647688</v>
      </c>
      <c r="R527" s="93">
        <v>6774</v>
      </c>
      <c r="S527" s="266">
        <v>43100</v>
      </c>
    </row>
    <row r="528" spans="1:19" s="26" customFormat="1" ht="15.75">
      <c r="A528" s="232">
        <f>A527+1</f>
        <v>5</v>
      </c>
      <c r="B528" s="153" t="s">
        <v>432</v>
      </c>
      <c r="C528" s="154">
        <v>1978</v>
      </c>
      <c r="D528" s="108"/>
      <c r="E528" s="89" t="s">
        <v>219</v>
      </c>
      <c r="F528" s="79">
        <v>5</v>
      </c>
      <c r="G528" s="79">
        <v>6</v>
      </c>
      <c r="H528" s="150">
        <v>6071.5</v>
      </c>
      <c r="I528" s="80">
        <v>4592.3</v>
      </c>
      <c r="J528" s="80">
        <v>4592.3</v>
      </c>
      <c r="K528" s="81">
        <v>181</v>
      </c>
      <c r="L528" s="92">
        <v>395010</v>
      </c>
      <c r="M528" s="92">
        <v>0</v>
      </c>
      <c r="N528" s="92">
        <v>0</v>
      </c>
      <c r="O528" s="92">
        <f>L528</f>
        <v>395010</v>
      </c>
      <c r="P528" s="92">
        <v>0</v>
      </c>
      <c r="Q528" s="93">
        <f>L528/I528</f>
        <v>86.015721969383534</v>
      </c>
      <c r="R528" s="93">
        <v>6774</v>
      </c>
      <c r="S528" s="266">
        <v>43100</v>
      </c>
    </row>
    <row r="529" spans="1:19" s="26" customFormat="1" ht="15.75">
      <c r="A529" s="232">
        <f>A528+1</f>
        <v>6</v>
      </c>
      <c r="B529" s="153" t="s">
        <v>431</v>
      </c>
      <c r="C529" s="154">
        <v>1980</v>
      </c>
      <c r="D529" s="108"/>
      <c r="E529" s="89" t="s">
        <v>219</v>
      </c>
      <c r="F529" s="79">
        <v>5</v>
      </c>
      <c r="G529" s="79">
        <v>6</v>
      </c>
      <c r="H529" s="150">
        <f>493.2+4644.3</f>
        <v>5137.5</v>
      </c>
      <c r="I529" s="80">
        <v>4644.3</v>
      </c>
      <c r="J529" s="80">
        <v>4644.3</v>
      </c>
      <c r="K529" s="81">
        <v>177</v>
      </c>
      <c r="L529" s="92">
        <v>285326</v>
      </c>
      <c r="M529" s="92">
        <v>0</v>
      </c>
      <c r="N529" s="92">
        <v>0</v>
      </c>
      <c r="O529" s="92">
        <f>L529</f>
        <v>285326</v>
      </c>
      <c r="P529" s="92">
        <v>0</v>
      </c>
      <c r="Q529" s="93">
        <f>L529/I529</f>
        <v>61.435738432056496</v>
      </c>
      <c r="R529" s="93">
        <v>6774</v>
      </c>
      <c r="S529" s="266">
        <v>43100</v>
      </c>
    </row>
    <row r="530" spans="1:19" s="26" customFormat="1" ht="31.5">
      <c r="A530" s="232">
        <f>A529+1</f>
        <v>7</v>
      </c>
      <c r="B530" s="153" t="s">
        <v>358</v>
      </c>
      <c r="C530" s="154">
        <v>1973</v>
      </c>
      <c r="D530" s="108"/>
      <c r="E530" s="89" t="s">
        <v>218</v>
      </c>
      <c r="F530" s="79">
        <v>5</v>
      </c>
      <c r="G530" s="79">
        <v>6</v>
      </c>
      <c r="H530" s="150">
        <v>4906.1000000000004</v>
      </c>
      <c r="I530" s="80">
        <v>4497.5</v>
      </c>
      <c r="J530" s="80">
        <v>4497.5</v>
      </c>
      <c r="K530" s="81">
        <v>100</v>
      </c>
      <c r="L530" s="92">
        <v>1073823</v>
      </c>
      <c r="M530" s="92">
        <v>0</v>
      </c>
      <c r="N530" s="92">
        <v>0</v>
      </c>
      <c r="O530" s="92">
        <f>L530</f>
        <v>1073823</v>
      </c>
      <c r="P530" s="92">
        <v>0</v>
      </c>
      <c r="Q530" s="93">
        <f>L530/I530</f>
        <v>238.75997776542525</v>
      </c>
      <c r="R530" s="93">
        <v>6774</v>
      </c>
      <c r="S530" s="266">
        <v>43100</v>
      </c>
    </row>
    <row r="531" spans="1:19" s="1" customFormat="1" ht="34.5" customHeight="1">
      <c r="A531" s="1080" t="s">
        <v>37</v>
      </c>
      <c r="B531" s="1080"/>
      <c r="C531" s="1080"/>
      <c r="D531" s="1080"/>
      <c r="E531" s="1080"/>
      <c r="F531" s="1080"/>
      <c r="G531" s="1080"/>
      <c r="H531" s="1080"/>
      <c r="I531" s="1080"/>
      <c r="J531" s="1080"/>
      <c r="K531" s="1080"/>
      <c r="L531" s="1080"/>
      <c r="M531" s="1080"/>
      <c r="N531" s="1080"/>
      <c r="O531" s="1080"/>
      <c r="P531" s="1080"/>
      <c r="Q531" s="1080"/>
      <c r="R531" s="1080"/>
      <c r="S531" s="1080"/>
    </row>
    <row r="532" spans="1:19" s="1" customFormat="1" ht="15.75">
      <c r="A532" s="232"/>
      <c r="B532" s="1079" t="s">
        <v>20</v>
      </c>
      <c r="C532" s="1079"/>
      <c r="D532" s="1079"/>
      <c r="E532" s="1079"/>
      <c r="F532" s="1079"/>
      <c r="G532" s="1079"/>
      <c r="H532" s="90">
        <f t="shared" ref="H532:P532" si="136">H533+H536</f>
        <v>28985.8</v>
      </c>
      <c r="I532" s="90">
        <f t="shared" si="136"/>
        <v>26804.400000000005</v>
      </c>
      <c r="J532" s="90">
        <f t="shared" si="136"/>
        <v>25991.700000000004</v>
      </c>
      <c r="K532" s="91">
        <f t="shared" si="136"/>
        <v>927</v>
      </c>
      <c r="L532" s="92">
        <f t="shared" si="136"/>
        <v>4939827</v>
      </c>
      <c r="M532" s="92">
        <f t="shared" si="136"/>
        <v>0</v>
      </c>
      <c r="N532" s="92">
        <f t="shared" si="136"/>
        <v>1365892</v>
      </c>
      <c r="O532" s="92">
        <f t="shared" si="136"/>
        <v>3573935</v>
      </c>
      <c r="P532" s="92">
        <f t="shared" si="136"/>
        <v>0</v>
      </c>
      <c r="Q532" s="93" t="s">
        <v>40</v>
      </c>
      <c r="R532" s="88" t="s">
        <v>40</v>
      </c>
      <c r="S532" s="88" t="s">
        <v>40</v>
      </c>
    </row>
    <row r="533" spans="1:19" s="1" customFormat="1" ht="15.75" customHeight="1">
      <c r="A533" s="232"/>
      <c r="B533" s="1102" t="s">
        <v>58</v>
      </c>
      <c r="C533" s="1102"/>
      <c r="D533" s="1102"/>
      <c r="E533" s="1102"/>
      <c r="F533" s="1102"/>
      <c r="G533" s="1102"/>
      <c r="H533" s="106">
        <f>H534</f>
        <v>2121.5</v>
      </c>
      <c r="I533" s="84">
        <f t="shared" ref="I533:P533" si="137">I534</f>
        <v>1804.4</v>
      </c>
      <c r="J533" s="84">
        <f t="shared" si="137"/>
        <v>1335</v>
      </c>
      <c r="K533" s="85">
        <f t="shared" si="137"/>
        <v>48</v>
      </c>
      <c r="L533" s="92">
        <f t="shared" si="137"/>
        <v>215709</v>
      </c>
      <c r="M533" s="92">
        <f t="shared" si="137"/>
        <v>0</v>
      </c>
      <c r="N533" s="92">
        <f t="shared" si="137"/>
        <v>0</v>
      </c>
      <c r="O533" s="92">
        <f t="shared" si="137"/>
        <v>215709</v>
      </c>
      <c r="P533" s="92">
        <f t="shared" si="137"/>
        <v>0</v>
      </c>
      <c r="Q533" s="84" t="str">
        <f>Q534</f>
        <v>Х</v>
      </c>
      <c r="R533" s="84" t="str">
        <f>R534</f>
        <v>Х</v>
      </c>
      <c r="S533" s="84">
        <f>S534</f>
        <v>43100</v>
      </c>
    </row>
    <row r="534" spans="1:19" s="1" customFormat="1" ht="15.75" customHeight="1">
      <c r="A534" s="232"/>
      <c r="B534" s="1102" t="s">
        <v>87</v>
      </c>
      <c r="C534" s="1102"/>
      <c r="D534" s="1102"/>
      <c r="E534" s="1102"/>
      <c r="F534" s="1102"/>
      <c r="G534" s="1102"/>
      <c r="H534" s="106">
        <f>H535</f>
        <v>2121.5</v>
      </c>
      <c r="I534" s="84">
        <f t="shared" ref="I534:N534" si="138">I535</f>
        <v>1804.4</v>
      </c>
      <c r="J534" s="84">
        <f t="shared" si="138"/>
        <v>1335</v>
      </c>
      <c r="K534" s="85">
        <f t="shared" si="138"/>
        <v>48</v>
      </c>
      <c r="L534" s="92">
        <f>L535</f>
        <v>215709</v>
      </c>
      <c r="M534" s="92">
        <f t="shared" si="138"/>
        <v>0</v>
      </c>
      <c r="N534" s="92">
        <f t="shared" si="138"/>
        <v>0</v>
      </c>
      <c r="O534" s="92">
        <f>L534</f>
        <v>215709</v>
      </c>
      <c r="P534" s="92">
        <v>0</v>
      </c>
      <c r="Q534" s="84" t="s">
        <v>40</v>
      </c>
      <c r="R534" s="232" t="s">
        <v>40</v>
      </c>
      <c r="S534" s="266">
        <v>43100</v>
      </c>
    </row>
    <row r="535" spans="1:19" s="1" customFormat="1" ht="31.5">
      <c r="A535" s="232">
        <f>A530+1</f>
        <v>8</v>
      </c>
      <c r="B535" s="227" t="s">
        <v>433</v>
      </c>
      <c r="C535" s="79">
        <v>1959</v>
      </c>
      <c r="D535" s="89"/>
      <c r="E535" s="89" t="s">
        <v>218</v>
      </c>
      <c r="F535" s="155" t="s">
        <v>73</v>
      </c>
      <c r="G535" s="155" t="s">
        <v>74</v>
      </c>
      <c r="H535" s="150">
        <v>2121.5</v>
      </c>
      <c r="I535" s="80">
        <v>1804.4</v>
      </c>
      <c r="J535" s="80">
        <f>1379-44</f>
        <v>1335</v>
      </c>
      <c r="K535" s="81">
        <v>48</v>
      </c>
      <c r="L535" s="92">
        <v>215709</v>
      </c>
      <c r="M535" s="92">
        <v>0</v>
      </c>
      <c r="N535" s="92">
        <v>0</v>
      </c>
      <c r="O535" s="92">
        <f>L535</f>
        <v>215709</v>
      </c>
      <c r="P535" s="92">
        <v>0</v>
      </c>
      <c r="Q535" s="80">
        <f>L535/I535</f>
        <v>119.54610951008645</v>
      </c>
      <c r="R535" s="93">
        <v>6774</v>
      </c>
      <c r="S535" s="266">
        <v>43100</v>
      </c>
    </row>
    <row r="536" spans="1:19" s="1" customFormat="1" ht="33" customHeight="1">
      <c r="A536" s="334"/>
      <c r="B536" s="1092" t="s">
        <v>59</v>
      </c>
      <c r="C536" s="1092"/>
      <c r="D536" s="1092"/>
      <c r="E536" s="1092"/>
      <c r="F536" s="1092"/>
      <c r="G536" s="1092"/>
      <c r="H536" s="335">
        <f>H537+H545</f>
        <v>26864.3</v>
      </c>
      <c r="I536" s="335">
        <f t="shared" ref="I536:P536" si="139">I537+I545</f>
        <v>25000.000000000004</v>
      </c>
      <c r="J536" s="335">
        <f t="shared" si="139"/>
        <v>24656.700000000004</v>
      </c>
      <c r="K536" s="335">
        <f t="shared" si="139"/>
        <v>879</v>
      </c>
      <c r="L536" s="706">
        <f t="shared" si="139"/>
        <v>4724118</v>
      </c>
      <c r="M536" s="706">
        <f t="shared" si="139"/>
        <v>0</v>
      </c>
      <c r="N536" s="706">
        <f t="shared" si="139"/>
        <v>1365892</v>
      </c>
      <c r="O536" s="706">
        <f t="shared" si="139"/>
        <v>3358226</v>
      </c>
      <c r="P536" s="706">
        <f t="shared" si="139"/>
        <v>0</v>
      </c>
      <c r="Q536" s="338" t="str">
        <f>Q537</f>
        <v>Х</v>
      </c>
      <c r="R536" s="338" t="str">
        <f>R537</f>
        <v>Х</v>
      </c>
      <c r="S536" s="266">
        <v>43100</v>
      </c>
    </row>
    <row r="537" spans="1:19" s="1" customFormat="1" ht="31.9" customHeight="1">
      <c r="A537" s="258"/>
      <c r="B537" s="1088" t="s">
        <v>86</v>
      </c>
      <c r="C537" s="1088"/>
      <c r="D537" s="1088"/>
      <c r="E537" s="1088"/>
      <c r="F537" s="1088"/>
      <c r="G537" s="1088"/>
      <c r="H537" s="338">
        <f>SUM(H538:H544)</f>
        <v>4504.3</v>
      </c>
      <c r="I537" s="338">
        <f t="shared" ref="I537:P537" si="140">SUM(I538:I544)</f>
        <v>4381.0999999999995</v>
      </c>
      <c r="J537" s="338">
        <f t="shared" si="140"/>
        <v>4294.7999999999993</v>
      </c>
      <c r="K537" s="338">
        <f t="shared" si="140"/>
        <v>203</v>
      </c>
      <c r="L537" s="706">
        <f t="shared" si="140"/>
        <v>1839043</v>
      </c>
      <c r="M537" s="706">
        <f t="shared" si="140"/>
        <v>0</v>
      </c>
      <c r="N537" s="706">
        <f t="shared" si="140"/>
        <v>505745</v>
      </c>
      <c r="O537" s="706">
        <f t="shared" si="140"/>
        <v>1333298</v>
      </c>
      <c r="P537" s="706">
        <f t="shared" si="140"/>
        <v>0</v>
      </c>
      <c r="Q537" s="338" t="s">
        <v>40</v>
      </c>
      <c r="R537" s="334" t="s">
        <v>40</v>
      </c>
      <c r="S537" s="266">
        <v>43100</v>
      </c>
    </row>
    <row r="538" spans="1:19" s="1" customFormat="1" ht="31.5">
      <c r="A538" s="334">
        <v>1</v>
      </c>
      <c r="B538" s="259" t="s">
        <v>361</v>
      </c>
      <c r="C538" s="334">
        <v>1973</v>
      </c>
      <c r="D538" s="334"/>
      <c r="E538" s="261" t="s">
        <v>218</v>
      </c>
      <c r="F538" s="334">
        <v>2</v>
      </c>
      <c r="G538" s="334">
        <v>2</v>
      </c>
      <c r="H538" s="338">
        <v>524.29999999999995</v>
      </c>
      <c r="I538" s="338">
        <v>506.7</v>
      </c>
      <c r="J538" s="338">
        <v>506.7</v>
      </c>
      <c r="K538" s="334">
        <v>21</v>
      </c>
      <c r="L538" s="264">
        <v>392000</v>
      </c>
      <c r="M538" s="264">
        <v>0</v>
      </c>
      <c r="N538" s="264">
        <v>117600</v>
      </c>
      <c r="O538" s="264">
        <v>274400</v>
      </c>
      <c r="P538" s="264">
        <v>0</v>
      </c>
      <c r="Q538" s="338">
        <f>L538/I538</f>
        <v>773.63331359778965</v>
      </c>
      <c r="R538" s="265">
        <v>7822</v>
      </c>
      <c r="S538" s="266">
        <v>43100</v>
      </c>
    </row>
    <row r="539" spans="1:19" s="1" customFormat="1" ht="31.5">
      <c r="A539" s="334">
        <f>A538+1</f>
        <v>2</v>
      </c>
      <c r="B539" s="259" t="s">
        <v>434</v>
      </c>
      <c r="C539" s="334">
        <v>1992</v>
      </c>
      <c r="D539" s="334"/>
      <c r="E539" s="261" t="s">
        <v>218</v>
      </c>
      <c r="F539" s="334">
        <v>2</v>
      </c>
      <c r="G539" s="334">
        <v>2</v>
      </c>
      <c r="H539" s="338">
        <v>575.70000000000005</v>
      </c>
      <c r="I539" s="338">
        <v>558.1</v>
      </c>
      <c r="J539" s="338">
        <v>558.1</v>
      </c>
      <c r="K539" s="334">
        <v>25</v>
      </c>
      <c r="L539" s="264">
        <v>340900</v>
      </c>
      <c r="M539" s="264">
        <v>0</v>
      </c>
      <c r="N539" s="264">
        <v>102270</v>
      </c>
      <c r="O539" s="264">
        <v>238630</v>
      </c>
      <c r="P539" s="264">
        <v>0</v>
      </c>
      <c r="Q539" s="338">
        <f t="shared" ref="Q539:Q544" si="141">L539/I539</f>
        <v>610.82243325568891</v>
      </c>
      <c r="R539" s="265">
        <v>7822</v>
      </c>
      <c r="S539" s="266">
        <v>43100</v>
      </c>
    </row>
    <row r="540" spans="1:19" s="1" customFormat="1" ht="34.15" customHeight="1">
      <c r="A540" s="334">
        <f t="shared" ref="A540:A580" si="142">A539+1</f>
        <v>3</v>
      </c>
      <c r="B540" s="259" t="s">
        <v>362</v>
      </c>
      <c r="C540" s="334">
        <v>1974</v>
      </c>
      <c r="D540" s="334"/>
      <c r="E540" s="261" t="s">
        <v>219</v>
      </c>
      <c r="F540" s="334">
        <v>2</v>
      </c>
      <c r="G540" s="334">
        <v>2</v>
      </c>
      <c r="H540" s="338">
        <v>753.3</v>
      </c>
      <c r="I540" s="338">
        <v>735.7</v>
      </c>
      <c r="J540" s="338">
        <v>735.7</v>
      </c>
      <c r="K540" s="334">
        <v>26</v>
      </c>
      <c r="L540" s="264">
        <v>399000</v>
      </c>
      <c r="M540" s="264">
        <v>0</v>
      </c>
      <c r="N540" s="264">
        <v>119700</v>
      </c>
      <c r="O540" s="264">
        <v>279300</v>
      </c>
      <c r="P540" s="264">
        <v>0</v>
      </c>
      <c r="Q540" s="338">
        <f t="shared" si="141"/>
        <v>542.34062797335866</v>
      </c>
      <c r="R540" s="265">
        <v>7822</v>
      </c>
      <c r="S540" s="266">
        <v>43100</v>
      </c>
    </row>
    <row r="541" spans="1:19" s="1" customFormat="1" ht="31.5">
      <c r="A541" s="334">
        <f t="shared" si="142"/>
        <v>4</v>
      </c>
      <c r="B541" s="259" t="s">
        <v>363</v>
      </c>
      <c r="C541" s="334">
        <v>1976</v>
      </c>
      <c r="D541" s="334"/>
      <c r="E541" s="261" t="s">
        <v>218</v>
      </c>
      <c r="F541" s="334">
        <v>2</v>
      </c>
      <c r="G541" s="334">
        <v>2</v>
      </c>
      <c r="H541" s="338">
        <v>789.3</v>
      </c>
      <c r="I541" s="338">
        <v>771.7</v>
      </c>
      <c r="J541" s="338">
        <v>771.7</v>
      </c>
      <c r="K541" s="334">
        <v>41</v>
      </c>
      <c r="L541" s="264">
        <v>216335</v>
      </c>
      <c r="M541" s="264">
        <v>0</v>
      </c>
      <c r="N541" s="264">
        <v>43267</v>
      </c>
      <c r="O541" s="264">
        <v>173068</v>
      </c>
      <c r="P541" s="264">
        <v>0</v>
      </c>
      <c r="Q541" s="338">
        <f t="shared" si="141"/>
        <v>280.33562265128933</v>
      </c>
      <c r="R541" s="265">
        <v>7822</v>
      </c>
      <c r="S541" s="266">
        <v>43100</v>
      </c>
    </row>
    <row r="542" spans="1:19" s="1" customFormat="1" ht="31.5">
      <c r="A542" s="334">
        <f t="shared" si="142"/>
        <v>5</v>
      </c>
      <c r="B542" s="259" t="s">
        <v>364</v>
      </c>
      <c r="C542" s="334">
        <v>1967</v>
      </c>
      <c r="D542" s="334"/>
      <c r="E542" s="261" t="s">
        <v>218</v>
      </c>
      <c r="F542" s="334">
        <v>2</v>
      </c>
      <c r="G542" s="334">
        <v>1</v>
      </c>
      <c r="H542" s="338">
        <v>310.8</v>
      </c>
      <c r="I542" s="338">
        <v>302</v>
      </c>
      <c r="J542" s="338">
        <v>271.60000000000002</v>
      </c>
      <c r="K542" s="334">
        <v>21</v>
      </c>
      <c r="L542" s="264">
        <v>243345</v>
      </c>
      <c r="M542" s="264">
        <v>0</v>
      </c>
      <c r="N542" s="264">
        <v>48669</v>
      </c>
      <c r="O542" s="264">
        <v>194676</v>
      </c>
      <c r="P542" s="264">
        <v>0</v>
      </c>
      <c r="Q542" s="338">
        <f t="shared" si="141"/>
        <v>805.77814569536429</v>
      </c>
      <c r="R542" s="265">
        <v>7822</v>
      </c>
      <c r="S542" s="266">
        <v>43100</v>
      </c>
    </row>
    <row r="543" spans="1:19" s="1" customFormat="1" ht="31.5">
      <c r="A543" s="334">
        <f t="shared" si="142"/>
        <v>6</v>
      </c>
      <c r="B543" s="259" t="s">
        <v>365</v>
      </c>
      <c r="C543" s="334">
        <v>1968</v>
      </c>
      <c r="D543" s="334"/>
      <c r="E543" s="261" t="s">
        <v>218</v>
      </c>
      <c r="F543" s="334" t="s">
        <v>70</v>
      </c>
      <c r="G543" s="334">
        <v>2</v>
      </c>
      <c r="H543" s="338">
        <v>538.20000000000005</v>
      </c>
      <c r="I543" s="338">
        <v>520.6</v>
      </c>
      <c r="J543" s="338">
        <v>464.7</v>
      </c>
      <c r="K543" s="334">
        <v>24</v>
      </c>
      <c r="L543" s="264">
        <v>139342</v>
      </c>
      <c r="M543" s="264">
        <v>0</v>
      </c>
      <c r="N543" s="264">
        <v>41803</v>
      </c>
      <c r="O543" s="264">
        <v>97539</v>
      </c>
      <c r="P543" s="264">
        <v>0</v>
      </c>
      <c r="Q543" s="338">
        <f t="shared" si="141"/>
        <v>267.65655013446025</v>
      </c>
      <c r="R543" s="265">
        <v>7822</v>
      </c>
      <c r="S543" s="266">
        <v>43100</v>
      </c>
    </row>
    <row r="544" spans="1:19" s="1" customFormat="1" ht="31.5">
      <c r="A544" s="334">
        <f t="shared" si="142"/>
        <v>7</v>
      </c>
      <c r="B544" s="259" t="s">
        <v>366</v>
      </c>
      <c r="C544" s="334">
        <v>1978</v>
      </c>
      <c r="D544" s="334"/>
      <c r="E544" s="261" t="s">
        <v>218</v>
      </c>
      <c r="F544" s="334">
        <v>2</v>
      </c>
      <c r="G544" s="334">
        <v>3</v>
      </c>
      <c r="H544" s="338">
        <v>1012.7</v>
      </c>
      <c r="I544" s="338">
        <v>986.3</v>
      </c>
      <c r="J544" s="338">
        <v>986.3</v>
      </c>
      <c r="K544" s="334">
        <v>45</v>
      </c>
      <c r="L544" s="264">
        <v>108121</v>
      </c>
      <c r="M544" s="264">
        <v>0</v>
      </c>
      <c r="N544" s="264">
        <v>32436</v>
      </c>
      <c r="O544" s="264">
        <v>75685</v>
      </c>
      <c r="P544" s="264">
        <v>0</v>
      </c>
      <c r="Q544" s="338">
        <f t="shared" si="141"/>
        <v>109.62283280949002</v>
      </c>
      <c r="R544" s="265">
        <v>7822</v>
      </c>
      <c r="S544" s="266">
        <v>43100</v>
      </c>
    </row>
    <row r="545" spans="1:19" s="1" customFormat="1" ht="28.15" customHeight="1">
      <c r="A545" s="334"/>
      <c r="B545" s="1088" t="s">
        <v>85</v>
      </c>
      <c r="C545" s="1088"/>
      <c r="D545" s="1088"/>
      <c r="E545" s="1088"/>
      <c r="F545" s="1088"/>
      <c r="G545" s="1088"/>
      <c r="H545" s="262">
        <f>SUM(H546:H580)</f>
        <v>22360</v>
      </c>
      <c r="I545" s="262">
        <f t="shared" ref="I545:P545" si="143">SUM(I546:I580)</f>
        <v>20618.900000000005</v>
      </c>
      <c r="J545" s="262">
        <f t="shared" si="143"/>
        <v>20361.900000000005</v>
      </c>
      <c r="K545" s="262">
        <f t="shared" si="143"/>
        <v>676</v>
      </c>
      <c r="L545" s="628">
        <f t="shared" si="143"/>
        <v>2885075</v>
      </c>
      <c r="M545" s="628">
        <f t="shared" si="143"/>
        <v>0</v>
      </c>
      <c r="N545" s="628">
        <f t="shared" si="143"/>
        <v>860147</v>
      </c>
      <c r="O545" s="628">
        <f t="shared" si="143"/>
        <v>2024928</v>
      </c>
      <c r="P545" s="628">
        <f t="shared" si="143"/>
        <v>0</v>
      </c>
      <c r="Q545" s="265" t="s">
        <v>40</v>
      </c>
      <c r="R545" s="260" t="s">
        <v>40</v>
      </c>
      <c r="S545" s="266">
        <v>43100</v>
      </c>
    </row>
    <row r="546" spans="1:19" s="1" customFormat="1" ht="46.9" customHeight="1">
      <c r="A546" s="334">
        <v>8</v>
      </c>
      <c r="B546" s="259" t="s">
        <v>890</v>
      </c>
      <c r="C546" s="334">
        <v>1981</v>
      </c>
      <c r="D546" s="334"/>
      <c r="E546" s="261" t="s">
        <v>218</v>
      </c>
      <c r="F546" s="334">
        <v>2</v>
      </c>
      <c r="G546" s="334">
        <v>1</v>
      </c>
      <c r="H546" s="338">
        <v>371.8</v>
      </c>
      <c r="I546" s="338">
        <v>346</v>
      </c>
      <c r="J546" s="338">
        <v>346</v>
      </c>
      <c r="K546" s="334">
        <v>11</v>
      </c>
      <c r="L546" s="264">
        <f>N546+O546</f>
        <v>25264</v>
      </c>
      <c r="M546" s="264">
        <v>0</v>
      </c>
      <c r="N546" s="264">
        <v>7579</v>
      </c>
      <c r="O546" s="264">
        <v>17685</v>
      </c>
      <c r="P546" s="264">
        <v>0</v>
      </c>
      <c r="Q546" s="338">
        <f>L546/I546</f>
        <v>73.017341040462426</v>
      </c>
      <c r="R546" s="265">
        <v>7822</v>
      </c>
      <c r="S546" s="266">
        <v>43100</v>
      </c>
    </row>
    <row r="547" spans="1:19" s="1" customFormat="1" ht="43.9" customHeight="1">
      <c r="A547" s="334">
        <f t="shared" si="142"/>
        <v>9</v>
      </c>
      <c r="B547" s="259" t="s">
        <v>891</v>
      </c>
      <c r="C547" s="334">
        <v>1981</v>
      </c>
      <c r="D547" s="334"/>
      <c r="E547" s="261" t="s">
        <v>218</v>
      </c>
      <c r="F547" s="334" t="s">
        <v>71</v>
      </c>
      <c r="G547" s="334">
        <v>1</v>
      </c>
      <c r="H547" s="338">
        <v>384.5</v>
      </c>
      <c r="I547" s="338">
        <v>361.4</v>
      </c>
      <c r="J547" s="338">
        <v>361.4</v>
      </c>
      <c r="K547" s="334">
        <v>9</v>
      </c>
      <c r="L547" s="264">
        <f t="shared" ref="L547:L580" si="144">N547+O547</f>
        <v>25312</v>
      </c>
      <c r="M547" s="264">
        <v>0</v>
      </c>
      <c r="N547" s="264">
        <v>7593</v>
      </c>
      <c r="O547" s="264">
        <v>17719</v>
      </c>
      <c r="P547" s="264">
        <v>0</v>
      </c>
      <c r="Q547" s="338">
        <f t="shared" ref="Q547:Q580" si="145">L547/I547</f>
        <v>70.038738240177096</v>
      </c>
      <c r="R547" s="265">
        <v>7822</v>
      </c>
      <c r="S547" s="266">
        <v>43100</v>
      </c>
    </row>
    <row r="548" spans="1:19" s="1" customFormat="1" ht="31.5">
      <c r="A548" s="334">
        <f t="shared" si="142"/>
        <v>10</v>
      </c>
      <c r="B548" s="259" t="s">
        <v>892</v>
      </c>
      <c r="C548" s="334">
        <v>1982</v>
      </c>
      <c r="D548" s="334"/>
      <c r="E548" s="261" t="s">
        <v>218</v>
      </c>
      <c r="F548" s="334">
        <v>2</v>
      </c>
      <c r="G548" s="334">
        <v>1</v>
      </c>
      <c r="H548" s="338">
        <v>381.1</v>
      </c>
      <c r="I548" s="338">
        <v>356.8</v>
      </c>
      <c r="J548" s="338">
        <v>356.8</v>
      </c>
      <c r="K548" s="334">
        <v>12</v>
      </c>
      <c r="L548" s="264">
        <f t="shared" si="144"/>
        <v>25264</v>
      </c>
      <c r="M548" s="264">
        <v>0</v>
      </c>
      <c r="N548" s="264">
        <v>7579</v>
      </c>
      <c r="O548" s="264">
        <v>17685</v>
      </c>
      <c r="P548" s="264">
        <v>0</v>
      </c>
      <c r="Q548" s="338">
        <f t="shared" si="145"/>
        <v>70.807174887892373</v>
      </c>
      <c r="R548" s="265">
        <v>7822</v>
      </c>
      <c r="S548" s="266">
        <v>43100</v>
      </c>
    </row>
    <row r="549" spans="1:19" s="1" customFormat="1" ht="31.5">
      <c r="A549" s="334">
        <f t="shared" si="142"/>
        <v>11</v>
      </c>
      <c r="B549" s="259" t="s">
        <v>893</v>
      </c>
      <c r="C549" s="334">
        <v>1992</v>
      </c>
      <c r="D549" s="334"/>
      <c r="E549" s="261" t="s">
        <v>218</v>
      </c>
      <c r="F549" s="334">
        <v>2</v>
      </c>
      <c r="G549" s="334">
        <v>2</v>
      </c>
      <c r="H549" s="338">
        <v>723.9</v>
      </c>
      <c r="I549" s="338">
        <v>648.20000000000005</v>
      </c>
      <c r="J549" s="338">
        <v>648.20000000000005</v>
      </c>
      <c r="K549" s="334">
        <v>20</v>
      </c>
      <c r="L549" s="264">
        <f t="shared" si="144"/>
        <v>284600</v>
      </c>
      <c r="M549" s="264">
        <v>0</v>
      </c>
      <c r="N549" s="264">
        <v>85380</v>
      </c>
      <c r="O549" s="264">
        <v>199220</v>
      </c>
      <c r="P549" s="264">
        <v>0</v>
      </c>
      <c r="Q549" s="338">
        <f t="shared" si="145"/>
        <v>439.06201789571116</v>
      </c>
      <c r="R549" s="265">
        <v>7822</v>
      </c>
      <c r="S549" s="266">
        <v>43100</v>
      </c>
    </row>
    <row r="550" spans="1:19" s="1" customFormat="1" ht="31.5">
      <c r="A550" s="334">
        <f t="shared" si="142"/>
        <v>12</v>
      </c>
      <c r="B550" s="259" t="s">
        <v>894</v>
      </c>
      <c r="C550" s="334">
        <v>1984</v>
      </c>
      <c r="D550" s="334"/>
      <c r="E550" s="261" t="s">
        <v>218</v>
      </c>
      <c r="F550" s="334">
        <v>2</v>
      </c>
      <c r="G550" s="334">
        <v>1</v>
      </c>
      <c r="H550" s="338">
        <v>380.9</v>
      </c>
      <c r="I550" s="338">
        <v>356.2</v>
      </c>
      <c r="J550" s="338">
        <v>313.3</v>
      </c>
      <c r="K550" s="334">
        <v>11</v>
      </c>
      <c r="L550" s="264">
        <f t="shared" si="144"/>
        <v>25505</v>
      </c>
      <c r="M550" s="264">
        <v>0</v>
      </c>
      <c r="N550" s="264">
        <v>7651</v>
      </c>
      <c r="O550" s="264">
        <v>17854</v>
      </c>
      <c r="P550" s="264">
        <v>0</v>
      </c>
      <c r="Q550" s="338">
        <f t="shared" si="145"/>
        <v>71.603032004491865</v>
      </c>
      <c r="R550" s="265">
        <v>7822</v>
      </c>
      <c r="S550" s="266">
        <v>43100</v>
      </c>
    </row>
    <row r="551" spans="1:19" s="1" customFormat="1" ht="31.5">
      <c r="A551" s="334">
        <f t="shared" si="142"/>
        <v>13</v>
      </c>
      <c r="B551" s="259" t="s">
        <v>895</v>
      </c>
      <c r="C551" s="334">
        <v>1985</v>
      </c>
      <c r="D551" s="334"/>
      <c r="E551" s="261" t="s">
        <v>218</v>
      </c>
      <c r="F551" s="334">
        <v>2</v>
      </c>
      <c r="G551" s="334">
        <v>1</v>
      </c>
      <c r="H551" s="338">
        <v>397.7</v>
      </c>
      <c r="I551" s="338">
        <v>371.1</v>
      </c>
      <c r="J551" s="338">
        <v>371.1</v>
      </c>
      <c r="K551" s="334">
        <v>10</v>
      </c>
      <c r="L551" s="264">
        <v>25168</v>
      </c>
      <c r="M551" s="264">
        <v>0</v>
      </c>
      <c r="N551" s="264">
        <v>7550</v>
      </c>
      <c r="O551" s="264">
        <v>17618</v>
      </c>
      <c r="P551" s="264">
        <v>0</v>
      </c>
      <c r="Q551" s="338">
        <f t="shared" si="145"/>
        <v>67.819994610617087</v>
      </c>
      <c r="R551" s="265">
        <v>7822</v>
      </c>
      <c r="S551" s="266">
        <v>43100</v>
      </c>
    </row>
    <row r="552" spans="1:19" s="1" customFormat="1" ht="39.6" customHeight="1">
      <c r="A552" s="334">
        <f t="shared" si="142"/>
        <v>14</v>
      </c>
      <c r="B552" s="259" t="s">
        <v>896</v>
      </c>
      <c r="C552" s="334">
        <v>1993</v>
      </c>
      <c r="D552" s="334"/>
      <c r="E552" s="261" t="s">
        <v>218</v>
      </c>
      <c r="F552" s="334">
        <v>2</v>
      </c>
      <c r="G552" s="334">
        <v>2</v>
      </c>
      <c r="H552" s="338">
        <v>642</v>
      </c>
      <c r="I552" s="338">
        <v>605.29999999999995</v>
      </c>
      <c r="J552" s="338">
        <v>605.29999999999995</v>
      </c>
      <c r="K552" s="334">
        <v>19</v>
      </c>
      <c r="L552" s="264">
        <f t="shared" si="144"/>
        <v>299445</v>
      </c>
      <c r="M552" s="264">
        <v>0</v>
      </c>
      <c r="N552" s="264">
        <v>89834</v>
      </c>
      <c r="O552" s="264">
        <v>209611</v>
      </c>
      <c r="P552" s="264">
        <v>0</v>
      </c>
      <c r="Q552" s="338">
        <f t="shared" si="145"/>
        <v>494.70510490665788</v>
      </c>
      <c r="R552" s="265">
        <v>7822</v>
      </c>
      <c r="S552" s="266">
        <v>43100</v>
      </c>
    </row>
    <row r="553" spans="1:19" s="1" customFormat="1" ht="38.450000000000003" customHeight="1">
      <c r="A553" s="334">
        <f t="shared" si="142"/>
        <v>15</v>
      </c>
      <c r="B553" s="259" t="s">
        <v>897</v>
      </c>
      <c r="C553" s="334">
        <v>1984</v>
      </c>
      <c r="D553" s="334"/>
      <c r="E553" s="261" t="s">
        <v>218</v>
      </c>
      <c r="F553" s="334">
        <v>2</v>
      </c>
      <c r="G553" s="334">
        <v>1</v>
      </c>
      <c r="H553" s="338">
        <v>387.4</v>
      </c>
      <c r="I553" s="338">
        <v>362.2</v>
      </c>
      <c r="J553" s="338">
        <v>362.2</v>
      </c>
      <c r="K553" s="334">
        <v>8</v>
      </c>
      <c r="L553" s="264">
        <f t="shared" si="144"/>
        <v>32502</v>
      </c>
      <c r="M553" s="264">
        <v>0</v>
      </c>
      <c r="N553" s="264">
        <v>9751</v>
      </c>
      <c r="O553" s="264">
        <v>22751</v>
      </c>
      <c r="P553" s="264">
        <v>0</v>
      </c>
      <c r="Q553" s="338">
        <f t="shared" si="145"/>
        <v>89.734953064605193</v>
      </c>
      <c r="R553" s="265">
        <v>7822</v>
      </c>
      <c r="S553" s="266">
        <v>43100</v>
      </c>
    </row>
    <row r="554" spans="1:19" s="1" customFormat="1" ht="31.5">
      <c r="A554" s="334">
        <f t="shared" si="142"/>
        <v>16</v>
      </c>
      <c r="B554" s="259" t="s">
        <v>898</v>
      </c>
      <c r="C554" s="334">
        <v>1991</v>
      </c>
      <c r="D554" s="334"/>
      <c r="E554" s="261" t="s">
        <v>218</v>
      </c>
      <c r="F554" s="334">
        <v>2</v>
      </c>
      <c r="G554" s="334">
        <v>2</v>
      </c>
      <c r="H554" s="338">
        <v>640.4</v>
      </c>
      <c r="I554" s="338">
        <v>604.70000000000005</v>
      </c>
      <c r="J554" s="338">
        <v>604.70000000000005</v>
      </c>
      <c r="K554" s="334">
        <v>19</v>
      </c>
      <c r="L554" s="264">
        <f t="shared" si="144"/>
        <v>50721</v>
      </c>
      <c r="M554" s="264">
        <v>0</v>
      </c>
      <c r="N554" s="264">
        <v>15216</v>
      </c>
      <c r="O554" s="264">
        <v>35505</v>
      </c>
      <c r="P554" s="264">
        <v>0</v>
      </c>
      <c r="Q554" s="338">
        <f t="shared" si="145"/>
        <v>83.877956011245246</v>
      </c>
      <c r="R554" s="265">
        <v>7822</v>
      </c>
      <c r="S554" s="266">
        <v>43100</v>
      </c>
    </row>
    <row r="555" spans="1:19" s="1" customFormat="1" ht="31.5">
      <c r="A555" s="334">
        <f t="shared" si="142"/>
        <v>17</v>
      </c>
      <c r="B555" s="259" t="s">
        <v>899</v>
      </c>
      <c r="C555" s="334">
        <v>1989</v>
      </c>
      <c r="D555" s="334"/>
      <c r="E555" s="261" t="s">
        <v>218</v>
      </c>
      <c r="F555" s="334">
        <v>2</v>
      </c>
      <c r="G555" s="334">
        <v>2</v>
      </c>
      <c r="H555" s="338">
        <v>644.9</v>
      </c>
      <c r="I555" s="338">
        <v>588.6</v>
      </c>
      <c r="J555" s="338">
        <v>588.6</v>
      </c>
      <c r="K555" s="334">
        <v>24</v>
      </c>
      <c r="L555" s="264">
        <f t="shared" si="144"/>
        <v>257869</v>
      </c>
      <c r="M555" s="264">
        <v>0</v>
      </c>
      <c r="N555" s="264">
        <v>77360</v>
      </c>
      <c r="O555" s="264">
        <v>180509</v>
      </c>
      <c r="P555" s="264">
        <v>0</v>
      </c>
      <c r="Q555" s="338">
        <f t="shared" si="145"/>
        <v>438.10567448182127</v>
      </c>
      <c r="R555" s="265">
        <v>7822</v>
      </c>
      <c r="S555" s="266">
        <v>43100</v>
      </c>
    </row>
    <row r="556" spans="1:19" s="1" customFormat="1" ht="31.5">
      <c r="A556" s="334">
        <f t="shared" si="142"/>
        <v>18</v>
      </c>
      <c r="B556" s="259" t="s">
        <v>900</v>
      </c>
      <c r="C556" s="334">
        <v>1987</v>
      </c>
      <c r="D556" s="334"/>
      <c r="E556" s="261" t="s">
        <v>218</v>
      </c>
      <c r="F556" s="334">
        <v>2</v>
      </c>
      <c r="G556" s="334">
        <v>1</v>
      </c>
      <c r="H556" s="338">
        <v>394</v>
      </c>
      <c r="I556" s="338">
        <v>359.3</v>
      </c>
      <c r="J556" s="338">
        <v>301.8</v>
      </c>
      <c r="K556" s="334">
        <v>14</v>
      </c>
      <c r="L556" s="264">
        <f t="shared" si="144"/>
        <v>28738</v>
      </c>
      <c r="M556" s="264">
        <v>0</v>
      </c>
      <c r="N556" s="264">
        <v>8621</v>
      </c>
      <c r="O556" s="264">
        <v>20117</v>
      </c>
      <c r="P556" s="264">
        <v>0</v>
      </c>
      <c r="Q556" s="338">
        <f t="shared" si="145"/>
        <v>79.983300862788752</v>
      </c>
      <c r="R556" s="265">
        <v>7822</v>
      </c>
      <c r="S556" s="266">
        <v>43100</v>
      </c>
    </row>
    <row r="557" spans="1:19" s="1" customFormat="1" ht="31.5">
      <c r="A557" s="334">
        <f t="shared" si="142"/>
        <v>19</v>
      </c>
      <c r="B557" s="259" t="s">
        <v>901</v>
      </c>
      <c r="C557" s="334">
        <v>1985</v>
      </c>
      <c r="D557" s="334"/>
      <c r="E557" s="261" t="s">
        <v>218</v>
      </c>
      <c r="F557" s="334">
        <v>2</v>
      </c>
      <c r="G557" s="334">
        <v>1</v>
      </c>
      <c r="H557" s="338">
        <v>396.4</v>
      </c>
      <c r="I557" s="338">
        <v>361.4</v>
      </c>
      <c r="J557" s="338">
        <v>361.4</v>
      </c>
      <c r="K557" s="334">
        <v>7</v>
      </c>
      <c r="L557" s="264">
        <f t="shared" si="144"/>
        <v>32453</v>
      </c>
      <c r="M557" s="264">
        <v>0</v>
      </c>
      <c r="N557" s="264">
        <v>9736</v>
      </c>
      <c r="O557" s="264">
        <v>22717</v>
      </c>
      <c r="P557" s="264">
        <v>0</v>
      </c>
      <c r="Q557" s="338">
        <f t="shared" si="145"/>
        <v>89.798007747648043</v>
      </c>
      <c r="R557" s="265">
        <v>7822</v>
      </c>
      <c r="S557" s="266">
        <v>43100</v>
      </c>
    </row>
    <row r="558" spans="1:19" s="1" customFormat="1" ht="31.5">
      <c r="A558" s="334">
        <f t="shared" si="142"/>
        <v>20</v>
      </c>
      <c r="B558" s="259" t="s">
        <v>902</v>
      </c>
      <c r="C558" s="334">
        <v>1987</v>
      </c>
      <c r="D558" s="334"/>
      <c r="E558" s="261" t="s">
        <v>218</v>
      </c>
      <c r="F558" s="334">
        <v>2</v>
      </c>
      <c r="G558" s="334">
        <v>1</v>
      </c>
      <c r="H558" s="338">
        <v>354.6</v>
      </c>
      <c r="I558" s="338">
        <v>354.6</v>
      </c>
      <c r="J558" s="338">
        <v>354.6</v>
      </c>
      <c r="K558" s="334">
        <v>10</v>
      </c>
      <c r="L558" s="264">
        <f t="shared" si="144"/>
        <v>25023</v>
      </c>
      <c r="M558" s="264">
        <v>0</v>
      </c>
      <c r="N558" s="264">
        <v>7507</v>
      </c>
      <c r="O558" s="264">
        <v>17516</v>
      </c>
      <c r="P558" s="264">
        <v>0</v>
      </c>
      <c r="Q558" s="338">
        <f t="shared" si="145"/>
        <v>70.566835871404393</v>
      </c>
      <c r="R558" s="265">
        <v>7822</v>
      </c>
      <c r="S558" s="266">
        <v>43100</v>
      </c>
    </row>
    <row r="559" spans="1:19" s="1" customFormat="1" ht="31.5">
      <c r="A559" s="334">
        <f t="shared" si="142"/>
        <v>21</v>
      </c>
      <c r="B559" s="259" t="s">
        <v>903</v>
      </c>
      <c r="C559" s="334">
        <v>1989</v>
      </c>
      <c r="D559" s="334"/>
      <c r="E559" s="261" t="s">
        <v>218</v>
      </c>
      <c r="F559" s="334">
        <v>2</v>
      </c>
      <c r="G559" s="334">
        <v>1</v>
      </c>
      <c r="H559" s="338">
        <v>432.9</v>
      </c>
      <c r="I559" s="338">
        <v>397.2</v>
      </c>
      <c r="J559" s="338">
        <v>324.7</v>
      </c>
      <c r="K559" s="334">
        <v>19</v>
      </c>
      <c r="L559" s="264">
        <f t="shared" si="144"/>
        <v>25119</v>
      </c>
      <c r="M559" s="264">
        <v>0</v>
      </c>
      <c r="N559" s="264">
        <v>7535</v>
      </c>
      <c r="O559" s="264">
        <v>17584</v>
      </c>
      <c r="P559" s="264">
        <v>0</v>
      </c>
      <c r="Q559" s="338">
        <f t="shared" si="145"/>
        <v>63.240181268882175</v>
      </c>
      <c r="R559" s="265">
        <v>7822</v>
      </c>
      <c r="S559" s="266">
        <v>43100</v>
      </c>
    </row>
    <row r="560" spans="1:19" s="1" customFormat="1" ht="38.450000000000003" customHeight="1">
      <c r="A560" s="334">
        <f t="shared" si="142"/>
        <v>22</v>
      </c>
      <c r="B560" s="259" t="s">
        <v>904</v>
      </c>
      <c r="C560" s="334">
        <v>1971</v>
      </c>
      <c r="D560" s="334"/>
      <c r="E560" s="261" t="s">
        <v>218</v>
      </c>
      <c r="F560" s="334">
        <v>2</v>
      </c>
      <c r="G560" s="334">
        <v>2</v>
      </c>
      <c r="H560" s="338">
        <v>767.1</v>
      </c>
      <c r="I560" s="338">
        <v>701.2</v>
      </c>
      <c r="J560" s="338">
        <v>701.2</v>
      </c>
      <c r="K560" s="334">
        <v>16</v>
      </c>
      <c r="L560" s="264">
        <f t="shared" si="144"/>
        <v>51107</v>
      </c>
      <c r="M560" s="264">
        <v>0</v>
      </c>
      <c r="N560" s="264">
        <v>15332</v>
      </c>
      <c r="O560" s="264">
        <v>35775</v>
      </c>
      <c r="P560" s="264">
        <v>0</v>
      </c>
      <c r="Q560" s="338">
        <f t="shared" si="145"/>
        <v>72.885054192812319</v>
      </c>
      <c r="R560" s="265">
        <v>7822</v>
      </c>
      <c r="S560" s="266">
        <v>43100</v>
      </c>
    </row>
    <row r="561" spans="1:19" s="1" customFormat="1" ht="44.45" customHeight="1">
      <c r="A561" s="334">
        <f t="shared" si="142"/>
        <v>23</v>
      </c>
      <c r="B561" s="259" t="s">
        <v>905</v>
      </c>
      <c r="C561" s="334">
        <v>1969</v>
      </c>
      <c r="D561" s="334"/>
      <c r="E561" s="261" t="s">
        <v>218</v>
      </c>
      <c r="F561" s="334">
        <v>2</v>
      </c>
      <c r="G561" s="334">
        <v>2</v>
      </c>
      <c r="H561" s="338">
        <v>567</v>
      </c>
      <c r="I561" s="338">
        <v>473.9</v>
      </c>
      <c r="J561" s="338">
        <v>473.9</v>
      </c>
      <c r="K561" s="334">
        <v>18</v>
      </c>
      <c r="L561" s="264">
        <f t="shared" si="144"/>
        <v>87488</v>
      </c>
      <c r="M561" s="264">
        <v>0</v>
      </c>
      <c r="N561" s="264">
        <v>26246</v>
      </c>
      <c r="O561" s="264">
        <v>61242</v>
      </c>
      <c r="P561" s="264">
        <v>0</v>
      </c>
      <c r="Q561" s="338">
        <f t="shared" si="145"/>
        <v>184.61278750791308</v>
      </c>
      <c r="R561" s="265">
        <v>7822</v>
      </c>
      <c r="S561" s="266">
        <v>43100</v>
      </c>
    </row>
    <row r="562" spans="1:19" s="1" customFormat="1" ht="31.5">
      <c r="A562" s="334">
        <f t="shared" si="142"/>
        <v>24</v>
      </c>
      <c r="B562" s="259" t="s">
        <v>906</v>
      </c>
      <c r="C562" s="334">
        <v>1969</v>
      </c>
      <c r="D562" s="334"/>
      <c r="E562" s="261" t="s">
        <v>218</v>
      </c>
      <c r="F562" s="334">
        <v>2</v>
      </c>
      <c r="G562" s="334">
        <v>2</v>
      </c>
      <c r="H562" s="338">
        <v>501.6</v>
      </c>
      <c r="I562" s="338">
        <v>477.6</v>
      </c>
      <c r="J562" s="338">
        <v>477.6</v>
      </c>
      <c r="K562" s="334">
        <v>7</v>
      </c>
      <c r="L562" s="264">
        <f t="shared" si="144"/>
        <v>87102</v>
      </c>
      <c r="M562" s="264">
        <v>0</v>
      </c>
      <c r="N562" s="264">
        <v>26130</v>
      </c>
      <c r="O562" s="264">
        <v>60972</v>
      </c>
      <c r="P562" s="264">
        <v>0</v>
      </c>
      <c r="Q562" s="338">
        <f t="shared" si="145"/>
        <v>182.37437185929647</v>
      </c>
      <c r="R562" s="265">
        <v>7822</v>
      </c>
      <c r="S562" s="266">
        <v>43100</v>
      </c>
    </row>
    <row r="563" spans="1:19" s="1" customFormat="1" ht="31.5">
      <c r="A563" s="334">
        <f t="shared" si="142"/>
        <v>25</v>
      </c>
      <c r="B563" s="259" t="s">
        <v>907</v>
      </c>
      <c r="C563" s="334">
        <v>1972</v>
      </c>
      <c r="D563" s="334"/>
      <c r="E563" s="261" t="s">
        <v>218</v>
      </c>
      <c r="F563" s="334">
        <v>2</v>
      </c>
      <c r="G563" s="334">
        <v>2</v>
      </c>
      <c r="H563" s="338">
        <v>767.3</v>
      </c>
      <c r="I563" s="338">
        <v>709.1</v>
      </c>
      <c r="J563" s="338">
        <v>669.7</v>
      </c>
      <c r="K563" s="334">
        <v>22</v>
      </c>
      <c r="L563" s="264">
        <f t="shared" si="144"/>
        <v>53713</v>
      </c>
      <c r="M563" s="264">
        <v>0</v>
      </c>
      <c r="N563" s="264">
        <v>10743</v>
      </c>
      <c r="O563" s="264">
        <v>42970</v>
      </c>
      <c r="P563" s="264">
        <v>0</v>
      </c>
      <c r="Q563" s="338">
        <f t="shared" si="145"/>
        <v>75.748131434212382</v>
      </c>
      <c r="R563" s="265">
        <v>7822</v>
      </c>
      <c r="S563" s="266">
        <v>43100</v>
      </c>
    </row>
    <row r="564" spans="1:19" s="1" customFormat="1" ht="31.5">
      <c r="A564" s="334">
        <f t="shared" si="142"/>
        <v>26</v>
      </c>
      <c r="B564" s="259" t="s">
        <v>908</v>
      </c>
      <c r="C564" s="334">
        <v>1972</v>
      </c>
      <c r="D564" s="334"/>
      <c r="E564" s="261" t="s">
        <v>218</v>
      </c>
      <c r="F564" s="334">
        <v>2</v>
      </c>
      <c r="G564" s="334">
        <v>2</v>
      </c>
      <c r="H564" s="338">
        <v>778.6</v>
      </c>
      <c r="I564" s="338">
        <v>719.6</v>
      </c>
      <c r="J564" s="338">
        <v>719.6</v>
      </c>
      <c r="K564" s="334">
        <v>28</v>
      </c>
      <c r="L564" s="264">
        <f t="shared" si="144"/>
        <v>242578</v>
      </c>
      <c r="M564" s="264">
        <v>0</v>
      </c>
      <c r="N564" s="264">
        <v>72774</v>
      </c>
      <c r="O564" s="264">
        <v>169804</v>
      </c>
      <c r="P564" s="264">
        <v>0</v>
      </c>
      <c r="Q564" s="338">
        <f t="shared" si="145"/>
        <v>337.10116731517508</v>
      </c>
      <c r="R564" s="265">
        <v>7822</v>
      </c>
      <c r="S564" s="266">
        <v>43100</v>
      </c>
    </row>
    <row r="565" spans="1:19" s="1" customFormat="1" ht="31.5">
      <c r="A565" s="334">
        <f t="shared" si="142"/>
        <v>27</v>
      </c>
      <c r="B565" s="259" t="s">
        <v>390</v>
      </c>
      <c r="C565" s="334">
        <v>1973</v>
      </c>
      <c r="D565" s="334"/>
      <c r="E565" s="261" t="s">
        <v>218</v>
      </c>
      <c r="F565" s="334">
        <v>2</v>
      </c>
      <c r="G565" s="334">
        <v>2</v>
      </c>
      <c r="H565" s="338">
        <v>780.6</v>
      </c>
      <c r="I565" s="338">
        <v>716</v>
      </c>
      <c r="J565" s="338">
        <v>716</v>
      </c>
      <c r="K565" s="334">
        <v>18</v>
      </c>
      <c r="L565" s="264">
        <f t="shared" si="144"/>
        <v>52265</v>
      </c>
      <c r="M565" s="264">
        <v>0</v>
      </c>
      <c r="N565" s="264">
        <v>15679</v>
      </c>
      <c r="O565" s="264">
        <v>36586</v>
      </c>
      <c r="P565" s="264">
        <v>0</v>
      </c>
      <c r="Q565" s="338">
        <f t="shared" si="145"/>
        <v>72.995810055865917</v>
      </c>
      <c r="R565" s="265">
        <v>7822</v>
      </c>
      <c r="S565" s="266">
        <v>43100</v>
      </c>
    </row>
    <row r="566" spans="1:19" s="1" customFormat="1" ht="31.5">
      <c r="A566" s="334">
        <f t="shared" si="142"/>
        <v>28</v>
      </c>
      <c r="B566" s="259" t="s">
        <v>909</v>
      </c>
      <c r="C566" s="334">
        <v>1969</v>
      </c>
      <c r="D566" s="334"/>
      <c r="E566" s="261" t="s">
        <v>218</v>
      </c>
      <c r="F566" s="334">
        <v>2</v>
      </c>
      <c r="G566" s="334">
        <v>2</v>
      </c>
      <c r="H566" s="338">
        <v>522.9</v>
      </c>
      <c r="I566" s="338">
        <v>480.5</v>
      </c>
      <c r="J566" s="338">
        <v>480.5</v>
      </c>
      <c r="K566" s="334">
        <v>16</v>
      </c>
      <c r="L566" s="264">
        <f t="shared" si="144"/>
        <v>81602</v>
      </c>
      <c r="M566" s="264">
        <v>0</v>
      </c>
      <c r="N566" s="264">
        <v>24481</v>
      </c>
      <c r="O566" s="264">
        <v>57121</v>
      </c>
      <c r="P566" s="264">
        <v>0</v>
      </c>
      <c r="Q566" s="338">
        <f t="shared" si="145"/>
        <v>169.82726326742977</v>
      </c>
      <c r="R566" s="265">
        <v>7822</v>
      </c>
      <c r="S566" s="266">
        <v>43100</v>
      </c>
    </row>
    <row r="567" spans="1:19" s="1" customFormat="1" ht="31.5">
      <c r="A567" s="334">
        <f t="shared" si="142"/>
        <v>29</v>
      </c>
      <c r="B567" s="259" t="s">
        <v>232</v>
      </c>
      <c r="C567" s="334">
        <v>1970</v>
      </c>
      <c r="D567" s="334"/>
      <c r="E567" s="261" t="s">
        <v>218</v>
      </c>
      <c r="F567" s="334">
        <v>2</v>
      </c>
      <c r="G567" s="334">
        <v>2</v>
      </c>
      <c r="H567" s="338">
        <v>528.20000000000005</v>
      </c>
      <c r="I567" s="338">
        <v>485.6</v>
      </c>
      <c r="J567" s="338">
        <v>485.6</v>
      </c>
      <c r="K567" s="334">
        <v>14</v>
      </c>
      <c r="L567" s="264">
        <f t="shared" si="144"/>
        <v>87295</v>
      </c>
      <c r="M567" s="264">
        <v>0</v>
      </c>
      <c r="N567" s="264">
        <v>26188</v>
      </c>
      <c r="O567" s="264">
        <v>61107</v>
      </c>
      <c r="P567" s="264">
        <v>0</v>
      </c>
      <c r="Q567" s="338">
        <f t="shared" si="145"/>
        <v>179.76729818780888</v>
      </c>
      <c r="R567" s="265">
        <v>7822</v>
      </c>
      <c r="S567" s="266">
        <v>43100</v>
      </c>
    </row>
    <row r="568" spans="1:19" s="1" customFormat="1" ht="36" customHeight="1">
      <c r="A568" s="334">
        <f t="shared" si="142"/>
        <v>30</v>
      </c>
      <c r="B568" s="259" t="s">
        <v>910</v>
      </c>
      <c r="C568" s="334">
        <v>1973</v>
      </c>
      <c r="D568" s="334"/>
      <c r="E568" s="261" t="s">
        <v>218</v>
      </c>
      <c r="F568" s="334">
        <v>2</v>
      </c>
      <c r="G568" s="334">
        <v>2</v>
      </c>
      <c r="H568" s="338">
        <v>772.5</v>
      </c>
      <c r="I568" s="338">
        <v>713.3</v>
      </c>
      <c r="J568" s="338">
        <v>668.6</v>
      </c>
      <c r="K568" s="334">
        <v>19</v>
      </c>
      <c r="L568" s="264">
        <f t="shared" si="144"/>
        <v>51879</v>
      </c>
      <c r="M568" s="264">
        <v>0</v>
      </c>
      <c r="N568" s="264">
        <v>15564</v>
      </c>
      <c r="O568" s="264">
        <v>36315</v>
      </c>
      <c r="P568" s="264">
        <v>0</v>
      </c>
      <c r="Q568" s="338">
        <f t="shared" si="145"/>
        <v>72.730968736856866</v>
      </c>
      <c r="R568" s="265">
        <v>7822</v>
      </c>
      <c r="S568" s="266">
        <v>43100</v>
      </c>
    </row>
    <row r="569" spans="1:19" s="1" customFormat="1" ht="31.5">
      <c r="A569" s="334">
        <f t="shared" si="142"/>
        <v>31</v>
      </c>
      <c r="B569" s="259" t="s">
        <v>911</v>
      </c>
      <c r="C569" s="334">
        <v>1973</v>
      </c>
      <c r="D569" s="334"/>
      <c r="E569" s="261" t="s">
        <v>218</v>
      </c>
      <c r="F569" s="334">
        <v>2</v>
      </c>
      <c r="G569" s="334">
        <v>2</v>
      </c>
      <c r="H569" s="338">
        <v>774</v>
      </c>
      <c r="I569" s="338">
        <v>715.5</v>
      </c>
      <c r="J569" s="338">
        <v>715.5</v>
      </c>
      <c r="K569" s="334">
        <v>22</v>
      </c>
      <c r="L569" s="264">
        <f t="shared" si="144"/>
        <v>51879</v>
      </c>
      <c r="M569" s="264">
        <v>0</v>
      </c>
      <c r="N569" s="264">
        <v>15564</v>
      </c>
      <c r="O569" s="264">
        <v>36315</v>
      </c>
      <c r="P569" s="264">
        <v>0</v>
      </c>
      <c r="Q569" s="338">
        <f t="shared" si="145"/>
        <v>72.507337526205447</v>
      </c>
      <c r="R569" s="265">
        <v>7822</v>
      </c>
      <c r="S569" s="266">
        <v>43100</v>
      </c>
    </row>
    <row r="570" spans="1:19" s="1" customFormat="1" ht="31.5">
      <c r="A570" s="334">
        <f t="shared" si="142"/>
        <v>32</v>
      </c>
      <c r="B570" s="259" t="s">
        <v>912</v>
      </c>
      <c r="C570" s="334">
        <v>1974</v>
      </c>
      <c r="D570" s="334"/>
      <c r="E570" s="261" t="s">
        <v>218</v>
      </c>
      <c r="F570" s="334">
        <v>2</v>
      </c>
      <c r="G570" s="334">
        <v>2</v>
      </c>
      <c r="H570" s="338">
        <v>768.7</v>
      </c>
      <c r="I570" s="338">
        <v>710.7</v>
      </c>
      <c r="J570" s="338">
        <v>710.7</v>
      </c>
      <c r="K570" s="334">
        <v>27</v>
      </c>
      <c r="L570" s="264">
        <f t="shared" si="144"/>
        <v>52072</v>
      </c>
      <c r="M570" s="264">
        <v>0</v>
      </c>
      <c r="N570" s="264">
        <v>15621</v>
      </c>
      <c r="O570" s="264">
        <v>36451</v>
      </c>
      <c r="P570" s="264">
        <v>0</v>
      </c>
      <c r="Q570" s="338">
        <f t="shared" si="145"/>
        <v>73.26860841423948</v>
      </c>
      <c r="R570" s="265">
        <v>7822</v>
      </c>
      <c r="S570" s="266">
        <v>43100</v>
      </c>
    </row>
    <row r="571" spans="1:19" s="1" customFormat="1" ht="31.5">
      <c r="A571" s="334">
        <f t="shared" si="142"/>
        <v>33</v>
      </c>
      <c r="B571" s="259" t="s">
        <v>913</v>
      </c>
      <c r="C571" s="334">
        <v>1974</v>
      </c>
      <c r="D571" s="334"/>
      <c r="E571" s="261" t="s">
        <v>218</v>
      </c>
      <c r="F571" s="334">
        <v>2</v>
      </c>
      <c r="G571" s="334">
        <v>2</v>
      </c>
      <c r="H571" s="338">
        <v>765</v>
      </c>
      <c r="I571" s="338">
        <v>707.5</v>
      </c>
      <c r="J571" s="338">
        <v>707.5</v>
      </c>
      <c r="K571" s="334">
        <v>20</v>
      </c>
      <c r="L571" s="264">
        <f t="shared" si="144"/>
        <v>51879</v>
      </c>
      <c r="M571" s="264">
        <v>0</v>
      </c>
      <c r="N571" s="264">
        <v>15564</v>
      </c>
      <c r="O571" s="264">
        <v>36315</v>
      </c>
      <c r="P571" s="264">
        <v>0</v>
      </c>
      <c r="Q571" s="338">
        <f t="shared" si="145"/>
        <v>73.327208480565375</v>
      </c>
      <c r="R571" s="265">
        <v>7822</v>
      </c>
      <c r="S571" s="266">
        <v>43100</v>
      </c>
    </row>
    <row r="572" spans="1:19" s="1" customFormat="1" ht="39.6" customHeight="1">
      <c r="A572" s="334">
        <f t="shared" si="142"/>
        <v>34</v>
      </c>
      <c r="B572" s="259" t="s">
        <v>914</v>
      </c>
      <c r="C572" s="334">
        <v>1980</v>
      </c>
      <c r="D572" s="334"/>
      <c r="E572" s="261" t="s">
        <v>218</v>
      </c>
      <c r="F572" s="334">
        <v>2</v>
      </c>
      <c r="G572" s="334">
        <v>3</v>
      </c>
      <c r="H572" s="338">
        <v>1055</v>
      </c>
      <c r="I572" s="338">
        <v>957.4</v>
      </c>
      <c r="J572" s="338">
        <v>957.4</v>
      </c>
      <c r="K572" s="334">
        <v>42</v>
      </c>
      <c r="L572" s="264">
        <f t="shared" si="144"/>
        <v>77819</v>
      </c>
      <c r="M572" s="264">
        <v>0</v>
      </c>
      <c r="N572" s="264">
        <v>23346</v>
      </c>
      <c r="O572" s="264">
        <v>54473</v>
      </c>
      <c r="P572" s="264">
        <v>0</v>
      </c>
      <c r="Q572" s="338">
        <f t="shared" si="145"/>
        <v>81.281595989137244</v>
      </c>
      <c r="R572" s="265">
        <v>7822</v>
      </c>
      <c r="S572" s="266">
        <v>43100</v>
      </c>
    </row>
    <row r="573" spans="1:19" s="1" customFormat="1" ht="31.5">
      <c r="A573" s="334">
        <f t="shared" si="142"/>
        <v>35</v>
      </c>
      <c r="B573" s="259" t="s">
        <v>915</v>
      </c>
      <c r="C573" s="334">
        <v>1973</v>
      </c>
      <c r="D573" s="334"/>
      <c r="E573" s="261" t="s">
        <v>218</v>
      </c>
      <c r="F573" s="334">
        <v>2</v>
      </c>
      <c r="G573" s="334">
        <v>2</v>
      </c>
      <c r="H573" s="338">
        <v>778.9</v>
      </c>
      <c r="I573" s="338">
        <v>721.8</v>
      </c>
      <c r="J573" s="338">
        <v>721.8</v>
      </c>
      <c r="K573" s="334">
        <v>27</v>
      </c>
      <c r="L573" s="264">
        <f t="shared" si="144"/>
        <v>51879</v>
      </c>
      <c r="M573" s="264">
        <v>0</v>
      </c>
      <c r="N573" s="264">
        <v>15564</v>
      </c>
      <c r="O573" s="264">
        <v>36315</v>
      </c>
      <c r="P573" s="264">
        <v>0</v>
      </c>
      <c r="Q573" s="338">
        <f t="shared" si="145"/>
        <v>71.874480465502913</v>
      </c>
      <c r="R573" s="265">
        <v>7822</v>
      </c>
      <c r="S573" s="266">
        <v>43100</v>
      </c>
    </row>
    <row r="574" spans="1:19" s="1" customFormat="1" ht="31.5">
      <c r="A574" s="334">
        <f t="shared" si="142"/>
        <v>36</v>
      </c>
      <c r="B574" s="259" t="s">
        <v>916</v>
      </c>
      <c r="C574" s="334">
        <v>1975</v>
      </c>
      <c r="D574" s="334"/>
      <c r="E574" s="261" t="s">
        <v>218</v>
      </c>
      <c r="F574" s="334">
        <v>2</v>
      </c>
      <c r="G574" s="334">
        <v>2</v>
      </c>
      <c r="H574" s="338">
        <v>772.3</v>
      </c>
      <c r="I574" s="338">
        <v>713.3</v>
      </c>
      <c r="J574" s="338">
        <v>713.3</v>
      </c>
      <c r="K574" s="334">
        <v>28</v>
      </c>
      <c r="L574" s="264">
        <f t="shared" si="144"/>
        <v>51783</v>
      </c>
      <c r="M574" s="264">
        <v>0</v>
      </c>
      <c r="N574" s="264">
        <v>15535</v>
      </c>
      <c r="O574" s="264">
        <v>36248</v>
      </c>
      <c r="P574" s="264">
        <v>0</v>
      </c>
      <c r="Q574" s="338">
        <f t="shared" si="145"/>
        <v>72.596383008551811</v>
      </c>
      <c r="R574" s="265">
        <v>7822</v>
      </c>
      <c r="S574" s="266">
        <v>43100</v>
      </c>
    </row>
    <row r="575" spans="1:19" s="1" customFormat="1" ht="31.5">
      <c r="A575" s="334">
        <f t="shared" si="142"/>
        <v>37</v>
      </c>
      <c r="B575" s="259" t="s">
        <v>917</v>
      </c>
      <c r="C575" s="334">
        <v>1978</v>
      </c>
      <c r="D575" s="334"/>
      <c r="E575" s="261" t="s">
        <v>218</v>
      </c>
      <c r="F575" s="334">
        <v>2</v>
      </c>
      <c r="G575" s="334">
        <v>2</v>
      </c>
      <c r="H575" s="338">
        <v>795.8</v>
      </c>
      <c r="I575" s="338">
        <v>734</v>
      </c>
      <c r="J575" s="338">
        <v>734</v>
      </c>
      <c r="K575" s="334">
        <v>21</v>
      </c>
      <c r="L575" s="264">
        <f t="shared" si="144"/>
        <v>51011</v>
      </c>
      <c r="M575" s="264">
        <v>0</v>
      </c>
      <c r="N575" s="264">
        <v>15303</v>
      </c>
      <c r="O575" s="264">
        <v>35708</v>
      </c>
      <c r="P575" s="264">
        <v>0</v>
      </c>
      <c r="Q575" s="338">
        <f t="shared" si="145"/>
        <v>69.497275204359667</v>
      </c>
      <c r="R575" s="265">
        <v>7822</v>
      </c>
      <c r="S575" s="266">
        <v>43100</v>
      </c>
    </row>
    <row r="576" spans="1:19" s="1" customFormat="1" ht="31.5">
      <c r="A576" s="334">
        <f t="shared" si="142"/>
        <v>38</v>
      </c>
      <c r="B576" s="259" t="s">
        <v>918</v>
      </c>
      <c r="C576" s="334">
        <v>1978</v>
      </c>
      <c r="D576" s="334"/>
      <c r="E576" s="261" t="s">
        <v>218</v>
      </c>
      <c r="F576" s="334">
        <v>2</v>
      </c>
      <c r="G576" s="334">
        <v>3</v>
      </c>
      <c r="H576" s="338">
        <v>1025.0999999999999</v>
      </c>
      <c r="I576" s="338">
        <v>945.7</v>
      </c>
      <c r="J576" s="338">
        <v>945.7</v>
      </c>
      <c r="K576" s="334">
        <v>36</v>
      </c>
      <c r="L576" s="264">
        <f t="shared" si="144"/>
        <v>78398</v>
      </c>
      <c r="M576" s="264">
        <v>0</v>
      </c>
      <c r="N576" s="264">
        <v>23519</v>
      </c>
      <c r="O576" s="264">
        <v>54879</v>
      </c>
      <c r="P576" s="264">
        <v>0</v>
      </c>
      <c r="Q576" s="338">
        <f t="shared" si="145"/>
        <v>82.899439568573541</v>
      </c>
      <c r="R576" s="265">
        <v>7822</v>
      </c>
      <c r="S576" s="266">
        <v>43100</v>
      </c>
    </row>
    <row r="577" spans="1:48" s="1" customFormat="1" ht="31.5">
      <c r="A577" s="334">
        <f t="shared" si="142"/>
        <v>39</v>
      </c>
      <c r="B577" s="259" t="s">
        <v>919</v>
      </c>
      <c r="C577" s="334">
        <v>1979</v>
      </c>
      <c r="D577" s="334"/>
      <c r="E577" s="261" t="s">
        <v>218</v>
      </c>
      <c r="F577" s="334">
        <v>2</v>
      </c>
      <c r="G577" s="334">
        <v>3</v>
      </c>
      <c r="H577" s="338">
        <v>1023.9</v>
      </c>
      <c r="I577" s="338">
        <v>938.7</v>
      </c>
      <c r="J577" s="338">
        <v>938.7</v>
      </c>
      <c r="K577" s="334">
        <v>30</v>
      </c>
      <c r="L577" s="264">
        <f t="shared" si="144"/>
        <v>78012</v>
      </c>
      <c r="M577" s="264">
        <v>0</v>
      </c>
      <c r="N577" s="264">
        <v>23404</v>
      </c>
      <c r="O577" s="264">
        <v>54608</v>
      </c>
      <c r="P577" s="264">
        <v>0</v>
      </c>
      <c r="Q577" s="338">
        <f t="shared" si="145"/>
        <v>83.106423777564714</v>
      </c>
      <c r="R577" s="265">
        <v>7822</v>
      </c>
      <c r="S577" s="266">
        <v>43100</v>
      </c>
    </row>
    <row r="578" spans="1:48" s="1" customFormat="1" ht="31.5">
      <c r="A578" s="334">
        <f t="shared" si="142"/>
        <v>40</v>
      </c>
      <c r="B578" s="259" t="s">
        <v>920</v>
      </c>
      <c r="C578" s="334">
        <v>1975</v>
      </c>
      <c r="D578" s="334"/>
      <c r="E578" s="261" t="s">
        <v>218</v>
      </c>
      <c r="F578" s="334" t="s">
        <v>70</v>
      </c>
      <c r="G578" s="334" t="s">
        <v>70</v>
      </c>
      <c r="H578" s="338">
        <v>774.5</v>
      </c>
      <c r="I578" s="338">
        <v>716.2</v>
      </c>
      <c r="J578" s="338">
        <v>716.2</v>
      </c>
      <c r="K578" s="334">
        <v>23</v>
      </c>
      <c r="L578" s="264">
        <f t="shared" si="144"/>
        <v>52265</v>
      </c>
      <c r="M578" s="264">
        <v>0</v>
      </c>
      <c r="N578" s="264">
        <v>15679</v>
      </c>
      <c r="O578" s="264">
        <v>36586</v>
      </c>
      <c r="P578" s="264">
        <v>0</v>
      </c>
      <c r="Q578" s="338">
        <f t="shared" si="145"/>
        <v>72.975425858698685</v>
      </c>
      <c r="R578" s="265">
        <v>7822</v>
      </c>
      <c r="S578" s="266">
        <v>43100</v>
      </c>
    </row>
    <row r="579" spans="1:48" s="1" customFormat="1" ht="31.5">
      <c r="A579" s="334">
        <f t="shared" si="142"/>
        <v>41</v>
      </c>
      <c r="B579" s="259" t="s">
        <v>921</v>
      </c>
      <c r="C579" s="334">
        <v>1976</v>
      </c>
      <c r="D579" s="334"/>
      <c r="E579" s="261" t="s">
        <v>218</v>
      </c>
      <c r="F579" s="334">
        <v>2</v>
      </c>
      <c r="G579" s="334">
        <v>2</v>
      </c>
      <c r="H579" s="338">
        <v>768</v>
      </c>
      <c r="I579" s="338">
        <v>710.9</v>
      </c>
      <c r="J579" s="338">
        <v>710.9</v>
      </c>
      <c r="K579" s="334">
        <v>34</v>
      </c>
      <c r="L579" s="264">
        <f t="shared" si="144"/>
        <v>242964</v>
      </c>
      <c r="M579" s="264">
        <v>0</v>
      </c>
      <c r="N579" s="264">
        <v>72889</v>
      </c>
      <c r="O579" s="264">
        <v>170075</v>
      </c>
      <c r="P579" s="264">
        <v>0</v>
      </c>
      <c r="Q579" s="338">
        <f t="shared" si="145"/>
        <v>341.76958784639191</v>
      </c>
      <c r="R579" s="265">
        <v>7822</v>
      </c>
      <c r="S579" s="266">
        <v>43100</v>
      </c>
    </row>
    <row r="580" spans="1:48" s="1" customFormat="1" ht="31.5">
      <c r="A580" s="334">
        <f t="shared" si="142"/>
        <v>42</v>
      </c>
      <c r="B580" s="259" t="s">
        <v>922</v>
      </c>
      <c r="C580" s="334">
        <v>1976</v>
      </c>
      <c r="D580" s="334"/>
      <c r="E580" s="261" t="s">
        <v>218</v>
      </c>
      <c r="F580" s="334">
        <v>2</v>
      </c>
      <c r="G580" s="334">
        <v>2</v>
      </c>
      <c r="H580" s="338">
        <v>540.5</v>
      </c>
      <c r="I580" s="338">
        <v>497.4</v>
      </c>
      <c r="J580" s="338">
        <v>497.4</v>
      </c>
      <c r="K580" s="334">
        <v>15</v>
      </c>
      <c r="L580" s="264">
        <f t="shared" si="144"/>
        <v>87102</v>
      </c>
      <c r="M580" s="264">
        <v>0</v>
      </c>
      <c r="N580" s="264">
        <v>26130</v>
      </c>
      <c r="O580" s="264">
        <v>60972</v>
      </c>
      <c r="P580" s="264">
        <v>0</v>
      </c>
      <c r="Q580" s="338">
        <f t="shared" si="145"/>
        <v>175.11459589867312</v>
      </c>
      <c r="R580" s="265">
        <v>7822</v>
      </c>
      <c r="S580" s="266">
        <v>43100</v>
      </c>
    </row>
    <row r="581" spans="1:48" s="1" customFormat="1" ht="15.75">
      <c r="A581" s="1117" t="s">
        <v>474</v>
      </c>
      <c r="B581" s="1118"/>
      <c r="C581" s="1118"/>
      <c r="D581" s="1118"/>
      <c r="E581" s="1118"/>
      <c r="F581" s="1118"/>
      <c r="G581" s="1118"/>
      <c r="H581" s="1118"/>
      <c r="I581" s="1118"/>
      <c r="J581" s="1118"/>
      <c r="K581" s="1118"/>
      <c r="L581" s="1118"/>
      <c r="M581" s="1118"/>
      <c r="N581" s="1118"/>
      <c r="O581" s="1118"/>
      <c r="P581" s="1118"/>
      <c r="Q581" s="1118"/>
      <c r="R581" s="1118"/>
      <c r="S581" s="1119"/>
    </row>
    <row r="582" spans="1:48">
      <c r="A582" s="1080" t="s">
        <v>34</v>
      </c>
      <c r="B582" s="1080"/>
      <c r="C582" s="1080"/>
      <c r="D582" s="1080"/>
      <c r="E582" s="1080"/>
      <c r="F582" s="1080"/>
      <c r="G582" s="1080"/>
      <c r="H582" s="1080"/>
      <c r="I582" s="1080"/>
      <c r="J582" s="1080"/>
      <c r="K582" s="1080"/>
      <c r="L582" s="1080"/>
      <c r="M582" s="1080"/>
      <c r="N582" s="1080"/>
      <c r="O582" s="1080"/>
      <c r="P582" s="1080"/>
      <c r="Q582" s="1080"/>
      <c r="R582" s="1080"/>
      <c r="S582" s="1080"/>
    </row>
    <row r="583" spans="1:48" ht="18.75" customHeight="1">
      <c r="A583" s="232"/>
      <c r="B583" s="1102" t="s">
        <v>205</v>
      </c>
      <c r="C583" s="1102"/>
      <c r="D583" s="1102"/>
      <c r="E583" s="1102"/>
      <c r="F583" s="1102"/>
      <c r="G583" s="1102"/>
      <c r="H583" s="84">
        <f t="shared" ref="H583:O583" si="146">H584+H753+H767+H770+H796+H809+H825+H834+H841+H844+H863+H867+H882+H886+H889+H896+H908+H916+H929+H937+H968+H973+H978+H992+H996+H1013+H1007+H1016+H1025+H1028+H1032+H1038+H1043+H1048+H1060</f>
        <v>289715.61</v>
      </c>
      <c r="I583" s="84">
        <f t="shared" si="146"/>
        <v>242939.8</v>
      </c>
      <c r="J583" s="84">
        <f t="shared" si="146"/>
        <v>215863.93000000002</v>
      </c>
      <c r="K583" s="85">
        <f t="shared" si="146"/>
        <v>10295</v>
      </c>
      <c r="L583" s="92">
        <f t="shared" si="146"/>
        <v>608660559.45000005</v>
      </c>
      <c r="M583" s="92">
        <f t="shared" si="146"/>
        <v>0</v>
      </c>
      <c r="N583" s="92">
        <f t="shared" si="146"/>
        <v>2372919.13</v>
      </c>
      <c r="O583" s="92">
        <f t="shared" si="146"/>
        <v>606287640.31999993</v>
      </c>
      <c r="P583" s="92">
        <f>P584+P753+P767+P770+P796+P809+P825+P834+P841+P844+P863+P867+P882+P886+P889+P896+P908+P916+P929+P937+P968+P973+P978+P992+P996+P1013+P1007+P1016+P1025+P1028+P1032+P1043+P1048+P1060</f>
        <v>0</v>
      </c>
      <c r="Q583" s="86" t="s">
        <v>40</v>
      </c>
      <c r="R583" s="86" t="s">
        <v>40</v>
      </c>
      <c r="S583" s="86" t="s">
        <v>40</v>
      </c>
    </row>
    <row r="584" spans="1:48" s="1" customFormat="1" ht="15.75" customHeight="1">
      <c r="A584" s="232"/>
      <c r="B584" s="1102" t="s">
        <v>89</v>
      </c>
      <c r="C584" s="1102"/>
      <c r="D584" s="1102"/>
      <c r="E584" s="1102"/>
      <c r="F584" s="1102"/>
      <c r="G584" s="1102"/>
      <c r="H584" s="84">
        <f>SUM(H585:H752)</f>
        <v>0</v>
      </c>
      <c r="I584" s="84">
        <f>SUM(I585:I752)</f>
        <v>0</v>
      </c>
      <c r="J584" s="84">
        <f>SUM(J585:J752)</f>
        <v>0</v>
      </c>
      <c r="K584" s="85">
        <f>SUM(K585:K752)</f>
        <v>0</v>
      </c>
      <c r="L584" s="92">
        <v>336230870.63</v>
      </c>
      <c r="M584" s="92">
        <f>SUM(M585:M752)</f>
        <v>0</v>
      </c>
      <c r="N584" s="92">
        <f>SUM(N585:N752)</f>
        <v>0</v>
      </c>
      <c r="O584" s="92">
        <f>SUM(O585:O752)</f>
        <v>336230870.63</v>
      </c>
      <c r="P584" s="92">
        <f>SUM(P585:P752)</f>
        <v>0</v>
      </c>
      <c r="Q584" s="86" t="s">
        <v>40</v>
      </c>
      <c r="R584" s="86" t="s">
        <v>40</v>
      </c>
      <c r="S584" s="86" t="s">
        <v>40</v>
      </c>
    </row>
    <row r="585" spans="1:48" s="1" customFormat="1" ht="15.75">
      <c r="A585" s="87">
        <v>1</v>
      </c>
      <c r="B585" s="225" t="s">
        <v>324</v>
      </c>
      <c r="C585" s="88">
        <v>1975</v>
      </c>
      <c r="D585" s="88"/>
      <c r="E585" s="89" t="s">
        <v>219</v>
      </c>
      <c r="F585" s="88">
        <v>5</v>
      </c>
      <c r="G585" s="88">
        <v>10</v>
      </c>
      <c r="H585" s="90"/>
      <c r="I585" s="90"/>
      <c r="J585" s="90"/>
      <c r="K585" s="91"/>
      <c r="L585" s="92">
        <v>5982216</v>
      </c>
      <c r="M585" s="92">
        <v>0</v>
      </c>
      <c r="N585" s="92">
        <v>0</v>
      </c>
      <c r="O585" s="92">
        <f t="shared" ref="O585:O648" si="147">L585</f>
        <v>5982216</v>
      </c>
      <c r="P585" s="92">
        <v>0</v>
      </c>
      <c r="Q585" s="93" t="e">
        <f t="shared" ref="Q585:Q648" si="148">L585/I585</f>
        <v>#DIV/0!</v>
      </c>
      <c r="R585" s="94"/>
      <c r="S585" s="276">
        <v>43465</v>
      </c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</row>
    <row r="586" spans="1:48" customFormat="1" ht="15.75">
      <c r="A586" s="87">
        <f>A585+1</f>
        <v>2</v>
      </c>
      <c r="B586" s="225" t="s">
        <v>325</v>
      </c>
      <c r="C586" s="88">
        <v>1978</v>
      </c>
      <c r="D586" s="88"/>
      <c r="E586" s="89" t="s">
        <v>219</v>
      </c>
      <c r="F586" s="88">
        <v>9</v>
      </c>
      <c r="G586" s="88">
        <v>5</v>
      </c>
      <c r="H586" s="90"/>
      <c r="I586" s="90"/>
      <c r="J586" s="90"/>
      <c r="K586" s="91"/>
      <c r="L586" s="92">
        <v>9379653</v>
      </c>
      <c r="M586" s="92">
        <v>0</v>
      </c>
      <c r="N586" s="92">
        <v>0</v>
      </c>
      <c r="O586" s="92">
        <f t="shared" si="147"/>
        <v>9379653</v>
      </c>
      <c r="P586" s="92">
        <v>0</v>
      </c>
      <c r="Q586" s="93" t="e">
        <f t="shared" si="148"/>
        <v>#DIV/0!</v>
      </c>
      <c r="R586" s="94"/>
      <c r="S586" s="276">
        <v>43465</v>
      </c>
    </row>
    <row r="587" spans="1:48" customFormat="1" ht="15.75">
      <c r="A587" s="87">
        <f t="shared" ref="A587:A650" si="149">A586+1</f>
        <v>3</v>
      </c>
      <c r="B587" s="234" t="s">
        <v>321</v>
      </c>
      <c r="C587" s="88">
        <v>1982</v>
      </c>
      <c r="D587" s="88"/>
      <c r="E587" s="89" t="s">
        <v>219</v>
      </c>
      <c r="F587" s="88">
        <v>9</v>
      </c>
      <c r="G587" s="88">
        <v>2</v>
      </c>
      <c r="H587" s="90"/>
      <c r="I587" s="90"/>
      <c r="J587" s="90"/>
      <c r="K587" s="91"/>
      <c r="L587" s="92">
        <v>3763756</v>
      </c>
      <c r="M587" s="92">
        <v>0</v>
      </c>
      <c r="N587" s="92">
        <v>0</v>
      </c>
      <c r="O587" s="92">
        <f t="shared" si="147"/>
        <v>3763756</v>
      </c>
      <c r="P587" s="92">
        <v>0</v>
      </c>
      <c r="Q587" s="93" t="e">
        <f t="shared" si="148"/>
        <v>#DIV/0!</v>
      </c>
      <c r="R587" s="94"/>
      <c r="S587" s="276">
        <v>43465</v>
      </c>
    </row>
    <row r="588" spans="1:48" customFormat="1" ht="15.75">
      <c r="A588" s="87">
        <f t="shared" si="149"/>
        <v>4</v>
      </c>
      <c r="B588" s="234" t="s">
        <v>346</v>
      </c>
      <c r="C588" s="88">
        <v>1982</v>
      </c>
      <c r="D588" s="88"/>
      <c r="E588" s="89" t="s">
        <v>219</v>
      </c>
      <c r="F588" s="88">
        <v>9</v>
      </c>
      <c r="G588" s="88">
        <v>1</v>
      </c>
      <c r="H588" s="90"/>
      <c r="I588" s="90"/>
      <c r="J588" s="90"/>
      <c r="K588" s="91"/>
      <c r="L588" s="92">
        <v>1095812</v>
      </c>
      <c r="M588" s="92">
        <v>0</v>
      </c>
      <c r="N588" s="92">
        <v>0</v>
      </c>
      <c r="O588" s="92">
        <f t="shared" si="147"/>
        <v>1095812</v>
      </c>
      <c r="P588" s="92">
        <v>0</v>
      </c>
      <c r="Q588" s="93" t="e">
        <f t="shared" si="148"/>
        <v>#DIV/0!</v>
      </c>
      <c r="R588" s="94"/>
      <c r="S588" s="276">
        <v>43465</v>
      </c>
    </row>
    <row r="589" spans="1:48" customFormat="1" ht="15.75">
      <c r="A589" s="87">
        <f t="shared" si="149"/>
        <v>5</v>
      </c>
      <c r="B589" s="234" t="s">
        <v>322</v>
      </c>
      <c r="C589" s="88">
        <v>1976</v>
      </c>
      <c r="D589" s="88"/>
      <c r="E589" s="89" t="s">
        <v>219</v>
      </c>
      <c r="F589" s="88">
        <v>9</v>
      </c>
      <c r="G589" s="88">
        <v>3</v>
      </c>
      <c r="H589" s="90"/>
      <c r="I589" s="90"/>
      <c r="J589" s="90"/>
      <c r="K589" s="91"/>
      <c r="L589" s="92">
        <v>5619141</v>
      </c>
      <c r="M589" s="92">
        <v>0</v>
      </c>
      <c r="N589" s="92">
        <v>0</v>
      </c>
      <c r="O589" s="92">
        <f t="shared" si="147"/>
        <v>5619141</v>
      </c>
      <c r="P589" s="92">
        <v>0</v>
      </c>
      <c r="Q589" s="93" t="e">
        <f t="shared" si="148"/>
        <v>#DIV/0!</v>
      </c>
      <c r="R589" s="94"/>
      <c r="S589" s="276">
        <v>43465</v>
      </c>
    </row>
    <row r="590" spans="1:48" customFormat="1" ht="15.75">
      <c r="A590" s="87">
        <f t="shared" si="149"/>
        <v>6</v>
      </c>
      <c r="B590" s="234" t="s">
        <v>320</v>
      </c>
      <c r="C590" s="87">
        <v>1982</v>
      </c>
      <c r="D590" s="88"/>
      <c r="E590" s="89" t="s">
        <v>219</v>
      </c>
      <c r="F590" s="88">
        <v>9</v>
      </c>
      <c r="G590" s="88">
        <v>2</v>
      </c>
      <c r="H590" s="96"/>
      <c r="I590" s="96"/>
      <c r="J590" s="96"/>
      <c r="K590" s="81"/>
      <c r="L590" s="92">
        <v>3748388</v>
      </c>
      <c r="M590" s="92">
        <v>0</v>
      </c>
      <c r="N590" s="92">
        <v>0</v>
      </c>
      <c r="O590" s="92">
        <f t="shared" si="147"/>
        <v>3748388</v>
      </c>
      <c r="P590" s="92">
        <v>0</v>
      </c>
      <c r="Q590" s="93" t="e">
        <f t="shared" si="148"/>
        <v>#DIV/0!</v>
      </c>
      <c r="R590" s="94"/>
      <c r="S590" s="276">
        <v>43465</v>
      </c>
    </row>
    <row r="591" spans="1:48" customFormat="1" ht="15.75">
      <c r="A591" s="87">
        <f t="shared" si="149"/>
        <v>7</v>
      </c>
      <c r="B591" s="225" t="s">
        <v>327</v>
      </c>
      <c r="C591" s="88">
        <v>1981</v>
      </c>
      <c r="D591" s="88"/>
      <c r="E591" s="89" t="s">
        <v>219</v>
      </c>
      <c r="F591" s="88">
        <v>9</v>
      </c>
      <c r="G591" s="88">
        <v>8</v>
      </c>
      <c r="H591" s="90"/>
      <c r="I591" s="90"/>
      <c r="J591" s="90"/>
      <c r="K591" s="91"/>
      <c r="L591" s="92">
        <v>15157748</v>
      </c>
      <c r="M591" s="92">
        <v>0</v>
      </c>
      <c r="N591" s="92">
        <v>0</v>
      </c>
      <c r="O591" s="92">
        <f t="shared" si="147"/>
        <v>15157748</v>
      </c>
      <c r="P591" s="92">
        <v>0</v>
      </c>
      <c r="Q591" s="93" t="e">
        <f t="shared" si="148"/>
        <v>#DIV/0!</v>
      </c>
      <c r="R591" s="94"/>
      <c r="S591" s="276">
        <v>43465</v>
      </c>
    </row>
    <row r="592" spans="1:48" customFormat="1" ht="31.5">
      <c r="A592" s="87">
        <f t="shared" si="149"/>
        <v>8</v>
      </c>
      <c r="B592" s="225" t="s">
        <v>323</v>
      </c>
      <c r="C592" s="88">
        <v>1954</v>
      </c>
      <c r="D592" s="88"/>
      <c r="E592" s="89" t="s">
        <v>218</v>
      </c>
      <c r="F592" s="88">
        <v>2</v>
      </c>
      <c r="G592" s="88">
        <v>2</v>
      </c>
      <c r="H592" s="90"/>
      <c r="I592" s="90"/>
      <c r="J592" s="90"/>
      <c r="K592" s="91"/>
      <c r="L592" s="92">
        <v>1030213</v>
      </c>
      <c r="M592" s="92">
        <v>0</v>
      </c>
      <c r="N592" s="92">
        <v>0</v>
      </c>
      <c r="O592" s="92">
        <f t="shared" si="147"/>
        <v>1030213</v>
      </c>
      <c r="P592" s="92">
        <v>0</v>
      </c>
      <c r="Q592" s="93" t="e">
        <f t="shared" si="148"/>
        <v>#DIV/0!</v>
      </c>
      <c r="R592" s="94"/>
      <c r="S592" s="276">
        <v>43465</v>
      </c>
    </row>
    <row r="593" spans="1:30" customFormat="1" ht="31.5">
      <c r="A593" s="87">
        <f t="shared" si="149"/>
        <v>9</v>
      </c>
      <c r="B593" s="234" t="s">
        <v>319</v>
      </c>
      <c r="C593" s="97">
        <v>1860</v>
      </c>
      <c r="D593" s="97"/>
      <c r="E593" s="89" t="s">
        <v>218</v>
      </c>
      <c r="F593" s="97">
        <v>3</v>
      </c>
      <c r="G593" s="97">
        <v>1</v>
      </c>
      <c r="H593" s="97"/>
      <c r="I593" s="97"/>
      <c r="J593" s="97"/>
      <c r="K593" s="98"/>
      <c r="L593" s="92">
        <v>530465</v>
      </c>
      <c r="M593" s="92">
        <v>0</v>
      </c>
      <c r="N593" s="92">
        <v>0</v>
      </c>
      <c r="O593" s="92">
        <f t="shared" si="147"/>
        <v>530465</v>
      </c>
      <c r="P593" s="92">
        <v>0</v>
      </c>
      <c r="Q593" s="93" t="e">
        <f t="shared" si="148"/>
        <v>#DIV/0!</v>
      </c>
      <c r="R593" s="94"/>
      <c r="S593" s="276">
        <v>43465</v>
      </c>
    </row>
    <row r="594" spans="1:30" customFormat="1" ht="31.5">
      <c r="A594" s="87">
        <f t="shared" si="149"/>
        <v>10</v>
      </c>
      <c r="B594" s="234" t="s">
        <v>326</v>
      </c>
      <c r="C594" s="88">
        <v>1958</v>
      </c>
      <c r="D594" s="88"/>
      <c r="E594" s="89" t="s">
        <v>218</v>
      </c>
      <c r="F594" s="88">
        <v>2</v>
      </c>
      <c r="G594" s="88">
        <v>2</v>
      </c>
      <c r="H594" s="90"/>
      <c r="I594" s="90"/>
      <c r="J594" s="90"/>
      <c r="K594" s="91"/>
      <c r="L594" s="92">
        <v>1983854</v>
      </c>
      <c r="M594" s="92">
        <v>0</v>
      </c>
      <c r="N594" s="92">
        <v>0</v>
      </c>
      <c r="O594" s="92">
        <f t="shared" si="147"/>
        <v>1983854</v>
      </c>
      <c r="P594" s="92">
        <v>0</v>
      </c>
      <c r="Q594" s="93" t="e">
        <f t="shared" si="148"/>
        <v>#DIV/0!</v>
      </c>
      <c r="R594" s="94"/>
      <c r="S594" s="276">
        <v>43465</v>
      </c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customFormat="1" ht="31.5">
      <c r="A595" s="87">
        <f t="shared" si="149"/>
        <v>11</v>
      </c>
      <c r="B595" s="234" t="s">
        <v>388</v>
      </c>
      <c r="C595" s="88">
        <v>1961</v>
      </c>
      <c r="D595" s="88"/>
      <c r="E595" s="89" t="s">
        <v>218</v>
      </c>
      <c r="F595" s="88">
        <v>5</v>
      </c>
      <c r="G595" s="88">
        <v>2</v>
      </c>
      <c r="H595" s="90"/>
      <c r="I595" s="90"/>
      <c r="J595" s="90"/>
      <c r="K595" s="91"/>
      <c r="L595" s="92">
        <v>1206304</v>
      </c>
      <c r="M595" s="92">
        <v>0</v>
      </c>
      <c r="N595" s="92">
        <v>0</v>
      </c>
      <c r="O595" s="92">
        <f t="shared" si="147"/>
        <v>1206304</v>
      </c>
      <c r="P595" s="92">
        <v>0</v>
      </c>
      <c r="Q595" s="93" t="e">
        <f t="shared" si="148"/>
        <v>#DIV/0!</v>
      </c>
      <c r="R595" s="94"/>
      <c r="S595" s="276">
        <v>43465</v>
      </c>
    </row>
    <row r="596" spans="1:30" customFormat="1" ht="31.5">
      <c r="A596" s="87">
        <f t="shared" si="149"/>
        <v>12</v>
      </c>
      <c r="B596" s="225" t="s">
        <v>419</v>
      </c>
      <c r="C596" s="88">
        <v>1961</v>
      </c>
      <c r="D596" s="95"/>
      <c r="E596" s="89" t="s">
        <v>218</v>
      </c>
      <c r="F596" s="88">
        <v>5</v>
      </c>
      <c r="G596" s="88">
        <v>3</v>
      </c>
      <c r="H596" s="90"/>
      <c r="I596" s="90"/>
      <c r="J596" s="90"/>
      <c r="K596" s="91"/>
      <c r="L596" s="92">
        <v>402530.2</v>
      </c>
      <c r="M596" s="92">
        <v>0</v>
      </c>
      <c r="N596" s="92">
        <v>0</v>
      </c>
      <c r="O596" s="92">
        <f t="shared" si="147"/>
        <v>402530.2</v>
      </c>
      <c r="P596" s="92">
        <v>0</v>
      </c>
      <c r="Q596" s="93" t="e">
        <f t="shared" si="148"/>
        <v>#DIV/0!</v>
      </c>
      <c r="R596" s="94"/>
      <c r="S596" s="276">
        <v>43465</v>
      </c>
      <c r="T596" s="33"/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</row>
    <row r="597" spans="1:30" customFormat="1" ht="31.5">
      <c r="A597" s="87">
        <f t="shared" si="149"/>
        <v>13</v>
      </c>
      <c r="B597" s="225" t="s">
        <v>387</v>
      </c>
      <c r="C597" s="97">
        <v>1967</v>
      </c>
      <c r="D597" s="97"/>
      <c r="E597" s="89" t="s">
        <v>218</v>
      </c>
      <c r="F597" s="97">
        <v>5</v>
      </c>
      <c r="G597" s="97">
        <v>8</v>
      </c>
      <c r="H597" s="90"/>
      <c r="I597" s="90"/>
      <c r="J597" s="90"/>
      <c r="K597" s="91"/>
      <c r="L597" s="92">
        <v>2861497</v>
      </c>
      <c r="M597" s="92">
        <v>0</v>
      </c>
      <c r="N597" s="92">
        <v>0</v>
      </c>
      <c r="O597" s="92">
        <f t="shared" si="147"/>
        <v>2861497</v>
      </c>
      <c r="P597" s="92">
        <v>0</v>
      </c>
      <c r="Q597" s="93" t="e">
        <f t="shared" si="148"/>
        <v>#DIV/0!</v>
      </c>
      <c r="R597" s="94"/>
      <c r="S597" s="276">
        <v>43465</v>
      </c>
    </row>
    <row r="598" spans="1:30" customFormat="1" ht="15.75">
      <c r="A598" s="87">
        <f t="shared" si="149"/>
        <v>14</v>
      </c>
      <c r="B598" s="234" t="s">
        <v>334</v>
      </c>
      <c r="C598" s="88">
        <v>1974</v>
      </c>
      <c r="D598" s="88"/>
      <c r="E598" s="89" t="s">
        <v>219</v>
      </c>
      <c r="F598" s="88">
        <v>5</v>
      </c>
      <c r="G598" s="88">
        <v>4</v>
      </c>
      <c r="H598" s="90"/>
      <c r="I598" s="90"/>
      <c r="J598" s="90"/>
      <c r="K598" s="91"/>
      <c r="L598" s="92">
        <v>1535065.47</v>
      </c>
      <c r="M598" s="92">
        <v>0</v>
      </c>
      <c r="N598" s="92">
        <v>0</v>
      </c>
      <c r="O598" s="92">
        <f t="shared" si="147"/>
        <v>1535065.47</v>
      </c>
      <c r="P598" s="92">
        <v>0</v>
      </c>
      <c r="Q598" s="93" t="e">
        <f t="shared" si="148"/>
        <v>#DIV/0!</v>
      </c>
      <c r="R598" s="94"/>
      <c r="S598" s="276">
        <v>43465</v>
      </c>
    </row>
    <row r="599" spans="1:30" customFormat="1" ht="15.75">
      <c r="A599" s="87">
        <f t="shared" si="149"/>
        <v>15</v>
      </c>
      <c r="B599" s="234" t="s">
        <v>330</v>
      </c>
      <c r="C599" s="97">
        <v>1966</v>
      </c>
      <c r="D599" s="97"/>
      <c r="E599" s="89" t="s">
        <v>219</v>
      </c>
      <c r="F599" s="97">
        <v>5</v>
      </c>
      <c r="G599" s="97">
        <v>4</v>
      </c>
      <c r="H599" s="90"/>
      <c r="I599" s="90"/>
      <c r="J599" s="90"/>
      <c r="K599" s="91"/>
      <c r="L599" s="92">
        <v>930534</v>
      </c>
      <c r="M599" s="92">
        <v>0</v>
      </c>
      <c r="N599" s="92">
        <v>0</v>
      </c>
      <c r="O599" s="92">
        <f t="shared" si="147"/>
        <v>930534</v>
      </c>
      <c r="P599" s="92">
        <v>0</v>
      </c>
      <c r="Q599" s="93" t="e">
        <f t="shared" si="148"/>
        <v>#DIV/0!</v>
      </c>
      <c r="R599" s="94"/>
      <c r="S599" s="276">
        <v>43465</v>
      </c>
    </row>
    <row r="600" spans="1:30" customFormat="1" ht="15.75">
      <c r="A600" s="87">
        <f t="shared" si="149"/>
        <v>16</v>
      </c>
      <c r="B600" s="234" t="s">
        <v>328</v>
      </c>
      <c r="C600" s="97">
        <v>1970</v>
      </c>
      <c r="D600" s="97"/>
      <c r="E600" s="89" t="s">
        <v>219</v>
      </c>
      <c r="F600" s="97">
        <v>5</v>
      </c>
      <c r="G600" s="97">
        <v>4</v>
      </c>
      <c r="H600" s="90"/>
      <c r="I600" s="90"/>
      <c r="J600" s="90"/>
      <c r="K600" s="91"/>
      <c r="L600" s="92">
        <v>662518</v>
      </c>
      <c r="M600" s="92">
        <v>0</v>
      </c>
      <c r="N600" s="92">
        <v>0</v>
      </c>
      <c r="O600" s="92">
        <f t="shared" si="147"/>
        <v>662518</v>
      </c>
      <c r="P600" s="92">
        <v>0</v>
      </c>
      <c r="Q600" s="93" t="e">
        <f t="shared" si="148"/>
        <v>#DIV/0!</v>
      </c>
      <c r="R600" s="94"/>
      <c r="S600" s="276">
        <v>43465</v>
      </c>
    </row>
    <row r="601" spans="1:30" customFormat="1" ht="31.5">
      <c r="A601" s="87">
        <f t="shared" si="149"/>
        <v>17</v>
      </c>
      <c r="B601" s="234" t="s">
        <v>333</v>
      </c>
      <c r="C601" s="88">
        <v>1979</v>
      </c>
      <c r="D601" s="88"/>
      <c r="E601" s="89" t="s">
        <v>218</v>
      </c>
      <c r="F601" s="88">
        <v>5</v>
      </c>
      <c r="G601" s="88">
        <v>4</v>
      </c>
      <c r="H601" s="90"/>
      <c r="I601" s="90"/>
      <c r="J601" s="90"/>
      <c r="K601" s="91"/>
      <c r="L601" s="92">
        <v>2346663</v>
      </c>
      <c r="M601" s="92">
        <v>0</v>
      </c>
      <c r="N601" s="92">
        <v>0</v>
      </c>
      <c r="O601" s="92">
        <f t="shared" si="147"/>
        <v>2346663</v>
      </c>
      <c r="P601" s="92">
        <v>0</v>
      </c>
      <c r="Q601" s="93" t="e">
        <f t="shared" si="148"/>
        <v>#DIV/0!</v>
      </c>
      <c r="R601" s="94"/>
      <c r="S601" s="276">
        <v>43465</v>
      </c>
    </row>
    <row r="602" spans="1:30" customFormat="1" ht="15.75">
      <c r="A602" s="87">
        <f t="shared" si="149"/>
        <v>18</v>
      </c>
      <c r="B602" s="234" t="s">
        <v>331</v>
      </c>
      <c r="C602" s="97">
        <v>1972</v>
      </c>
      <c r="D602" s="97"/>
      <c r="E602" s="89" t="s">
        <v>219</v>
      </c>
      <c r="F602" s="97">
        <v>5</v>
      </c>
      <c r="G602" s="97">
        <v>4</v>
      </c>
      <c r="H602" s="90"/>
      <c r="I602" s="90"/>
      <c r="J602" s="90"/>
      <c r="K602" s="91"/>
      <c r="L602" s="92">
        <v>727019</v>
      </c>
      <c r="M602" s="92">
        <v>0</v>
      </c>
      <c r="N602" s="92">
        <v>0</v>
      </c>
      <c r="O602" s="92">
        <f t="shared" si="147"/>
        <v>727019</v>
      </c>
      <c r="P602" s="92">
        <v>0</v>
      </c>
      <c r="Q602" s="93" t="e">
        <f t="shared" si="148"/>
        <v>#DIV/0!</v>
      </c>
      <c r="R602" s="94"/>
      <c r="S602" s="276">
        <v>43465</v>
      </c>
    </row>
    <row r="603" spans="1:30" customFormat="1" ht="31.5">
      <c r="A603" s="87">
        <f t="shared" si="149"/>
        <v>19</v>
      </c>
      <c r="B603" s="234" t="s">
        <v>329</v>
      </c>
      <c r="C603" s="97">
        <v>1963</v>
      </c>
      <c r="D603" s="97"/>
      <c r="E603" s="89" t="s">
        <v>218</v>
      </c>
      <c r="F603" s="97">
        <v>4</v>
      </c>
      <c r="G603" s="97">
        <v>3</v>
      </c>
      <c r="H603" s="97"/>
      <c r="I603" s="97"/>
      <c r="J603" s="97"/>
      <c r="K603" s="98"/>
      <c r="L603" s="92">
        <v>538121</v>
      </c>
      <c r="M603" s="92">
        <v>0</v>
      </c>
      <c r="N603" s="92">
        <v>0</v>
      </c>
      <c r="O603" s="92">
        <f t="shared" si="147"/>
        <v>538121</v>
      </c>
      <c r="P603" s="92">
        <v>0</v>
      </c>
      <c r="Q603" s="93" t="e">
        <f t="shared" si="148"/>
        <v>#DIV/0!</v>
      </c>
      <c r="R603" s="94"/>
      <c r="S603" s="276">
        <v>43465</v>
      </c>
    </row>
    <row r="604" spans="1:30" customFormat="1" ht="31.5">
      <c r="A604" s="87">
        <f t="shared" si="149"/>
        <v>20</v>
      </c>
      <c r="B604" s="234" t="s">
        <v>332</v>
      </c>
      <c r="C604" s="97">
        <v>1963</v>
      </c>
      <c r="D604" s="97"/>
      <c r="E604" s="89" t="s">
        <v>218</v>
      </c>
      <c r="F604" s="97">
        <v>4</v>
      </c>
      <c r="G604" s="97">
        <v>3</v>
      </c>
      <c r="H604" s="97"/>
      <c r="I604" s="97"/>
      <c r="J604" s="97"/>
      <c r="K604" s="98"/>
      <c r="L604" s="92">
        <v>1756852</v>
      </c>
      <c r="M604" s="92">
        <v>0</v>
      </c>
      <c r="N604" s="92">
        <v>0</v>
      </c>
      <c r="O604" s="92">
        <f t="shared" si="147"/>
        <v>1756852</v>
      </c>
      <c r="P604" s="92">
        <v>0</v>
      </c>
      <c r="Q604" s="93" t="e">
        <f t="shared" si="148"/>
        <v>#DIV/0!</v>
      </c>
      <c r="R604" s="94"/>
      <c r="S604" s="276">
        <v>43465</v>
      </c>
    </row>
    <row r="605" spans="1:30" customFormat="1" ht="15.75">
      <c r="A605" s="87">
        <f t="shared" si="149"/>
        <v>21</v>
      </c>
      <c r="B605" s="234" t="s">
        <v>316</v>
      </c>
      <c r="C605" s="88">
        <v>1974</v>
      </c>
      <c r="D605" s="88"/>
      <c r="E605" s="89" t="s">
        <v>219</v>
      </c>
      <c r="F605" s="88">
        <v>5</v>
      </c>
      <c r="G605" s="88">
        <v>4</v>
      </c>
      <c r="H605" s="90"/>
      <c r="I605" s="90"/>
      <c r="J605" s="90"/>
      <c r="K605" s="91"/>
      <c r="L605" s="92">
        <v>676398.28</v>
      </c>
      <c r="M605" s="92">
        <v>0</v>
      </c>
      <c r="N605" s="92">
        <v>0</v>
      </c>
      <c r="O605" s="92">
        <f t="shared" si="147"/>
        <v>676398.28</v>
      </c>
      <c r="P605" s="92">
        <v>0</v>
      </c>
      <c r="Q605" s="93" t="e">
        <f t="shared" si="148"/>
        <v>#DIV/0!</v>
      </c>
      <c r="R605" s="94"/>
      <c r="S605" s="276">
        <v>43465</v>
      </c>
    </row>
    <row r="606" spans="1:30" customFormat="1" ht="31.5">
      <c r="A606" s="87">
        <f t="shared" si="149"/>
        <v>22</v>
      </c>
      <c r="B606" s="225" t="s">
        <v>313</v>
      </c>
      <c r="C606" s="88">
        <v>1951</v>
      </c>
      <c r="D606" s="88"/>
      <c r="E606" s="89" t="s">
        <v>218</v>
      </c>
      <c r="F606" s="88">
        <v>2</v>
      </c>
      <c r="G606" s="88">
        <v>1</v>
      </c>
      <c r="H606" s="90"/>
      <c r="I606" s="90"/>
      <c r="J606" s="90"/>
      <c r="K606" s="91"/>
      <c r="L606" s="92">
        <v>766539</v>
      </c>
      <c r="M606" s="92">
        <v>0</v>
      </c>
      <c r="N606" s="92">
        <v>0</v>
      </c>
      <c r="O606" s="92">
        <f t="shared" si="147"/>
        <v>766539</v>
      </c>
      <c r="P606" s="92">
        <v>0</v>
      </c>
      <c r="Q606" s="93" t="e">
        <f t="shared" si="148"/>
        <v>#DIV/0!</v>
      </c>
      <c r="R606" s="94"/>
      <c r="S606" s="276">
        <v>43465</v>
      </c>
    </row>
    <row r="607" spans="1:30" customFormat="1" ht="31.5">
      <c r="A607" s="87">
        <f t="shared" si="149"/>
        <v>23</v>
      </c>
      <c r="B607" s="234" t="s">
        <v>312</v>
      </c>
      <c r="C607" s="97">
        <v>1983</v>
      </c>
      <c r="D607" s="97"/>
      <c r="E607" s="89" t="s">
        <v>218</v>
      </c>
      <c r="F607" s="97">
        <v>9</v>
      </c>
      <c r="G607" s="97">
        <v>2</v>
      </c>
      <c r="H607" s="97"/>
      <c r="I607" s="97"/>
      <c r="J607" s="97"/>
      <c r="K607" s="98"/>
      <c r="L607" s="92">
        <v>1186114</v>
      </c>
      <c r="M607" s="92">
        <v>0</v>
      </c>
      <c r="N607" s="92">
        <v>0</v>
      </c>
      <c r="O607" s="92">
        <f t="shared" si="147"/>
        <v>1186114</v>
      </c>
      <c r="P607" s="92">
        <v>0</v>
      </c>
      <c r="Q607" s="93" t="e">
        <f t="shared" si="148"/>
        <v>#DIV/0!</v>
      </c>
      <c r="R607" s="94"/>
      <c r="S607" s="276">
        <v>43465</v>
      </c>
    </row>
    <row r="608" spans="1:30" customFormat="1" ht="31.5">
      <c r="A608" s="87">
        <f t="shared" si="149"/>
        <v>24</v>
      </c>
      <c r="B608" s="225" t="s">
        <v>311</v>
      </c>
      <c r="C608" s="97">
        <v>1958</v>
      </c>
      <c r="D608" s="97"/>
      <c r="E608" s="89" t="s">
        <v>218</v>
      </c>
      <c r="F608" s="97">
        <v>3</v>
      </c>
      <c r="G608" s="97">
        <v>2</v>
      </c>
      <c r="H608" s="97"/>
      <c r="I608" s="97"/>
      <c r="J608" s="97"/>
      <c r="K608" s="98"/>
      <c r="L608" s="92">
        <v>178272.59</v>
      </c>
      <c r="M608" s="92">
        <v>0</v>
      </c>
      <c r="N608" s="92">
        <v>0</v>
      </c>
      <c r="O608" s="92">
        <f t="shared" si="147"/>
        <v>178272.59</v>
      </c>
      <c r="P608" s="92">
        <v>0</v>
      </c>
      <c r="Q608" s="93" t="e">
        <f t="shared" si="148"/>
        <v>#DIV/0!</v>
      </c>
      <c r="R608" s="94"/>
      <c r="S608" s="276">
        <v>43465</v>
      </c>
    </row>
    <row r="609" spans="1:48" customFormat="1" ht="31.5">
      <c r="A609" s="87">
        <f t="shared" si="149"/>
        <v>25</v>
      </c>
      <c r="B609" s="234" t="s">
        <v>315</v>
      </c>
      <c r="C609" s="88">
        <v>1963</v>
      </c>
      <c r="D609" s="88"/>
      <c r="E609" s="89" t="s">
        <v>218</v>
      </c>
      <c r="F609" s="88">
        <v>4</v>
      </c>
      <c r="G609" s="88">
        <v>2</v>
      </c>
      <c r="H609" s="90"/>
      <c r="I609" s="90"/>
      <c r="J609" s="90"/>
      <c r="K609" s="91"/>
      <c r="L609" s="92">
        <v>1087116</v>
      </c>
      <c r="M609" s="92">
        <v>0</v>
      </c>
      <c r="N609" s="92">
        <v>0</v>
      </c>
      <c r="O609" s="92">
        <f t="shared" si="147"/>
        <v>1087116</v>
      </c>
      <c r="P609" s="92">
        <v>0</v>
      </c>
      <c r="Q609" s="93" t="e">
        <f t="shared" si="148"/>
        <v>#DIV/0!</v>
      </c>
      <c r="R609" s="94"/>
      <c r="S609" s="276">
        <v>43465</v>
      </c>
    </row>
    <row r="610" spans="1:48" customFormat="1" ht="31.5">
      <c r="A610" s="87">
        <f t="shared" si="149"/>
        <v>26</v>
      </c>
      <c r="B610" s="234" t="s">
        <v>351</v>
      </c>
      <c r="C610" s="88">
        <v>1984</v>
      </c>
      <c r="D610" s="88"/>
      <c r="E610" s="89" t="s">
        <v>218</v>
      </c>
      <c r="F610" s="88">
        <v>9</v>
      </c>
      <c r="G610" s="88">
        <v>2</v>
      </c>
      <c r="H610" s="90"/>
      <c r="I610" s="90"/>
      <c r="J610" s="90"/>
      <c r="K610" s="91"/>
      <c r="L610" s="92">
        <v>1411363</v>
      </c>
      <c r="M610" s="92">
        <v>0</v>
      </c>
      <c r="N610" s="92">
        <v>0</v>
      </c>
      <c r="O610" s="92">
        <f t="shared" si="147"/>
        <v>1411363</v>
      </c>
      <c r="P610" s="92">
        <v>0</v>
      </c>
      <c r="Q610" s="93" t="e">
        <f t="shared" si="148"/>
        <v>#DIV/0!</v>
      </c>
      <c r="R610" s="94"/>
      <c r="S610" s="276">
        <v>43465</v>
      </c>
    </row>
    <row r="611" spans="1:48" customFormat="1" ht="31.5">
      <c r="A611" s="87">
        <f t="shared" si="149"/>
        <v>27</v>
      </c>
      <c r="B611" s="234" t="s">
        <v>314</v>
      </c>
      <c r="C611" s="88">
        <v>1964</v>
      </c>
      <c r="D611" s="88"/>
      <c r="E611" s="89" t="s">
        <v>218</v>
      </c>
      <c r="F611" s="88">
        <v>4</v>
      </c>
      <c r="G611" s="88">
        <v>2</v>
      </c>
      <c r="H611" s="90"/>
      <c r="I611" s="90"/>
      <c r="J611" s="90"/>
      <c r="K611" s="91"/>
      <c r="L611" s="92">
        <v>1136666</v>
      </c>
      <c r="M611" s="92">
        <v>0</v>
      </c>
      <c r="N611" s="92">
        <v>0</v>
      </c>
      <c r="O611" s="92">
        <f t="shared" si="147"/>
        <v>1136666</v>
      </c>
      <c r="P611" s="92">
        <v>0</v>
      </c>
      <c r="Q611" s="93" t="e">
        <f t="shared" si="148"/>
        <v>#DIV/0!</v>
      </c>
      <c r="R611" s="94"/>
      <c r="S611" s="276">
        <v>43465</v>
      </c>
    </row>
    <row r="612" spans="1:48" customFormat="1" ht="31.5">
      <c r="A612" s="87">
        <f t="shared" si="149"/>
        <v>28</v>
      </c>
      <c r="B612" s="234" t="s">
        <v>369</v>
      </c>
      <c r="C612" s="97">
        <v>1959</v>
      </c>
      <c r="D612" s="97"/>
      <c r="E612" s="89" t="s">
        <v>218</v>
      </c>
      <c r="F612" s="97">
        <v>4</v>
      </c>
      <c r="G612" s="97">
        <v>6</v>
      </c>
      <c r="H612" s="97"/>
      <c r="I612" s="97"/>
      <c r="J612" s="97"/>
      <c r="K612" s="98"/>
      <c r="L612" s="92">
        <v>1385674</v>
      </c>
      <c r="M612" s="92">
        <v>0</v>
      </c>
      <c r="N612" s="92">
        <v>0</v>
      </c>
      <c r="O612" s="92">
        <f t="shared" si="147"/>
        <v>1385674</v>
      </c>
      <c r="P612" s="92">
        <v>0</v>
      </c>
      <c r="Q612" s="93" t="e">
        <f t="shared" si="148"/>
        <v>#DIV/0!</v>
      </c>
      <c r="R612" s="94"/>
      <c r="S612" s="276">
        <v>43465</v>
      </c>
    </row>
    <row r="613" spans="1:48" customFormat="1" ht="31.5">
      <c r="A613" s="87">
        <f t="shared" si="149"/>
        <v>29</v>
      </c>
      <c r="B613" s="234" t="s">
        <v>370</v>
      </c>
      <c r="C613" s="97">
        <v>1937</v>
      </c>
      <c r="D613" s="97"/>
      <c r="E613" s="89" t="s">
        <v>218</v>
      </c>
      <c r="F613" s="97">
        <v>4</v>
      </c>
      <c r="G613" s="97">
        <v>9</v>
      </c>
      <c r="H613" s="97"/>
      <c r="I613" s="97"/>
      <c r="J613" s="97"/>
      <c r="K613" s="98"/>
      <c r="L613" s="92">
        <v>4619990</v>
      </c>
      <c r="M613" s="92">
        <v>0</v>
      </c>
      <c r="N613" s="92">
        <v>0</v>
      </c>
      <c r="O613" s="92">
        <f t="shared" si="147"/>
        <v>4619990</v>
      </c>
      <c r="P613" s="92">
        <v>0</v>
      </c>
      <c r="Q613" s="93" t="e">
        <f t="shared" si="148"/>
        <v>#DIV/0!</v>
      </c>
      <c r="R613" s="94"/>
      <c r="S613" s="276">
        <v>43465</v>
      </c>
    </row>
    <row r="614" spans="1:48" customFormat="1" ht="31.5">
      <c r="A614" s="87">
        <f t="shared" si="149"/>
        <v>30</v>
      </c>
      <c r="B614" s="234" t="s">
        <v>373</v>
      </c>
      <c r="C614" s="97">
        <v>1960</v>
      </c>
      <c r="D614" s="97"/>
      <c r="E614" s="89" t="s">
        <v>218</v>
      </c>
      <c r="F614" s="97">
        <v>4</v>
      </c>
      <c r="G614" s="97">
        <v>3</v>
      </c>
      <c r="H614" s="97"/>
      <c r="I614" s="97"/>
      <c r="J614" s="97"/>
      <c r="K614" s="98"/>
      <c r="L614" s="92">
        <v>1865304</v>
      </c>
      <c r="M614" s="92">
        <v>0</v>
      </c>
      <c r="N614" s="92">
        <v>0</v>
      </c>
      <c r="O614" s="92">
        <f t="shared" si="147"/>
        <v>1865304</v>
      </c>
      <c r="P614" s="92">
        <v>0</v>
      </c>
      <c r="Q614" s="93" t="e">
        <f t="shared" si="148"/>
        <v>#DIV/0!</v>
      </c>
      <c r="R614" s="94"/>
      <c r="S614" s="276">
        <v>43465</v>
      </c>
    </row>
    <row r="615" spans="1:48" customFormat="1" ht="31.5">
      <c r="A615" s="87">
        <f t="shared" si="149"/>
        <v>31</v>
      </c>
      <c r="B615" s="234" t="s">
        <v>381</v>
      </c>
      <c r="C615" s="88">
        <v>1961</v>
      </c>
      <c r="D615" s="88"/>
      <c r="E615" s="89" t="s">
        <v>218</v>
      </c>
      <c r="F615" s="88">
        <v>5</v>
      </c>
      <c r="G615" s="88">
        <v>4</v>
      </c>
      <c r="H615" s="90"/>
      <c r="I615" s="90"/>
      <c r="J615" s="90"/>
      <c r="K615" s="91"/>
      <c r="L615" s="92">
        <v>1870910</v>
      </c>
      <c r="M615" s="92">
        <v>0</v>
      </c>
      <c r="N615" s="92">
        <v>0</v>
      </c>
      <c r="O615" s="92">
        <f t="shared" si="147"/>
        <v>1870910</v>
      </c>
      <c r="P615" s="92">
        <v>0</v>
      </c>
      <c r="Q615" s="93" t="e">
        <f t="shared" si="148"/>
        <v>#DIV/0!</v>
      </c>
      <c r="R615" s="94"/>
      <c r="S615" s="276">
        <v>43465</v>
      </c>
    </row>
    <row r="616" spans="1:48" customFormat="1" ht="31.5">
      <c r="A616" s="87">
        <f t="shared" si="149"/>
        <v>32</v>
      </c>
      <c r="B616" s="234" t="s">
        <v>382</v>
      </c>
      <c r="C616" s="88">
        <v>1960</v>
      </c>
      <c r="D616" s="88"/>
      <c r="E616" s="89" t="s">
        <v>218</v>
      </c>
      <c r="F616" s="88">
        <v>5</v>
      </c>
      <c r="G616" s="88">
        <v>4</v>
      </c>
      <c r="H616" s="90"/>
      <c r="I616" s="90"/>
      <c r="J616" s="90"/>
      <c r="K616" s="91"/>
      <c r="L616" s="92">
        <v>1533757</v>
      </c>
      <c r="M616" s="92">
        <v>0</v>
      </c>
      <c r="N616" s="92">
        <v>0</v>
      </c>
      <c r="O616" s="92">
        <f t="shared" si="147"/>
        <v>1533757</v>
      </c>
      <c r="P616" s="92">
        <v>0</v>
      </c>
      <c r="Q616" s="93" t="e">
        <f t="shared" si="148"/>
        <v>#DIV/0!</v>
      </c>
      <c r="R616" s="94"/>
      <c r="S616" s="276">
        <v>43465</v>
      </c>
    </row>
    <row r="617" spans="1:48" customFormat="1" ht="31.5">
      <c r="A617" s="87">
        <f t="shared" si="149"/>
        <v>33</v>
      </c>
      <c r="B617" s="234" t="s">
        <v>371</v>
      </c>
      <c r="C617" s="97">
        <v>1960</v>
      </c>
      <c r="D617" s="97"/>
      <c r="E617" s="89" t="s">
        <v>218</v>
      </c>
      <c r="F617" s="97">
        <v>5</v>
      </c>
      <c r="G617" s="97">
        <v>4</v>
      </c>
      <c r="H617" s="97"/>
      <c r="I617" s="97"/>
      <c r="J617" s="97"/>
      <c r="K617" s="98"/>
      <c r="L617" s="92">
        <v>939858</v>
      </c>
      <c r="M617" s="92">
        <v>0</v>
      </c>
      <c r="N617" s="92">
        <v>0</v>
      </c>
      <c r="O617" s="92">
        <f t="shared" si="147"/>
        <v>939858</v>
      </c>
      <c r="P617" s="92">
        <v>0</v>
      </c>
      <c r="Q617" s="93" t="e">
        <f t="shared" si="148"/>
        <v>#DIV/0!</v>
      </c>
      <c r="R617" s="94"/>
      <c r="S617" s="276">
        <v>43465</v>
      </c>
    </row>
    <row r="618" spans="1:48" customFormat="1" ht="15.75">
      <c r="A618" s="87">
        <f t="shared" si="149"/>
        <v>34</v>
      </c>
      <c r="B618" s="225" t="s">
        <v>377</v>
      </c>
      <c r="C618" s="88">
        <v>1973</v>
      </c>
      <c r="D618" s="88"/>
      <c r="E618" s="89" t="s">
        <v>219</v>
      </c>
      <c r="F618" s="88">
        <v>5</v>
      </c>
      <c r="G618" s="88">
        <v>6</v>
      </c>
      <c r="H618" s="90"/>
      <c r="I618" s="90"/>
      <c r="J618" s="90"/>
      <c r="K618" s="91"/>
      <c r="L618" s="92">
        <v>2368392</v>
      </c>
      <c r="M618" s="92">
        <v>0</v>
      </c>
      <c r="N618" s="92">
        <v>0</v>
      </c>
      <c r="O618" s="92">
        <f t="shared" si="147"/>
        <v>2368392</v>
      </c>
      <c r="P618" s="92">
        <v>0</v>
      </c>
      <c r="Q618" s="93" t="e">
        <f t="shared" si="148"/>
        <v>#DIV/0!</v>
      </c>
      <c r="R618" s="94"/>
      <c r="S618" s="276">
        <v>43465</v>
      </c>
    </row>
    <row r="619" spans="1:48" customFormat="1" ht="31.5">
      <c r="A619" s="87">
        <f t="shared" si="149"/>
        <v>35</v>
      </c>
      <c r="B619" s="225" t="s">
        <v>378</v>
      </c>
      <c r="C619" s="88">
        <v>1961</v>
      </c>
      <c r="D619" s="88"/>
      <c r="E619" s="89" t="s">
        <v>218</v>
      </c>
      <c r="F619" s="88">
        <v>5</v>
      </c>
      <c r="G619" s="88">
        <v>2</v>
      </c>
      <c r="H619" s="90"/>
      <c r="I619" s="90"/>
      <c r="J619" s="90"/>
      <c r="K619" s="91"/>
      <c r="L619" s="92">
        <v>2433930.91</v>
      </c>
      <c r="M619" s="92">
        <v>0</v>
      </c>
      <c r="N619" s="92">
        <v>0</v>
      </c>
      <c r="O619" s="92">
        <f t="shared" si="147"/>
        <v>2433930.91</v>
      </c>
      <c r="P619" s="92">
        <v>0</v>
      </c>
      <c r="Q619" s="93" t="e">
        <f t="shared" si="148"/>
        <v>#DIV/0!</v>
      </c>
      <c r="R619" s="94"/>
      <c r="S619" s="276">
        <v>43465</v>
      </c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</row>
    <row r="620" spans="1:48" customFormat="1" ht="31.5">
      <c r="A620" s="87">
        <f t="shared" si="149"/>
        <v>36</v>
      </c>
      <c r="B620" s="234" t="s">
        <v>383</v>
      </c>
      <c r="C620" s="88">
        <v>1964</v>
      </c>
      <c r="D620" s="88"/>
      <c r="E620" s="89" t="s">
        <v>218</v>
      </c>
      <c r="F620" s="88">
        <v>5</v>
      </c>
      <c r="G620" s="88">
        <v>4</v>
      </c>
      <c r="H620" s="90"/>
      <c r="I620" s="90"/>
      <c r="J620" s="90"/>
      <c r="K620" s="91"/>
      <c r="L620" s="92">
        <v>1721850</v>
      </c>
      <c r="M620" s="92">
        <v>0</v>
      </c>
      <c r="N620" s="92">
        <v>0</v>
      </c>
      <c r="O620" s="92">
        <f t="shared" si="147"/>
        <v>1721850</v>
      </c>
      <c r="P620" s="92">
        <v>0</v>
      </c>
      <c r="Q620" s="93" t="e">
        <f t="shared" si="148"/>
        <v>#DIV/0!</v>
      </c>
      <c r="R620" s="94"/>
      <c r="S620" s="276">
        <v>43465</v>
      </c>
    </row>
    <row r="621" spans="1:48" s="1" customFormat="1" ht="31.5">
      <c r="A621" s="87">
        <f t="shared" si="149"/>
        <v>37</v>
      </c>
      <c r="B621" s="234" t="s">
        <v>368</v>
      </c>
      <c r="C621" s="97">
        <v>1957</v>
      </c>
      <c r="D621" s="97"/>
      <c r="E621" s="89" t="s">
        <v>218</v>
      </c>
      <c r="F621" s="97">
        <v>4</v>
      </c>
      <c r="G621" s="97">
        <v>4</v>
      </c>
      <c r="H621" s="97"/>
      <c r="I621" s="97"/>
      <c r="J621" s="97"/>
      <c r="K621" s="98"/>
      <c r="L621" s="92">
        <v>814117</v>
      </c>
      <c r="M621" s="92">
        <v>0</v>
      </c>
      <c r="N621" s="92">
        <v>0</v>
      </c>
      <c r="O621" s="92">
        <f t="shared" si="147"/>
        <v>814117</v>
      </c>
      <c r="P621" s="92">
        <v>0</v>
      </c>
      <c r="Q621" s="93" t="e">
        <f t="shared" si="148"/>
        <v>#DIV/0!</v>
      </c>
      <c r="R621" s="94"/>
      <c r="S621" s="276">
        <v>43465</v>
      </c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</row>
    <row r="622" spans="1:48" customFormat="1" ht="31.5">
      <c r="A622" s="87">
        <f t="shared" si="149"/>
        <v>38</v>
      </c>
      <c r="B622" s="234" t="s">
        <v>375</v>
      </c>
      <c r="C622" s="88">
        <v>1957</v>
      </c>
      <c r="D622" s="88"/>
      <c r="E622" s="89" t="s">
        <v>218</v>
      </c>
      <c r="F622" s="88">
        <v>4</v>
      </c>
      <c r="G622" s="88">
        <v>4</v>
      </c>
      <c r="H622" s="90"/>
      <c r="I622" s="90"/>
      <c r="J622" s="90"/>
      <c r="K622" s="91"/>
      <c r="L622" s="92">
        <v>3045081</v>
      </c>
      <c r="M622" s="92">
        <v>0</v>
      </c>
      <c r="N622" s="92">
        <v>0</v>
      </c>
      <c r="O622" s="92">
        <f t="shared" si="147"/>
        <v>3045081</v>
      </c>
      <c r="P622" s="92">
        <v>0</v>
      </c>
      <c r="Q622" s="93" t="e">
        <f t="shared" si="148"/>
        <v>#DIV/0!</v>
      </c>
      <c r="R622" s="94"/>
      <c r="S622" s="276">
        <v>43465</v>
      </c>
    </row>
    <row r="623" spans="1:48" customFormat="1" ht="31.5">
      <c r="A623" s="87">
        <f t="shared" si="149"/>
        <v>39</v>
      </c>
      <c r="B623" s="234" t="s">
        <v>380</v>
      </c>
      <c r="C623" s="88">
        <v>1954</v>
      </c>
      <c r="D623" s="88"/>
      <c r="E623" s="89" t="s">
        <v>218</v>
      </c>
      <c r="F623" s="88">
        <v>3</v>
      </c>
      <c r="G623" s="88">
        <v>3</v>
      </c>
      <c r="H623" s="90"/>
      <c r="I623" s="90"/>
      <c r="J623" s="90"/>
      <c r="K623" s="91"/>
      <c r="L623" s="92">
        <v>2244806</v>
      </c>
      <c r="M623" s="92">
        <v>0</v>
      </c>
      <c r="N623" s="92">
        <v>0</v>
      </c>
      <c r="O623" s="92">
        <f t="shared" si="147"/>
        <v>2244806</v>
      </c>
      <c r="P623" s="92">
        <v>0</v>
      </c>
      <c r="Q623" s="93" t="e">
        <f t="shared" si="148"/>
        <v>#DIV/0!</v>
      </c>
      <c r="R623" s="94"/>
      <c r="S623" s="276">
        <v>43465</v>
      </c>
    </row>
    <row r="624" spans="1:48" customFormat="1" ht="31.5">
      <c r="A624" s="87">
        <f t="shared" si="149"/>
        <v>40</v>
      </c>
      <c r="B624" s="234" t="s">
        <v>374</v>
      </c>
      <c r="C624" s="88">
        <v>1963</v>
      </c>
      <c r="D624" s="88"/>
      <c r="E624" s="89" t="s">
        <v>218</v>
      </c>
      <c r="F624" s="88">
        <v>4</v>
      </c>
      <c r="G624" s="88">
        <v>2</v>
      </c>
      <c r="H624" s="90"/>
      <c r="I624" s="90"/>
      <c r="J624" s="90"/>
      <c r="K624" s="91"/>
      <c r="L624" s="92">
        <v>1361273</v>
      </c>
      <c r="M624" s="92">
        <v>0</v>
      </c>
      <c r="N624" s="92">
        <v>0</v>
      </c>
      <c r="O624" s="92">
        <f t="shared" si="147"/>
        <v>1361273</v>
      </c>
      <c r="P624" s="92">
        <v>0</v>
      </c>
      <c r="Q624" s="93" t="e">
        <f t="shared" si="148"/>
        <v>#DIV/0!</v>
      </c>
      <c r="R624" s="94"/>
      <c r="S624" s="276">
        <v>43465</v>
      </c>
    </row>
    <row r="625" spans="1:48" customFormat="1" ht="31.5">
      <c r="A625" s="87">
        <f t="shared" si="149"/>
        <v>41</v>
      </c>
      <c r="B625" s="234" t="s">
        <v>469</v>
      </c>
      <c r="C625" s="88">
        <v>1959</v>
      </c>
      <c r="D625" s="88"/>
      <c r="E625" s="89" t="s">
        <v>218</v>
      </c>
      <c r="F625" s="88">
        <v>4</v>
      </c>
      <c r="G625" s="88">
        <v>4</v>
      </c>
      <c r="H625" s="90"/>
      <c r="I625" s="90"/>
      <c r="J625" s="90"/>
      <c r="K625" s="91"/>
      <c r="L625" s="92">
        <v>2421596</v>
      </c>
      <c r="M625" s="92">
        <v>0</v>
      </c>
      <c r="N625" s="92">
        <v>0</v>
      </c>
      <c r="O625" s="92">
        <f t="shared" si="147"/>
        <v>2421596</v>
      </c>
      <c r="P625" s="92">
        <v>0</v>
      </c>
      <c r="Q625" s="93" t="e">
        <f t="shared" si="148"/>
        <v>#DIV/0!</v>
      </c>
      <c r="R625" s="94"/>
      <c r="S625" s="276">
        <v>43465</v>
      </c>
    </row>
    <row r="626" spans="1:48" customFormat="1" ht="31.5">
      <c r="A626" s="87">
        <f t="shared" si="149"/>
        <v>42</v>
      </c>
      <c r="B626" s="234" t="s">
        <v>379</v>
      </c>
      <c r="C626" s="88">
        <v>1967</v>
      </c>
      <c r="D626" s="88"/>
      <c r="E626" s="89" t="s">
        <v>218</v>
      </c>
      <c r="F626" s="88">
        <v>6</v>
      </c>
      <c r="G626" s="88">
        <v>5</v>
      </c>
      <c r="H626" s="90"/>
      <c r="I626" s="90"/>
      <c r="J626" s="90"/>
      <c r="K626" s="91"/>
      <c r="L626" s="92">
        <v>2056315</v>
      </c>
      <c r="M626" s="92">
        <v>0</v>
      </c>
      <c r="N626" s="92">
        <v>0</v>
      </c>
      <c r="O626" s="92">
        <f t="shared" si="147"/>
        <v>2056315</v>
      </c>
      <c r="P626" s="92">
        <v>0</v>
      </c>
      <c r="Q626" s="93" t="e">
        <f t="shared" si="148"/>
        <v>#DIV/0!</v>
      </c>
      <c r="R626" s="94"/>
      <c r="S626" s="276">
        <v>43465</v>
      </c>
    </row>
    <row r="627" spans="1:48" customFormat="1" ht="31.5">
      <c r="A627" s="87">
        <f t="shared" si="149"/>
        <v>43</v>
      </c>
      <c r="B627" s="234" t="s">
        <v>372</v>
      </c>
      <c r="C627" s="97">
        <v>1975</v>
      </c>
      <c r="D627" s="97"/>
      <c r="E627" s="89" t="s">
        <v>218</v>
      </c>
      <c r="F627" s="97">
        <v>9</v>
      </c>
      <c r="G627" s="97">
        <v>5</v>
      </c>
      <c r="H627" s="97"/>
      <c r="I627" s="97"/>
      <c r="J627" s="97"/>
      <c r="K627" s="98"/>
      <c r="L627" s="92">
        <v>9473593</v>
      </c>
      <c r="M627" s="92">
        <v>0</v>
      </c>
      <c r="N627" s="92">
        <v>0</v>
      </c>
      <c r="O627" s="92">
        <f t="shared" si="147"/>
        <v>9473593</v>
      </c>
      <c r="P627" s="92">
        <v>0</v>
      </c>
      <c r="Q627" s="93" t="e">
        <f t="shared" si="148"/>
        <v>#DIV/0!</v>
      </c>
      <c r="R627" s="94"/>
      <c r="S627" s="276">
        <v>43465</v>
      </c>
    </row>
    <row r="628" spans="1:48" customFormat="1" ht="31.5">
      <c r="A628" s="87">
        <f t="shared" si="149"/>
        <v>44</v>
      </c>
      <c r="B628" s="225" t="s">
        <v>344</v>
      </c>
      <c r="C628" s="87">
        <v>1968</v>
      </c>
      <c r="D628" s="88"/>
      <c r="E628" s="89" t="s">
        <v>218</v>
      </c>
      <c r="F628" s="88">
        <v>5</v>
      </c>
      <c r="G628" s="88">
        <v>6</v>
      </c>
      <c r="H628" s="96"/>
      <c r="I628" s="96"/>
      <c r="J628" s="82"/>
      <c r="K628" s="81"/>
      <c r="L628" s="92">
        <v>4441828</v>
      </c>
      <c r="M628" s="92">
        <v>0</v>
      </c>
      <c r="N628" s="92">
        <v>0</v>
      </c>
      <c r="O628" s="92">
        <f t="shared" si="147"/>
        <v>4441828</v>
      </c>
      <c r="P628" s="92">
        <v>0</v>
      </c>
      <c r="Q628" s="93" t="e">
        <f t="shared" si="148"/>
        <v>#DIV/0!</v>
      </c>
      <c r="R628" s="94"/>
      <c r="S628" s="276">
        <v>43465</v>
      </c>
    </row>
    <row r="629" spans="1:48" customFormat="1" ht="15.75">
      <c r="A629" s="87">
        <f t="shared" si="149"/>
        <v>45</v>
      </c>
      <c r="B629" s="234" t="s">
        <v>348</v>
      </c>
      <c r="C629" s="88">
        <v>1977</v>
      </c>
      <c r="D629" s="88"/>
      <c r="E629" s="89" t="s">
        <v>219</v>
      </c>
      <c r="F629" s="88">
        <v>5</v>
      </c>
      <c r="G629" s="88">
        <v>8</v>
      </c>
      <c r="H629" s="90"/>
      <c r="I629" s="90"/>
      <c r="J629" s="90"/>
      <c r="K629" s="91"/>
      <c r="L629" s="92">
        <v>3051089</v>
      </c>
      <c r="M629" s="92">
        <v>0</v>
      </c>
      <c r="N629" s="92">
        <v>0</v>
      </c>
      <c r="O629" s="92">
        <f t="shared" si="147"/>
        <v>3051089</v>
      </c>
      <c r="P629" s="92">
        <v>0</v>
      </c>
      <c r="Q629" s="93" t="e">
        <f t="shared" si="148"/>
        <v>#DIV/0!</v>
      </c>
      <c r="R629" s="94"/>
      <c r="S629" s="276">
        <v>43465</v>
      </c>
    </row>
    <row r="630" spans="1:48" customFormat="1" ht="31.5">
      <c r="A630" s="87">
        <f t="shared" si="149"/>
        <v>46</v>
      </c>
      <c r="B630" s="225" t="s">
        <v>386</v>
      </c>
      <c r="C630" s="97">
        <v>1956</v>
      </c>
      <c r="D630" s="97"/>
      <c r="E630" s="89" t="s">
        <v>218</v>
      </c>
      <c r="F630" s="97">
        <v>2</v>
      </c>
      <c r="G630" s="97">
        <v>2</v>
      </c>
      <c r="H630" s="97"/>
      <c r="I630" s="97"/>
      <c r="J630" s="97"/>
      <c r="K630" s="98"/>
      <c r="L630" s="92">
        <v>869749</v>
      </c>
      <c r="M630" s="92">
        <v>0</v>
      </c>
      <c r="N630" s="92">
        <v>0</v>
      </c>
      <c r="O630" s="92">
        <f t="shared" si="147"/>
        <v>869749</v>
      </c>
      <c r="P630" s="92">
        <v>0</v>
      </c>
      <c r="Q630" s="93" t="e">
        <f t="shared" si="148"/>
        <v>#DIV/0!</v>
      </c>
      <c r="R630" s="94"/>
      <c r="S630" s="276">
        <v>43465</v>
      </c>
    </row>
    <row r="631" spans="1:48" customFormat="1" ht="31.5">
      <c r="A631" s="87">
        <f t="shared" si="149"/>
        <v>47</v>
      </c>
      <c r="B631" s="225" t="s">
        <v>461</v>
      </c>
      <c r="C631" s="88">
        <v>1956</v>
      </c>
      <c r="D631" s="88"/>
      <c r="E631" s="89" t="s">
        <v>218</v>
      </c>
      <c r="F631" s="88">
        <v>2</v>
      </c>
      <c r="G631" s="88">
        <v>2</v>
      </c>
      <c r="H631" s="90"/>
      <c r="I631" s="90"/>
      <c r="J631" s="90"/>
      <c r="K631" s="91"/>
      <c r="L631" s="92">
        <v>869880</v>
      </c>
      <c r="M631" s="92">
        <v>0</v>
      </c>
      <c r="N631" s="92">
        <v>0</v>
      </c>
      <c r="O631" s="92">
        <f t="shared" si="147"/>
        <v>869880</v>
      </c>
      <c r="P631" s="92">
        <v>0</v>
      </c>
      <c r="Q631" s="93" t="e">
        <f t="shared" si="148"/>
        <v>#DIV/0!</v>
      </c>
      <c r="R631" s="94"/>
      <c r="S631" s="276">
        <v>43465</v>
      </c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</row>
    <row r="632" spans="1:48" customFormat="1" ht="31.5">
      <c r="A632" s="87">
        <f t="shared" si="149"/>
        <v>48</v>
      </c>
      <c r="B632" s="234" t="s">
        <v>462</v>
      </c>
      <c r="C632" s="88">
        <v>1959</v>
      </c>
      <c r="D632" s="95"/>
      <c r="E632" s="89" t="s">
        <v>218</v>
      </c>
      <c r="F632" s="88">
        <v>2</v>
      </c>
      <c r="G632" s="88">
        <v>2</v>
      </c>
      <c r="H632" s="90"/>
      <c r="I632" s="90"/>
      <c r="J632" s="90"/>
      <c r="K632" s="91"/>
      <c r="L632" s="92">
        <v>172302</v>
      </c>
      <c r="M632" s="92">
        <v>0</v>
      </c>
      <c r="N632" s="92">
        <v>0</v>
      </c>
      <c r="O632" s="92">
        <f t="shared" si="147"/>
        <v>172302</v>
      </c>
      <c r="P632" s="92">
        <v>0</v>
      </c>
      <c r="Q632" s="93" t="e">
        <f t="shared" si="148"/>
        <v>#DIV/0!</v>
      </c>
      <c r="R632" s="94"/>
      <c r="S632" s="276">
        <v>43465</v>
      </c>
    </row>
    <row r="633" spans="1:48" customFormat="1" ht="31.5">
      <c r="A633" s="87">
        <f t="shared" si="149"/>
        <v>49</v>
      </c>
      <c r="B633" s="234" t="s">
        <v>389</v>
      </c>
      <c r="C633" s="88">
        <v>1910</v>
      </c>
      <c r="D633" s="88"/>
      <c r="E633" s="89" t="s">
        <v>218</v>
      </c>
      <c r="F633" s="88">
        <v>4</v>
      </c>
      <c r="G633" s="88">
        <v>1</v>
      </c>
      <c r="H633" s="90"/>
      <c r="I633" s="90"/>
      <c r="J633" s="90"/>
      <c r="K633" s="91"/>
      <c r="L633" s="92">
        <v>3706393</v>
      </c>
      <c r="M633" s="92">
        <v>0</v>
      </c>
      <c r="N633" s="92">
        <v>0</v>
      </c>
      <c r="O633" s="92">
        <f t="shared" si="147"/>
        <v>3706393</v>
      </c>
      <c r="P633" s="92">
        <v>0</v>
      </c>
      <c r="Q633" s="93" t="e">
        <f t="shared" si="148"/>
        <v>#DIV/0!</v>
      </c>
      <c r="R633" s="94"/>
      <c r="S633" s="276">
        <v>43465</v>
      </c>
    </row>
    <row r="634" spans="1:48" customFormat="1" ht="31.5">
      <c r="A634" s="87">
        <f t="shared" si="149"/>
        <v>50</v>
      </c>
      <c r="B634" s="234" t="s">
        <v>317</v>
      </c>
      <c r="C634" s="97">
        <v>1914</v>
      </c>
      <c r="D634" s="97"/>
      <c r="E634" s="89" t="s">
        <v>218</v>
      </c>
      <c r="F634" s="97">
        <v>4</v>
      </c>
      <c r="G634" s="97">
        <v>5</v>
      </c>
      <c r="H634" s="97"/>
      <c r="I634" s="97"/>
      <c r="J634" s="97"/>
      <c r="K634" s="98"/>
      <c r="L634" s="92">
        <v>698585</v>
      </c>
      <c r="M634" s="92">
        <v>0</v>
      </c>
      <c r="N634" s="92">
        <v>0</v>
      </c>
      <c r="O634" s="92">
        <f t="shared" si="147"/>
        <v>698585</v>
      </c>
      <c r="P634" s="92">
        <v>0</v>
      </c>
      <c r="Q634" s="93" t="e">
        <f t="shared" si="148"/>
        <v>#DIV/0!</v>
      </c>
      <c r="R634" s="94"/>
      <c r="S634" s="276">
        <v>43465</v>
      </c>
    </row>
    <row r="635" spans="1:48" customFormat="1" ht="31.5">
      <c r="A635" s="87">
        <f t="shared" si="149"/>
        <v>51</v>
      </c>
      <c r="B635" s="234" t="s">
        <v>384</v>
      </c>
      <c r="C635" s="97" t="s">
        <v>190</v>
      </c>
      <c r="D635" s="97"/>
      <c r="E635" s="89" t="s">
        <v>218</v>
      </c>
      <c r="F635" s="97">
        <v>2</v>
      </c>
      <c r="G635" s="97">
        <v>3</v>
      </c>
      <c r="H635" s="97"/>
      <c r="I635" s="97"/>
      <c r="J635" s="97"/>
      <c r="K635" s="98"/>
      <c r="L635" s="92">
        <v>951740</v>
      </c>
      <c r="M635" s="92">
        <v>0</v>
      </c>
      <c r="N635" s="92">
        <v>0</v>
      </c>
      <c r="O635" s="92">
        <f t="shared" si="147"/>
        <v>951740</v>
      </c>
      <c r="P635" s="92">
        <v>0</v>
      </c>
      <c r="Q635" s="93" t="e">
        <f t="shared" si="148"/>
        <v>#DIV/0!</v>
      </c>
      <c r="R635" s="94"/>
      <c r="S635" s="276">
        <v>43465</v>
      </c>
    </row>
    <row r="636" spans="1:48" customFormat="1" ht="31.5">
      <c r="A636" s="87">
        <f t="shared" si="149"/>
        <v>52</v>
      </c>
      <c r="B636" s="225" t="s">
        <v>247</v>
      </c>
      <c r="C636" s="97">
        <v>1953</v>
      </c>
      <c r="D636" s="97"/>
      <c r="E636" s="89" t="s">
        <v>218</v>
      </c>
      <c r="F636" s="97">
        <v>3</v>
      </c>
      <c r="G636" s="97">
        <v>3</v>
      </c>
      <c r="H636" s="97"/>
      <c r="I636" s="97"/>
      <c r="J636" s="97"/>
      <c r="K636" s="98"/>
      <c r="L636" s="92">
        <v>2056139</v>
      </c>
      <c r="M636" s="92">
        <v>0</v>
      </c>
      <c r="N636" s="92">
        <v>0</v>
      </c>
      <c r="O636" s="92">
        <f t="shared" si="147"/>
        <v>2056139</v>
      </c>
      <c r="P636" s="92">
        <v>0</v>
      </c>
      <c r="Q636" s="93" t="e">
        <f t="shared" si="148"/>
        <v>#DIV/0!</v>
      </c>
      <c r="R636" s="94"/>
      <c r="S636" s="276">
        <v>43465</v>
      </c>
    </row>
    <row r="637" spans="1:48" customFormat="1" ht="31.5">
      <c r="A637" s="87">
        <f t="shared" si="149"/>
        <v>53</v>
      </c>
      <c r="B637" s="234" t="s">
        <v>274</v>
      </c>
      <c r="C637" s="87">
        <v>1958</v>
      </c>
      <c r="D637" s="88"/>
      <c r="E637" s="89" t="s">
        <v>218</v>
      </c>
      <c r="F637" s="88">
        <v>2</v>
      </c>
      <c r="G637" s="88">
        <v>2</v>
      </c>
      <c r="H637" s="96"/>
      <c r="I637" s="96"/>
      <c r="J637" s="96"/>
      <c r="K637" s="81"/>
      <c r="L637" s="92">
        <v>1321356</v>
      </c>
      <c r="M637" s="92">
        <v>0</v>
      </c>
      <c r="N637" s="92">
        <v>0</v>
      </c>
      <c r="O637" s="92">
        <f t="shared" si="147"/>
        <v>1321356</v>
      </c>
      <c r="P637" s="92">
        <v>0</v>
      </c>
      <c r="Q637" s="93" t="e">
        <f t="shared" si="148"/>
        <v>#DIV/0!</v>
      </c>
      <c r="R637" s="94"/>
      <c r="S637" s="276">
        <v>43465</v>
      </c>
    </row>
    <row r="638" spans="1:48" customFormat="1" ht="31.5">
      <c r="A638" s="87">
        <f t="shared" si="149"/>
        <v>54</v>
      </c>
      <c r="B638" s="234" t="s">
        <v>338</v>
      </c>
      <c r="C638" s="97">
        <v>1959</v>
      </c>
      <c r="D638" s="97"/>
      <c r="E638" s="89" t="s">
        <v>218</v>
      </c>
      <c r="F638" s="97">
        <v>2</v>
      </c>
      <c r="G638" s="97">
        <v>2</v>
      </c>
      <c r="H638" s="97"/>
      <c r="I638" s="97"/>
      <c r="J638" s="97"/>
      <c r="K638" s="98"/>
      <c r="L638" s="92">
        <v>1679278</v>
      </c>
      <c r="M638" s="92">
        <v>0</v>
      </c>
      <c r="N638" s="92">
        <v>0</v>
      </c>
      <c r="O638" s="92">
        <f t="shared" si="147"/>
        <v>1679278</v>
      </c>
      <c r="P638" s="92">
        <v>0</v>
      </c>
      <c r="Q638" s="93" t="e">
        <f t="shared" si="148"/>
        <v>#DIV/0!</v>
      </c>
      <c r="R638" s="94"/>
      <c r="S638" s="276">
        <v>43465</v>
      </c>
    </row>
    <row r="639" spans="1:48" customFormat="1" ht="31.5">
      <c r="A639" s="87">
        <f t="shared" si="149"/>
        <v>55</v>
      </c>
      <c r="B639" s="234" t="s">
        <v>272</v>
      </c>
      <c r="C639" s="97">
        <v>1959</v>
      </c>
      <c r="D639" s="97"/>
      <c r="E639" s="89" t="s">
        <v>218</v>
      </c>
      <c r="F639" s="97">
        <v>2</v>
      </c>
      <c r="G639" s="97">
        <v>2</v>
      </c>
      <c r="H639" s="97"/>
      <c r="I639" s="97"/>
      <c r="J639" s="97"/>
      <c r="K639" s="98"/>
      <c r="L639" s="92">
        <v>1100896</v>
      </c>
      <c r="M639" s="92">
        <v>0</v>
      </c>
      <c r="N639" s="92">
        <v>0</v>
      </c>
      <c r="O639" s="92">
        <f t="shared" si="147"/>
        <v>1100896</v>
      </c>
      <c r="P639" s="92">
        <v>0</v>
      </c>
      <c r="Q639" s="93" t="e">
        <f t="shared" si="148"/>
        <v>#DIV/0!</v>
      </c>
      <c r="R639" s="94"/>
      <c r="S639" s="276">
        <v>43465</v>
      </c>
    </row>
    <row r="640" spans="1:48" customFormat="1" ht="31.5">
      <c r="A640" s="87">
        <f t="shared" si="149"/>
        <v>56</v>
      </c>
      <c r="B640" s="234" t="s">
        <v>337</v>
      </c>
      <c r="C640" s="97">
        <v>1959</v>
      </c>
      <c r="D640" s="97"/>
      <c r="E640" s="89" t="s">
        <v>218</v>
      </c>
      <c r="F640" s="97">
        <v>2</v>
      </c>
      <c r="G640" s="97">
        <v>2</v>
      </c>
      <c r="H640" s="97"/>
      <c r="I640" s="97"/>
      <c r="J640" s="97"/>
      <c r="K640" s="98"/>
      <c r="L640" s="92">
        <v>1729707</v>
      </c>
      <c r="M640" s="92">
        <v>0</v>
      </c>
      <c r="N640" s="92">
        <v>0</v>
      </c>
      <c r="O640" s="92">
        <f t="shared" si="147"/>
        <v>1729707</v>
      </c>
      <c r="P640" s="92">
        <v>0</v>
      </c>
      <c r="Q640" s="93" t="e">
        <f t="shared" si="148"/>
        <v>#DIV/0!</v>
      </c>
      <c r="R640" s="94"/>
      <c r="S640" s="276">
        <v>43465</v>
      </c>
    </row>
    <row r="641" spans="1:19" customFormat="1" ht="31.5">
      <c r="A641" s="87">
        <f t="shared" si="149"/>
        <v>57</v>
      </c>
      <c r="B641" s="225" t="s">
        <v>257</v>
      </c>
      <c r="C641" s="97">
        <v>1959</v>
      </c>
      <c r="D641" s="97"/>
      <c r="E641" s="89" t="s">
        <v>218</v>
      </c>
      <c r="F641" s="97">
        <v>2</v>
      </c>
      <c r="G641" s="97">
        <v>2</v>
      </c>
      <c r="H641" s="97"/>
      <c r="I641" s="97"/>
      <c r="J641" s="97"/>
      <c r="K641" s="98"/>
      <c r="L641" s="92">
        <v>451222.57</v>
      </c>
      <c r="M641" s="92">
        <v>0</v>
      </c>
      <c r="N641" s="92">
        <v>0</v>
      </c>
      <c r="O641" s="92">
        <f t="shared" si="147"/>
        <v>451222.57</v>
      </c>
      <c r="P641" s="92">
        <v>0</v>
      </c>
      <c r="Q641" s="93" t="e">
        <f t="shared" si="148"/>
        <v>#DIV/0!</v>
      </c>
      <c r="R641" s="94"/>
      <c r="S641" s="276">
        <v>43465</v>
      </c>
    </row>
    <row r="642" spans="1:19" customFormat="1" ht="31.5">
      <c r="A642" s="87">
        <f t="shared" si="149"/>
        <v>58</v>
      </c>
      <c r="B642" s="234" t="s">
        <v>307</v>
      </c>
      <c r="C642" s="88">
        <v>1959</v>
      </c>
      <c r="D642" s="88"/>
      <c r="E642" s="89" t="s">
        <v>218</v>
      </c>
      <c r="F642" s="88">
        <v>2</v>
      </c>
      <c r="G642" s="88">
        <v>1</v>
      </c>
      <c r="H642" s="90"/>
      <c r="I642" s="90"/>
      <c r="J642" s="90"/>
      <c r="K642" s="91"/>
      <c r="L642" s="92">
        <v>703675.57</v>
      </c>
      <c r="M642" s="92">
        <v>0</v>
      </c>
      <c r="N642" s="92">
        <v>0</v>
      </c>
      <c r="O642" s="92">
        <f t="shared" si="147"/>
        <v>703675.57</v>
      </c>
      <c r="P642" s="92">
        <v>0</v>
      </c>
      <c r="Q642" s="93" t="e">
        <f t="shared" si="148"/>
        <v>#DIV/0!</v>
      </c>
      <c r="R642" s="94"/>
      <c r="S642" s="276">
        <v>43465</v>
      </c>
    </row>
    <row r="643" spans="1:19" customFormat="1" ht="31.5">
      <c r="A643" s="87">
        <f t="shared" si="149"/>
        <v>59</v>
      </c>
      <c r="B643" s="234" t="s">
        <v>268</v>
      </c>
      <c r="C643" s="97">
        <v>1959</v>
      </c>
      <c r="D643" s="97"/>
      <c r="E643" s="89" t="s">
        <v>218</v>
      </c>
      <c r="F643" s="97">
        <v>4</v>
      </c>
      <c r="G643" s="97">
        <v>3</v>
      </c>
      <c r="H643" s="97"/>
      <c r="I643" s="97"/>
      <c r="J643" s="97"/>
      <c r="K643" s="98"/>
      <c r="L643" s="92">
        <v>1053533.22</v>
      </c>
      <c r="M643" s="92">
        <v>0</v>
      </c>
      <c r="N643" s="92">
        <v>0</v>
      </c>
      <c r="O643" s="92">
        <f t="shared" si="147"/>
        <v>1053533.22</v>
      </c>
      <c r="P643" s="92">
        <v>0</v>
      </c>
      <c r="Q643" s="93" t="e">
        <f t="shared" si="148"/>
        <v>#DIV/0!</v>
      </c>
      <c r="R643" s="94"/>
      <c r="S643" s="276">
        <v>43465</v>
      </c>
    </row>
    <row r="644" spans="1:19" customFormat="1" ht="31.5">
      <c r="A644" s="87">
        <f t="shared" si="149"/>
        <v>60</v>
      </c>
      <c r="B644" s="225" t="s">
        <v>246</v>
      </c>
      <c r="C644" s="97">
        <v>1979</v>
      </c>
      <c r="D644" s="97"/>
      <c r="E644" s="89" t="s">
        <v>218</v>
      </c>
      <c r="F644" s="97">
        <v>9</v>
      </c>
      <c r="G644" s="97">
        <v>1</v>
      </c>
      <c r="H644" s="97"/>
      <c r="I644" s="97"/>
      <c r="J644" s="97"/>
      <c r="K644" s="98"/>
      <c r="L644" s="92">
        <v>1253738</v>
      </c>
      <c r="M644" s="92">
        <v>0</v>
      </c>
      <c r="N644" s="92">
        <v>0</v>
      </c>
      <c r="O644" s="92">
        <f t="shared" si="147"/>
        <v>1253738</v>
      </c>
      <c r="P644" s="92">
        <v>0</v>
      </c>
      <c r="Q644" s="93" t="e">
        <f t="shared" si="148"/>
        <v>#DIV/0!</v>
      </c>
      <c r="R644" s="94"/>
      <c r="S644" s="276">
        <v>43465</v>
      </c>
    </row>
    <row r="645" spans="1:19" customFormat="1" ht="15.75">
      <c r="A645" s="87">
        <f t="shared" si="149"/>
        <v>61</v>
      </c>
      <c r="B645" s="234" t="s">
        <v>470</v>
      </c>
      <c r="C645" s="88">
        <v>1984</v>
      </c>
      <c r="D645" s="88"/>
      <c r="E645" s="89" t="s">
        <v>219</v>
      </c>
      <c r="F645" s="88">
        <v>9</v>
      </c>
      <c r="G645" s="88">
        <v>1</v>
      </c>
      <c r="H645" s="90"/>
      <c r="I645" s="90"/>
      <c r="J645" s="90"/>
      <c r="K645" s="91"/>
      <c r="L645" s="92">
        <v>1870046</v>
      </c>
      <c r="M645" s="92">
        <v>0</v>
      </c>
      <c r="N645" s="92">
        <v>0</v>
      </c>
      <c r="O645" s="92">
        <f t="shared" si="147"/>
        <v>1870046</v>
      </c>
      <c r="P645" s="92">
        <v>0</v>
      </c>
      <c r="Q645" s="93" t="e">
        <f t="shared" si="148"/>
        <v>#DIV/0!</v>
      </c>
      <c r="R645" s="94"/>
      <c r="S645" s="276">
        <v>43465</v>
      </c>
    </row>
    <row r="646" spans="1:19" customFormat="1" ht="15.75">
      <c r="A646" s="87">
        <f t="shared" si="149"/>
        <v>62</v>
      </c>
      <c r="B646" s="234" t="s">
        <v>350</v>
      </c>
      <c r="C646" s="88">
        <v>1984</v>
      </c>
      <c r="D646" s="88"/>
      <c r="E646" s="89" t="s">
        <v>219</v>
      </c>
      <c r="F646" s="88">
        <v>9</v>
      </c>
      <c r="G646" s="88">
        <v>2</v>
      </c>
      <c r="H646" s="90"/>
      <c r="I646" s="90"/>
      <c r="J646" s="90"/>
      <c r="K646" s="91"/>
      <c r="L646" s="92">
        <v>3720676</v>
      </c>
      <c r="M646" s="92">
        <v>0</v>
      </c>
      <c r="N646" s="92">
        <v>0</v>
      </c>
      <c r="O646" s="92">
        <f t="shared" si="147"/>
        <v>3720676</v>
      </c>
      <c r="P646" s="92">
        <v>0</v>
      </c>
      <c r="Q646" s="93" t="e">
        <f t="shared" si="148"/>
        <v>#DIV/0!</v>
      </c>
      <c r="R646" s="94"/>
      <c r="S646" s="276">
        <v>43465</v>
      </c>
    </row>
    <row r="647" spans="1:19" customFormat="1" ht="31.5">
      <c r="A647" s="87">
        <f t="shared" si="149"/>
        <v>63</v>
      </c>
      <c r="B647" s="234" t="s">
        <v>251</v>
      </c>
      <c r="C647" s="97">
        <v>1977</v>
      </c>
      <c r="D647" s="97"/>
      <c r="E647" s="89" t="s">
        <v>218</v>
      </c>
      <c r="F647" s="97">
        <v>5</v>
      </c>
      <c r="G647" s="97">
        <v>6</v>
      </c>
      <c r="H647" s="97"/>
      <c r="I647" s="97"/>
      <c r="J647" s="97"/>
      <c r="K647" s="98"/>
      <c r="L647" s="92">
        <v>3687908</v>
      </c>
      <c r="M647" s="92">
        <v>0</v>
      </c>
      <c r="N647" s="92">
        <v>0</v>
      </c>
      <c r="O647" s="92">
        <f t="shared" si="147"/>
        <v>3687908</v>
      </c>
      <c r="P647" s="92">
        <v>0</v>
      </c>
      <c r="Q647" s="93" t="e">
        <f t="shared" si="148"/>
        <v>#DIV/0!</v>
      </c>
      <c r="R647" s="94"/>
      <c r="S647" s="276">
        <v>43465</v>
      </c>
    </row>
    <row r="648" spans="1:19" customFormat="1" ht="31.5">
      <c r="A648" s="87">
        <f t="shared" si="149"/>
        <v>64</v>
      </c>
      <c r="B648" s="234" t="s">
        <v>226</v>
      </c>
      <c r="C648" s="97">
        <v>1933</v>
      </c>
      <c r="D648" s="97"/>
      <c r="E648" s="89" t="s">
        <v>218</v>
      </c>
      <c r="F648" s="97">
        <v>4</v>
      </c>
      <c r="G648" s="97">
        <v>5</v>
      </c>
      <c r="H648" s="97"/>
      <c r="I648" s="97"/>
      <c r="J648" s="97"/>
      <c r="K648" s="98"/>
      <c r="L648" s="92">
        <v>1760967.35</v>
      </c>
      <c r="M648" s="92">
        <v>0</v>
      </c>
      <c r="N648" s="92">
        <v>0</v>
      </c>
      <c r="O648" s="92">
        <f t="shared" si="147"/>
        <v>1760967.35</v>
      </c>
      <c r="P648" s="92">
        <v>0</v>
      </c>
      <c r="Q648" s="93" t="e">
        <f t="shared" si="148"/>
        <v>#DIV/0!</v>
      </c>
      <c r="R648" s="94"/>
      <c r="S648" s="276">
        <v>43465</v>
      </c>
    </row>
    <row r="649" spans="1:19" customFormat="1" ht="31.5">
      <c r="A649" s="87">
        <f t="shared" si="149"/>
        <v>65</v>
      </c>
      <c r="B649" s="234" t="s">
        <v>271</v>
      </c>
      <c r="C649" s="97">
        <v>1961</v>
      </c>
      <c r="D649" s="97"/>
      <c r="E649" s="89" t="s">
        <v>218</v>
      </c>
      <c r="F649" s="97">
        <v>5</v>
      </c>
      <c r="G649" s="97">
        <v>4</v>
      </c>
      <c r="H649" s="97"/>
      <c r="I649" s="97"/>
      <c r="J649" s="97"/>
      <c r="K649" s="98"/>
      <c r="L649" s="92">
        <v>881947</v>
      </c>
      <c r="M649" s="92">
        <v>0</v>
      </c>
      <c r="N649" s="92">
        <v>0</v>
      </c>
      <c r="O649" s="92">
        <f t="shared" ref="O649:O712" si="150">L649</f>
        <v>881947</v>
      </c>
      <c r="P649" s="92">
        <v>0</v>
      </c>
      <c r="Q649" s="93" t="e">
        <f t="shared" ref="Q649:Q712" si="151">L649/I649</f>
        <v>#DIV/0!</v>
      </c>
      <c r="R649" s="94"/>
      <c r="S649" s="276">
        <v>43465</v>
      </c>
    </row>
    <row r="650" spans="1:19" customFormat="1" ht="31.5">
      <c r="A650" s="87">
        <f t="shared" si="149"/>
        <v>66</v>
      </c>
      <c r="B650" s="234" t="s">
        <v>287</v>
      </c>
      <c r="C650" s="88">
        <v>1960</v>
      </c>
      <c r="D650" s="88"/>
      <c r="E650" s="89" t="s">
        <v>218</v>
      </c>
      <c r="F650" s="88">
        <v>2</v>
      </c>
      <c r="G650" s="88">
        <v>2</v>
      </c>
      <c r="H650" s="90"/>
      <c r="I650" s="90"/>
      <c r="J650" s="90"/>
      <c r="K650" s="91"/>
      <c r="L650" s="92">
        <v>517739</v>
      </c>
      <c r="M650" s="92">
        <v>0</v>
      </c>
      <c r="N650" s="92">
        <v>0</v>
      </c>
      <c r="O650" s="92">
        <f t="shared" si="150"/>
        <v>517739</v>
      </c>
      <c r="P650" s="92">
        <v>0</v>
      </c>
      <c r="Q650" s="93" t="e">
        <f t="shared" si="151"/>
        <v>#DIV/0!</v>
      </c>
      <c r="R650" s="94"/>
      <c r="S650" s="276">
        <v>43465</v>
      </c>
    </row>
    <row r="651" spans="1:19" customFormat="1" ht="31.5">
      <c r="A651" s="87">
        <f t="shared" ref="A651:A714" si="152">A650+1</f>
        <v>67</v>
      </c>
      <c r="B651" s="225" t="s">
        <v>289</v>
      </c>
      <c r="C651" s="88">
        <v>1966</v>
      </c>
      <c r="D651" s="88"/>
      <c r="E651" s="89" t="s">
        <v>218</v>
      </c>
      <c r="F651" s="88">
        <v>5</v>
      </c>
      <c r="G651" s="88">
        <v>4</v>
      </c>
      <c r="H651" s="90"/>
      <c r="I651" s="90"/>
      <c r="J651" s="90"/>
      <c r="K651" s="91"/>
      <c r="L651" s="92">
        <v>1728895</v>
      </c>
      <c r="M651" s="92">
        <v>0</v>
      </c>
      <c r="N651" s="92">
        <v>0</v>
      </c>
      <c r="O651" s="92">
        <f t="shared" si="150"/>
        <v>1728895</v>
      </c>
      <c r="P651" s="92">
        <v>0</v>
      </c>
      <c r="Q651" s="93" t="e">
        <f t="shared" si="151"/>
        <v>#DIV/0!</v>
      </c>
      <c r="R651" s="94"/>
      <c r="S651" s="276">
        <v>43465</v>
      </c>
    </row>
    <row r="652" spans="1:19" customFormat="1" ht="15.75">
      <c r="A652" s="87">
        <f t="shared" si="152"/>
        <v>68</v>
      </c>
      <c r="B652" s="234" t="s">
        <v>259</v>
      </c>
      <c r="C652" s="97">
        <v>1925</v>
      </c>
      <c r="D652" s="97"/>
      <c r="E652" s="89" t="s">
        <v>221</v>
      </c>
      <c r="F652" s="97">
        <v>2</v>
      </c>
      <c r="G652" s="97">
        <v>2</v>
      </c>
      <c r="H652" s="97"/>
      <c r="I652" s="97"/>
      <c r="J652" s="97"/>
      <c r="K652" s="98"/>
      <c r="L652" s="92">
        <v>682529</v>
      </c>
      <c r="M652" s="92">
        <v>0</v>
      </c>
      <c r="N652" s="92">
        <v>0</v>
      </c>
      <c r="O652" s="92">
        <f t="shared" si="150"/>
        <v>682529</v>
      </c>
      <c r="P652" s="92">
        <v>0</v>
      </c>
      <c r="Q652" s="93" t="e">
        <f t="shared" si="151"/>
        <v>#DIV/0!</v>
      </c>
      <c r="R652" s="94"/>
      <c r="S652" s="276">
        <v>43465</v>
      </c>
    </row>
    <row r="653" spans="1:19" customFormat="1" ht="15.75">
      <c r="A653" s="87">
        <f t="shared" si="152"/>
        <v>69</v>
      </c>
      <c r="B653" s="234" t="s">
        <v>291</v>
      </c>
      <c r="C653" s="88">
        <v>1900</v>
      </c>
      <c r="D653" s="88"/>
      <c r="E653" s="89" t="s">
        <v>221</v>
      </c>
      <c r="F653" s="88">
        <v>2</v>
      </c>
      <c r="G653" s="88">
        <v>2</v>
      </c>
      <c r="H653" s="90"/>
      <c r="I653" s="90"/>
      <c r="J653" s="90"/>
      <c r="K653" s="91"/>
      <c r="L653" s="92">
        <v>582157</v>
      </c>
      <c r="M653" s="92">
        <v>0</v>
      </c>
      <c r="N653" s="92">
        <v>0</v>
      </c>
      <c r="O653" s="92">
        <f t="shared" si="150"/>
        <v>582157</v>
      </c>
      <c r="P653" s="92">
        <v>0</v>
      </c>
      <c r="Q653" s="93" t="e">
        <f t="shared" si="151"/>
        <v>#DIV/0!</v>
      </c>
      <c r="R653" s="94"/>
      <c r="S653" s="276">
        <v>43465</v>
      </c>
    </row>
    <row r="654" spans="1:19" customFormat="1" ht="31.5">
      <c r="A654" s="87">
        <f t="shared" si="152"/>
        <v>70</v>
      </c>
      <c r="B654" s="234" t="s">
        <v>224</v>
      </c>
      <c r="C654" s="97">
        <v>1934</v>
      </c>
      <c r="D654" s="97"/>
      <c r="E654" s="89" t="s">
        <v>218</v>
      </c>
      <c r="F654" s="97">
        <v>3</v>
      </c>
      <c r="G654" s="97">
        <v>5</v>
      </c>
      <c r="H654" s="97"/>
      <c r="I654" s="97"/>
      <c r="J654" s="97"/>
      <c r="K654" s="98"/>
      <c r="L654" s="92">
        <v>701704</v>
      </c>
      <c r="M654" s="92">
        <v>0</v>
      </c>
      <c r="N654" s="92">
        <v>0</v>
      </c>
      <c r="O654" s="92">
        <f t="shared" si="150"/>
        <v>701704</v>
      </c>
      <c r="P654" s="92">
        <v>0</v>
      </c>
      <c r="Q654" s="93" t="e">
        <f t="shared" si="151"/>
        <v>#DIV/0!</v>
      </c>
      <c r="R654" s="94"/>
      <c r="S654" s="276">
        <v>43465</v>
      </c>
    </row>
    <row r="655" spans="1:19" customFormat="1" ht="15.75">
      <c r="A655" s="87">
        <f t="shared" si="152"/>
        <v>71</v>
      </c>
      <c r="B655" s="234" t="s">
        <v>261</v>
      </c>
      <c r="C655" s="97">
        <v>1970</v>
      </c>
      <c r="D655" s="97"/>
      <c r="E655" s="89" t="s">
        <v>219</v>
      </c>
      <c r="F655" s="97">
        <v>5</v>
      </c>
      <c r="G655" s="97">
        <v>6</v>
      </c>
      <c r="H655" s="97"/>
      <c r="I655" s="97"/>
      <c r="J655" s="97"/>
      <c r="K655" s="98"/>
      <c r="L655" s="92">
        <v>1969149</v>
      </c>
      <c r="M655" s="92">
        <v>0</v>
      </c>
      <c r="N655" s="92">
        <v>0</v>
      </c>
      <c r="O655" s="92">
        <f t="shared" si="150"/>
        <v>1969149</v>
      </c>
      <c r="P655" s="92">
        <v>0</v>
      </c>
      <c r="Q655" s="93" t="e">
        <f t="shared" si="151"/>
        <v>#DIV/0!</v>
      </c>
      <c r="R655" s="94"/>
      <c r="S655" s="276">
        <v>43465</v>
      </c>
    </row>
    <row r="656" spans="1:19" customFormat="1" ht="31.5">
      <c r="A656" s="87">
        <f t="shared" si="152"/>
        <v>72</v>
      </c>
      <c r="B656" s="234" t="s">
        <v>239</v>
      </c>
      <c r="C656" s="97">
        <v>1956</v>
      </c>
      <c r="D656" s="97"/>
      <c r="E656" s="89" t="s">
        <v>218</v>
      </c>
      <c r="F656" s="97">
        <v>3</v>
      </c>
      <c r="G656" s="97">
        <v>3</v>
      </c>
      <c r="H656" s="97"/>
      <c r="I656" s="97"/>
      <c r="J656" s="97"/>
      <c r="K656" s="98"/>
      <c r="L656" s="92">
        <v>1023088</v>
      </c>
      <c r="M656" s="92">
        <v>0</v>
      </c>
      <c r="N656" s="92">
        <v>0</v>
      </c>
      <c r="O656" s="92">
        <f t="shared" si="150"/>
        <v>1023088</v>
      </c>
      <c r="P656" s="92">
        <v>0</v>
      </c>
      <c r="Q656" s="93" t="e">
        <f t="shared" si="151"/>
        <v>#DIV/0!</v>
      </c>
      <c r="R656" s="94"/>
      <c r="S656" s="276">
        <v>43465</v>
      </c>
    </row>
    <row r="657" spans="1:30" customFormat="1" ht="31.5">
      <c r="A657" s="87">
        <f t="shared" si="152"/>
        <v>73</v>
      </c>
      <c r="B657" s="234" t="s">
        <v>336</v>
      </c>
      <c r="C657" s="97">
        <v>1957</v>
      </c>
      <c r="D657" s="97"/>
      <c r="E657" s="89" t="s">
        <v>218</v>
      </c>
      <c r="F657" s="97">
        <v>3</v>
      </c>
      <c r="G657" s="97">
        <v>3</v>
      </c>
      <c r="H657" s="97"/>
      <c r="I657" s="97"/>
      <c r="J657" s="97"/>
      <c r="K657" s="98"/>
      <c r="L657" s="92">
        <v>3334570</v>
      </c>
      <c r="M657" s="92">
        <v>0</v>
      </c>
      <c r="N657" s="92">
        <v>0</v>
      </c>
      <c r="O657" s="92">
        <f t="shared" si="150"/>
        <v>3334570</v>
      </c>
      <c r="P657" s="92">
        <v>0</v>
      </c>
      <c r="Q657" s="93" t="e">
        <f t="shared" si="151"/>
        <v>#DIV/0!</v>
      </c>
      <c r="R657" s="94"/>
      <c r="S657" s="276">
        <v>43465</v>
      </c>
    </row>
    <row r="658" spans="1:30" customFormat="1" ht="31.5">
      <c r="A658" s="87">
        <f t="shared" si="152"/>
        <v>74</v>
      </c>
      <c r="B658" s="234" t="s">
        <v>306</v>
      </c>
      <c r="C658" s="88">
        <v>1970</v>
      </c>
      <c r="D658" s="88"/>
      <c r="E658" s="89" t="s">
        <v>218</v>
      </c>
      <c r="F658" s="88">
        <v>5</v>
      </c>
      <c r="G658" s="88">
        <v>2</v>
      </c>
      <c r="H658" s="90"/>
      <c r="I658" s="90"/>
      <c r="J658" s="90"/>
      <c r="K658" s="91"/>
      <c r="L658" s="92">
        <v>1127374.33</v>
      </c>
      <c r="M658" s="92">
        <v>0</v>
      </c>
      <c r="N658" s="92">
        <v>0</v>
      </c>
      <c r="O658" s="92">
        <f t="shared" si="150"/>
        <v>1127374.33</v>
      </c>
      <c r="P658" s="92">
        <v>0</v>
      </c>
      <c r="Q658" s="93" t="e">
        <f t="shared" si="151"/>
        <v>#DIV/0!</v>
      </c>
      <c r="R658" s="94"/>
      <c r="S658" s="276">
        <v>43465</v>
      </c>
    </row>
    <row r="659" spans="1:30" customFormat="1" ht="15.75">
      <c r="A659" s="87">
        <f t="shared" si="152"/>
        <v>75</v>
      </c>
      <c r="B659" s="225" t="s">
        <v>234</v>
      </c>
      <c r="C659" s="97">
        <v>1968</v>
      </c>
      <c r="D659" s="97"/>
      <c r="E659" s="89" t="s">
        <v>219</v>
      </c>
      <c r="F659" s="97">
        <v>5</v>
      </c>
      <c r="G659" s="97">
        <v>6</v>
      </c>
      <c r="H659" s="90"/>
      <c r="I659" s="97"/>
      <c r="J659" s="97"/>
      <c r="K659" s="98"/>
      <c r="L659" s="92">
        <v>1161456</v>
      </c>
      <c r="M659" s="92">
        <v>0</v>
      </c>
      <c r="N659" s="92">
        <v>0</v>
      </c>
      <c r="O659" s="92">
        <f t="shared" si="150"/>
        <v>1161456</v>
      </c>
      <c r="P659" s="92">
        <v>0</v>
      </c>
      <c r="Q659" s="93" t="e">
        <f t="shared" si="151"/>
        <v>#DIV/0!</v>
      </c>
      <c r="R659" s="94"/>
      <c r="S659" s="276">
        <v>43465</v>
      </c>
    </row>
    <row r="660" spans="1:30" customFormat="1" ht="31.5">
      <c r="A660" s="87">
        <f t="shared" si="152"/>
        <v>76</v>
      </c>
      <c r="B660" s="225" t="s">
        <v>277</v>
      </c>
      <c r="C660" s="87">
        <v>1971</v>
      </c>
      <c r="D660" s="88"/>
      <c r="E660" s="89" t="s">
        <v>218</v>
      </c>
      <c r="F660" s="88">
        <v>5</v>
      </c>
      <c r="G660" s="88">
        <v>4</v>
      </c>
      <c r="H660" s="96"/>
      <c r="I660" s="96"/>
      <c r="J660" s="96"/>
      <c r="K660" s="81"/>
      <c r="L660" s="92">
        <v>1197250.23</v>
      </c>
      <c r="M660" s="92">
        <v>0</v>
      </c>
      <c r="N660" s="92">
        <v>0</v>
      </c>
      <c r="O660" s="92">
        <f t="shared" si="150"/>
        <v>1197250.23</v>
      </c>
      <c r="P660" s="92">
        <v>0</v>
      </c>
      <c r="Q660" s="93" t="e">
        <f t="shared" si="151"/>
        <v>#DIV/0!</v>
      </c>
      <c r="R660" s="94"/>
      <c r="S660" s="276">
        <v>43465</v>
      </c>
    </row>
    <row r="661" spans="1:30" customFormat="1" ht="31.5">
      <c r="A661" s="87">
        <f t="shared" si="152"/>
        <v>77</v>
      </c>
      <c r="B661" s="234" t="s">
        <v>303</v>
      </c>
      <c r="C661" s="88">
        <v>1954</v>
      </c>
      <c r="D661" s="88"/>
      <c r="E661" s="89" t="s">
        <v>218</v>
      </c>
      <c r="F661" s="88">
        <v>4</v>
      </c>
      <c r="G661" s="88">
        <v>3</v>
      </c>
      <c r="H661" s="90"/>
      <c r="I661" s="90"/>
      <c r="J661" s="90"/>
      <c r="K661" s="91"/>
      <c r="L661" s="92">
        <v>2784233</v>
      </c>
      <c r="M661" s="92">
        <v>0</v>
      </c>
      <c r="N661" s="92">
        <v>0</v>
      </c>
      <c r="O661" s="92">
        <f t="shared" si="150"/>
        <v>2784233</v>
      </c>
      <c r="P661" s="92">
        <v>0</v>
      </c>
      <c r="Q661" s="93" t="e">
        <f t="shared" si="151"/>
        <v>#DIV/0!</v>
      </c>
      <c r="R661" s="94"/>
      <c r="S661" s="276">
        <v>43465</v>
      </c>
    </row>
    <row r="662" spans="1:30" customFormat="1" ht="31.5">
      <c r="A662" s="87">
        <f t="shared" si="152"/>
        <v>78</v>
      </c>
      <c r="B662" s="234" t="s">
        <v>293</v>
      </c>
      <c r="C662" s="88">
        <v>1968</v>
      </c>
      <c r="D662" s="88"/>
      <c r="E662" s="89" t="s">
        <v>218</v>
      </c>
      <c r="F662" s="88">
        <v>5</v>
      </c>
      <c r="G662" s="88">
        <v>4</v>
      </c>
      <c r="H662" s="90"/>
      <c r="I662" s="90"/>
      <c r="J662" s="90"/>
      <c r="K662" s="91"/>
      <c r="L662" s="92">
        <v>2369961</v>
      </c>
      <c r="M662" s="92">
        <v>0</v>
      </c>
      <c r="N662" s="92">
        <v>0</v>
      </c>
      <c r="O662" s="92">
        <f t="shared" si="150"/>
        <v>2369961</v>
      </c>
      <c r="P662" s="92">
        <v>0</v>
      </c>
      <c r="Q662" s="93" t="e">
        <f t="shared" si="151"/>
        <v>#DIV/0!</v>
      </c>
      <c r="R662" s="94"/>
      <c r="S662" s="276">
        <v>43465</v>
      </c>
    </row>
    <row r="663" spans="1:30" customFormat="1" ht="31.5">
      <c r="A663" s="87">
        <f t="shared" si="152"/>
        <v>79</v>
      </c>
      <c r="B663" s="225" t="s">
        <v>463</v>
      </c>
      <c r="C663" s="87">
        <v>1959</v>
      </c>
      <c r="D663" s="88"/>
      <c r="E663" s="89" t="s">
        <v>218</v>
      </c>
      <c r="F663" s="88">
        <v>2</v>
      </c>
      <c r="G663" s="88">
        <v>1</v>
      </c>
      <c r="H663" s="96"/>
      <c r="I663" s="96"/>
      <c r="J663" s="96"/>
      <c r="K663" s="81"/>
      <c r="L663" s="92">
        <v>672819</v>
      </c>
      <c r="M663" s="92">
        <v>0</v>
      </c>
      <c r="N663" s="92">
        <v>0</v>
      </c>
      <c r="O663" s="92">
        <f t="shared" si="150"/>
        <v>672819</v>
      </c>
      <c r="P663" s="92">
        <v>0</v>
      </c>
      <c r="Q663" s="93" t="e">
        <f t="shared" si="151"/>
        <v>#DIV/0!</v>
      </c>
      <c r="R663" s="94"/>
      <c r="S663" s="276">
        <v>43465</v>
      </c>
    </row>
    <row r="664" spans="1:30" customFormat="1" ht="15.75">
      <c r="A664" s="87">
        <f t="shared" si="152"/>
        <v>80</v>
      </c>
      <c r="B664" s="234" t="s">
        <v>340</v>
      </c>
      <c r="C664" s="87">
        <v>1968</v>
      </c>
      <c r="D664" s="88"/>
      <c r="E664" s="89" t="s">
        <v>219</v>
      </c>
      <c r="F664" s="88">
        <v>5</v>
      </c>
      <c r="G664" s="88">
        <v>5</v>
      </c>
      <c r="H664" s="96"/>
      <c r="I664" s="96"/>
      <c r="J664" s="96"/>
      <c r="K664" s="81"/>
      <c r="L664" s="92">
        <v>1651491</v>
      </c>
      <c r="M664" s="92">
        <v>0</v>
      </c>
      <c r="N664" s="92">
        <v>0</v>
      </c>
      <c r="O664" s="92">
        <f t="shared" si="150"/>
        <v>1651491</v>
      </c>
      <c r="P664" s="92">
        <v>0</v>
      </c>
      <c r="Q664" s="93" t="e">
        <f t="shared" si="151"/>
        <v>#DIV/0!</v>
      </c>
      <c r="R664" s="94"/>
      <c r="S664" s="276">
        <v>43465</v>
      </c>
    </row>
    <row r="665" spans="1:30" customFormat="1" ht="31.5">
      <c r="A665" s="87">
        <f t="shared" si="152"/>
        <v>81</v>
      </c>
      <c r="B665" s="225" t="s">
        <v>254</v>
      </c>
      <c r="C665" s="97">
        <v>1962</v>
      </c>
      <c r="D665" s="97"/>
      <c r="E665" s="89" t="s">
        <v>218</v>
      </c>
      <c r="F665" s="97">
        <v>3</v>
      </c>
      <c r="G665" s="97">
        <v>3</v>
      </c>
      <c r="H665" s="97"/>
      <c r="I665" s="97"/>
      <c r="J665" s="97"/>
      <c r="K665" s="98"/>
      <c r="L665" s="92">
        <v>1432926</v>
      </c>
      <c r="M665" s="92">
        <v>0</v>
      </c>
      <c r="N665" s="92">
        <v>0</v>
      </c>
      <c r="O665" s="92">
        <f t="shared" si="150"/>
        <v>1432926</v>
      </c>
      <c r="P665" s="92">
        <v>0</v>
      </c>
      <c r="Q665" s="93" t="e">
        <f t="shared" si="151"/>
        <v>#DIV/0!</v>
      </c>
      <c r="R665" s="94"/>
      <c r="S665" s="276">
        <v>43465</v>
      </c>
    </row>
    <row r="666" spans="1:30" customFormat="1" ht="31.5">
      <c r="A666" s="87">
        <f t="shared" si="152"/>
        <v>82</v>
      </c>
      <c r="B666" s="225" t="s">
        <v>343</v>
      </c>
      <c r="C666" s="87">
        <v>1955</v>
      </c>
      <c r="D666" s="88"/>
      <c r="E666" s="89" t="s">
        <v>218</v>
      </c>
      <c r="F666" s="88">
        <v>2</v>
      </c>
      <c r="G666" s="88">
        <v>2</v>
      </c>
      <c r="H666" s="96"/>
      <c r="I666" s="96"/>
      <c r="J666" s="96"/>
      <c r="K666" s="81"/>
      <c r="L666" s="92">
        <v>1137886</v>
      </c>
      <c r="M666" s="92">
        <v>0</v>
      </c>
      <c r="N666" s="92">
        <v>0</v>
      </c>
      <c r="O666" s="92">
        <f t="shared" si="150"/>
        <v>1137886</v>
      </c>
      <c r="P666" s="92">
        <v>0</v>
      </c>
      <c r="Q666" s="93" t="e">
        <f t="shared" si="151"/>
        <v>#DIV/0!</v>
      </c>
      <c r="R666" s="94"/>
      <c r="S666" s="276">
        <v>43465</v>
      </c>
    </row>
    <row r="667" spans="1:30" customFormat="1" ht="31.5">
      <c r="A667" s="87">
        <f t="shared" si="152"/>
        <v>83</v>
      </c>
      <c r="B667" s="234" t="s">
        <v>305</v>
      </c>
      <c r="C667" s="88">
        <v>1971</v>
      </c>
      <c r="D667" s="88"/>
      <c r="E667" s="89" t="s">
        <v>218</v>
      </c>
      <c r="F667" s="88">
        <v>5</v>
      </c>
      <c r="G667" s="88">
        <v>4</v>
      </c>
      <c r="H667" s="90"/>
      <c r="I667" s="90"/>
      <c r="J667" s="90"/>
      <c r="K667" s="91"/>
      <c r="L667" s="92">
        <v>1814838</v>
      </c>
      <c r="M667" s="92">
        <v>0</v>
      </c>
      <c r="N667" s="92">
        <v>0</v>
      </c>
      <c r="O667" s="92">
        <f t="shared" si="150"/>
        <v>1814838</v>
      </c>
      <c r="P667" s="92">
        <v>0</v>
      </c>
      <c r="Q667" s="93" t="e">
        <f t="shared" si="151"/>
        <v>#DIV/0!</v>
      </c>
      <c r="R667" s="94"/>
      <c r="S667" s="276">
        <v>43465</v>
      </c>
    </row>
    <row r="668" spans="1:30" customFormat="1" ht="31.5">
      <c r="A668" s="87">
        <f t="shared" si="152"/>
        <v>84</v>
      </c>
      <c r="B668" s="234" t="s">
        <v>345</v>
      </c>
      <c r="C668" s="88">
        <v>1970</v>
      </c>
      <c r="D668" s="88"/>
      <c r="E668" s="89" t="s">
        <v>218</v>
      </c>
      <c r="F668" s="88">
        <v>5</v>
      </c>
      <c r="G668" s="88">
        <v>4</v>
      </c>
      <c r="H668" s="90"/>
      <c r="I668" s="90"/>
      <c r="J668" s="90"/>
      <c r="K668" s="91"/>
      <c r="L668" s="92">
        <v>1544359.54</v>
      </c>
      <c r="M668" s="92">
        <v>0</v>
      </c>
      <c r="N668" s="92">
        <v>0</v>
      </c>
      <c r="O668" s="92">
        <f t="shared" si="150"/>
        <v>1544359.54</v>
      </c>
      <c r="P668" s="92">
        <v>0</v>
      </c>
      <c r="Q668" s="93" t="e">
        <f t="shared" si="151"/>
        <v>#DIV/0!</v>
      </c>
      <c r="R668" s="94"/>
      <c r="S668" s="276">
        <v>43465</v>
      </c>
    </row>
    <row r="669" spans="1:30" customFormat="1" ht="31.5">
      <c r="A669" s="87">
        <f t="shared" si="152"/>
        <v>85</v>
      </c>
      <c r="B669" s="225" t="s">
        <v>447</v>
      </c>
      <c r="C669" s="88">
        <v>1987</v>
      </c>
      <c r="D669" s="88"/>
      <c r="E669" s="89" t="s">
        <v>219</v>
      </c>
      <c r="F669" s="88">
        <v>9</v>
      </c>
      <c r="G669" s="88">
        <v>1</v>
      </c>
      <c r="H669" s="90"/>
      <c r="I669" s="90"/>
      <c r="J669" s="90"/>
      <c r="K669" s="91"/>
      <c r="L669" s="92">
        <v>1787034</v>
      </c>
      <c r="M669" s="92">
        <v>0</v>
      </c>
      <c r="N669" s="92">
        <v>0</v>
      </c>
      <c r="O669" s="92">
        <f t="shared" si="150"/>
        <v>1787034</v>
      </c>
      <c r="P669" s="92">
        <v>0</v>
      </c>
      <c r="Q669" s="93" t="e">
        <f t="shared" si="151"/>
        <v>#DIV/0!</v>
      </c>
      <c r="R669" s="94"/>
      <c r="S669" s="276">
        <v>43465</v>
      </c>
    </row>
    <row r="670" spans="1:30" customFormat="1" ht="31.5">
      <c r="A670" s="87">
        <f t="shared" si="152"/>
        <v>86</v>
      </c>
      <c r="B670" s="225" t="s">
        <v>223</v>
      </c>
      <c r="C670" s="97">
        <v>1983</v>
      </c>
      <c r="D670" s="97"/>
      <c r="E670" s="89" t="s">
        <v>219</v>
      </c>
      <c r="F670" s="97">
        <v>9</v>
      </c>
      <c r="G670" s="97">
        <v>4</v>
      </c>
      <c r="H670" s="97"/>
      <c r="I670" s="97"/>
      <c r="J670" s="97"/>
      <c r="K670" s="98"/>
      <c r="L670" s="92">
        <v>437998.57</v>
      </c>
      <c r="M670" s="92">
        <v>0</v>
      </c>
      <c r="N670" s="92">
        <v>0</v>
      </c>
      <c r="O670" s="92">
        <f t="shared" si="150"/>
        <v>437998.57</v>
      </c>
      <c r="P670" s="92">
        <v>0</v>
      </c>
      <c r="Q670" s="93" t="e">
        <f t="shared" si="151"/>
        <v>#DIV/0!</v>
      </c>
      <c r="R670" s="94"/>
      <c r="S670" s="276">
        <v>43465</v>
      </c>
      <c r="T670" s="1"/>
      <c r="U670" s="1"/>
      <c r="V670" s="1"/>
      <c r="W670" s="1"/>
      <c r="X670" s="1"/>
      <c r="Y670" s="1"/>
    </row>
    <row r="671" spans="1:30" customFormat="1" ht="31.5">
      <c r="A671" s="87">
        <f t="shared" si="152"/>
        <v>87</v>
      </c>
      <c r="B671" s="225" t="s">
        <v>446</v>
      </c>
      <c r="C671" s="88">
        <v>1976</v>
      </c>
      <c r="D671" s="88"/>
      <c r="E671" s="89" t="s">
        <v>219</v>
      </c>
      <c r="F671" s="88">
        <v>5</v>
      </c>
      <c r="G671" s="88">
        <v>4</v>
      </c>
      <c r="H671" s="90"/>
      <c r="I671" s="90"/>
      <c r="J671" s="90"/>
      <c r="K671" s="91"/>
      <c r="L671" s="92">
        <v>1116228</v>
      </c>
      <c r="M671" s="92">
        <v>0</v>
      </c>
      <c r="N671" s="92">
        <v>0</v>
      </c>
      <c r="O671" s="92">
        <f t="shared" si="150"/>
        <v>1116228</v>
      </c>
      <c r="P671" s="92">
        <v>0</v>
      </c>
      <c r="Q671" s="93" t="e">
        <f t="shared" si="151"/>
        <v>#DIV/0!</v>
      </c>
      <c r="R671" s="94"/>
      <c r="S671" s="276">
        <v>43465</v>
      </c>
      <c r="Z671" s="1"/>
      <c r="AA671" s="1"/>
      <c r="AB671" s="1"/>
      <c r="AC671" s="1"/>
      <c r="AD671" s="1"/>
    </row>
    <row r="672" spans="1:30" customFormat="1" ht="31.5">
      <c r="A672" s="87">
        <f t="shared" si="152"/>
        <v>88</v>
      </c>
      <c r="B672" s="225" t="s">
        <v>448</v>
      </c>
      <c r="C672" s="88">
        <v>1983</v>
      </c>
      <c r="D672" s="88"/>
      <c r="E672" s="89" t="s">
        <v>219</v>
      </c>
      <c r="F672" s="88">
        <v>5</v>
      </c>
      <c r="G672" s="88">
        <v>3</v>
      </c>
      <c r="H672" s="90"/>
      <c r="I672" s="90"/>
      <c r="J672" s="90"/>
      <c r="K672" s="91"/>
      <c r="L672" s="92">
        <v>1313728</v>
      </c>
      <c r="M672" s="92">
        <v>0</v>
      </c>
      <c r="N672" s="92">
        <v>0</v>
      </c>
      <c r="O672" s="92">
        <f t="shared" si="150"/>
        <v>1313728</v>
      </c>
      <c r="P672" s="92">
        <v>0</v>
      </c>
      <c r="Q672" s="93" t="e">
        <f t="shared" si="151"/>
        <v>#DIV/0!</v>
      </c>
      <c r="R672" s="94"/>
      <c r="S672" s="276">
        <v>43465</v>
      </c>
      <c r="T672" s="33"/>
      <c r="U672" s="33"/>
      <c r="V672" s="33"/>
      <c r="W672" s="33"/>
      <c r="X672" s="33"/>
      <c r="Y672" s="33"/>
    </row>
    <row r="673" spans="1:30" customFormat="1" ht="31.5">
      <c r="A673" s="87">
        <f t="shared" si="152"/>
        <v>89</v>
      </c>
      <c r="B673" s="234" t="s">
        <v>241</v>
      </c>
      <c r="C673" s="97">
        <v>1958</v>
      </c>
      <c r="D673" s="97"/>
      <c r="E673" s="89" t="s">
        <v>218</v>
      </c>
      <c r="F673" s="97">
        <v>2</v>
      </c>
      <c r="G673" s="97">
        <v>1</v>
      </c>
      <c r="H673" s="97"/>
      <c r="I673" s="97"/>
      <c r="J673" s="97"/>
      <c r="K673" s="98"/>
      <c r="L673" s="92">
        <v>359651</v>
      </c>
      <c r="M673" s="92">
        <v>0</v>
      </c>
      <c r="N673" s="92">
        <v>0</v>
      </c>
      <c r="O673" s="92">
        <f t="shared" si="150"/>
        <v>359651</v>
      </c>
      <c r="P673" s="92">
        <v>0</v>
      </c>
      <c r="Q673" s="93" t="e">
        <f t="shared" si="151"/>
        <v>#DIV/0!</v>
      </c>
      <c r="R673" s="94"/>
      <c r="S673" s="276">
        <v>43465</v>
      </c>
      <c r="Z673" s="33"/>
      <c r="AA673" s="33"/>
      <c r="AB673" s="33"/>
      <c r="AC673" s="33"/>
      <c r="AD673" s="33"/>
    </row>
    <row r="674" spans="1:30" customFormat="1" ht="15.75">
      <c r="A674" s="87">
        <f t="shared" si="152"/>
        <v>90</v>
      </c>
      <c r="B674" s="234" t="s">
        <v>233</v>
      </c>
      <c r="C674" s="97">
        <v>1965</v>
      </c>
      <c r="D674" s="97"/>
      <c r="E674" s="89" t="s">
        <v>219</v>
      </c>
      <c r="F674" s="97">
        <v>5</v>
      </c>
      <c r="G674" s="97">
        <v>5</v>
      </c>
      <c r="H674" s="97"/>
      <c r="I674" s="97"/>
      <c r="J674" s="97"/>
      <c r="K674" s="98"/>
      <c r="L674" s="92">
        <v>906779</v>
      </c>
      <c r="M674" s="92">
        <v>0</v>
      </c>
      <c r="N674" s="92">
        <v>0</v>
      </c>
      <c r="O674" s="92">
        <f t="shared" si="150"/>
        <v>906779</v>
      </c>
      <c r="P674" s="92">
        <v>0</v>
      </c>
      <c r="Q674" s="93" t="e">
        <f t="shared" si="151"/>
        <v>#DIV/0!</v>
      </c>
      <c r="R674" s="94"/>
      <c r="S674" s="276">
        <v>43465</v>
      </c>
    </row>
    <row r="675" spans="1:30" customFormat="1" ht="31.5">
      <c r="A675" s="87">
        <f t="shared" si="152"/>
        <v>91</v>
      </c>
      <c r="B675" s="234" t="s">
        <v>278</v>
      </c>
      <c r="C675" s="87">
        <v>1958</v>
      </c>
      <c r="D675" s="88"/>
      <c r="E675" s="89" t="s">
        <v>218</v>
      </c>
      <c r="F675" s="88">
        <v>2</v>
      </c>
      <c r="G675" s="88">
        <v>1</v>
      </c>
      <c r="H675" s="96"/>
      <c r="I675" s="96"/>
      <c r="J675" s="96"/>
      <c r="K675" s="81"/>
      <c r="L675" s="92">
        <v>886559</v>
      </c>
      <c r="M675" s="92">
        <v>0</v>
      </c>
      <c r="N675" s="92">
        <v>0</v>
      </c>
      <c r="O675" s="92">
        <f t="shared" si="150"/>
        <v>886559</v>
      </c>
      <c r="P675" s="92">
        <v>0</v>
      </c>
      <c r="Q675" s="93" t="e">
        <f t="shared" si="151"/>
        <v>#DIV/0!</v>
      </c>
      <c r="R675" s="94"/>
      <c r="S675" s="276">
        <v>43465</v>
      </c>
    </row>
    <row r="676" spans="1:30" customFormat="1" ht="31.5">
      <c r="A676" s="87">
        <f t="shared" si="152"/>
        <v>92</v>
      </c>
      <c r="B676" s="234" t="s">
        <v>347</v>
      </c>
      <c r="C676" s="88">
        <v>1959</v>
      </c>
      <c r="D676" s="88"/>
      <c r="E676" s="89" t="s">
        <v>218</v>
      </c>
      <c r="F676" s="88">
        <v>2</v>
      </c>
      <c r="G676" s="88">
        <v>1</v>
      </c>
      <c r="H676" s="90"/>
      <c r="I676" s="90"/>
      <c r="J676" s="90"/>
      <c r="K676" s="91"/>
      <c r="L676" s="92">
        <v>642210</v>
      </c>
      <c r="M676" s="92">
        <v>0</v>
      </c>
      <c r="N676" s="92">
        <v>0</v>
      </c>
      <c r="O676" s="92">
        <f t="shared" si="150"/>
        <v>642210</v>
      </c>
      <c r="P676" s="92">
        <v>0</v>
      </c>
      <c r="Q676" s="93" t="e">
        <f t="shared" si="151"/>
        <v>#DIV/0!</v>
      </c>
      <c r="R676" s="94"/>
      <c r="S676" s="276">
        <v>43465</v>
      </c>
    </row>
    <row r="677" spans="1:30" customFormat="1" ht="31.5">
      <c r="A677" s="87">
        <f t="shared" si="152"/>
        <v>93</v>
      </c>
      <c r="B677" s="225" t="s">
        <v>266</v>
      </c>
      <c r="C677" s="97">
        <v>1957</v>
      </c>
      <c r="D677" s="97"/>
      <c r="E677" s="89" t="s">
        <v>218</v>
      </c>
      <c r="F677" s="97">
        <v>4</v>
      </c>
      <c r="G677" s="97">
        <v>3</v>
      </c>
      <c r="H677" s="97"/>
      <c r="I677" s="97"/>
      <c r="J677" s="97"/>
      <c r="K677" s="98"/>
      <c r="L677" s="92">
        <v>1952489</v>
      </c>
      <c r="M677" s="92">
        <v>0</v>
      </c>
      <c r="N677" s="92">
        <v>0</v>
      </c>
      <c r="O677" s="92">
        <f t="shared" si="150"/>
        <v>1952489</v>
      </c>
      <c r="P677" s="92">
        <v>0</v>
      </c>
      <c r="Q677" s="93" t="e">
        <f t="shared" si="151"/>
        <v>#DIV/0!</v>
      </c>
      <c r="R677" s="94"/>
      <c r="S677" s="276">
        <v>43465</v>
      </c>
    </row>
    <row r="678" spans="1:30" customFormat="1" ht="15.75">
      <c r="A678" s="87">
        <f t="shared" si="152"/>
        <v>94</v>
      </c>
      <c r="B678" s="225" t="s">
        <v>310</v>
      </c>
      <c r="C678" s="88">
        <v>1983</v>
      </c>
      <c r="D678" s="88"/>
      <c r="E678" s="89" t="s">
        <v>219</v>
      </c>
      <c r="F678" s="88">
        <v>9</v>
      </c>
      <c r="G678" s="88">
        <v>8</v>
      </c>
      <c r="H678" s="90"/>
      <c r="I678" s="90"/>
      <c r="J678" s="90"/>
      <c r="K678" s="91"/>
      <c r="L678" s="92">
        <v>15157748</v>
      </c>
      <c r="M678" s="92">
        <v>0</v>
      </c>
      <c r="N678" s="92">
        <v>0</v>
      </c>
      <c r="O678" s="92">
        <f t="shared" si="150"/>
        <v>15157748</v>
      </c>
      <c r="P678" s="92">
        <v>0</v>
      </c>
      <c r="Q678" s="93" t="e">
        <f t="shared" si="151"/>
        <v>#DIV/0!</v>
      </c>
      <c r="R678" s="94"/>
      <c r="S678" s="276">
        <v>43465</v>
      </c>
    </row>
    <row r="679" spans="1:30" customFormat="1" ht="31.5">
      <c r="A679" s="87">
        <f t="shared" si="152"/>
        <v>95</v>
      </c>
      <c r="B679" s="234" t="s">
        <v>281</v>
      </c>
      <c r="C679" s="87">
        <v>1959</v>
      </c>
      <c r="D679" s="88"/>
      <c r="E679" s="89" t="s">
        <v>218</v>
      </c>
      <c r="F679" s="88">
        <v>4</v>
      </c>
      <c r="G679" s="88">
        <v>5</v>
      </c>
      <c r="H679" s="96"/>
      <c r="I679" s="96"/>
      <c r="J679" s="96"/>
      <c r="K679" s="81"/>
      <c r="L679" s="92">
        <v>2542298.37</v>
      </c>
      <c r="M679" s="92">
        <v>0</v>
      </c>
      <c r="N679" s="92">
        <v>0</v>
      </c>
      <c r="O679" s="92">
        <f t="shared" si="150"/>
        <v>2542298.37</v>
      </c>
      <c r="P679" s="92">
        <v>0</v>
      </c>
      <c r="Q679" s="93" t="e">
        <f t="shared" si="151"/>
        <v>#DIV/0!</v>
      </c>
      <c r="R679" s="94"/>
      <c r="S679" s="276">
        <v>43465</v>
      </c>
    </row>
    <row r="680" spans="1:30" customFormat="1" ht="15.75">
      <c r="A680" s="87">
        <f t="shared" si="152"/>
        <v>96</v>
      </c>
      <c r="B680" s="225" t="s">
        <v>248</v>
      </c>
      <c r="C680" s="97">
        <v>1983</v>
      </c>
      <c r="D680" s="97"/>
      <c r="E680" s="89" t="s">
        <v>219</v>
      </c>
      <c r="F680" s="97">
        <v>9</v>
      </c>
      <c r="G680" s="97">
        <v>1</v>
      </c>
      <c r="H680" s="97"/>
      <c r="I680" s="97"/>
      <c r="J680" s="97"/>
      <c r="K680" s="98"/>
      <c r="L680" s="92">
        <v>1114586</v>
      </c>
      <c r="M680" s="92">
        <v>0</v>
      </c>
      <c r="N680" s="92">
        <v>0</v>
      </c>
      <c r="O680" s="92">
        <f t="shared" si="150"/>
        <v>1114586</v>
      </c>
      <c r="P680" s="92">
        <v>0</v>
      </c>
      <c r="Q680" s="93" t="e">
        <f t="shared" si="151"/>
        <v>#DIV/0!</v>
      </c>
      <c r="R680" s="94"/>
      <c r="S680" s="276">
        <v>43465</v>
      </c>
      <c r="T680" s="1"/>
      <c r="U680" s="1"/>
      <c r="V680" s="1"/>
      <c r="W680" s="1"/>
      <c r="X680" s="1"/>
      <c r="Y680" s="1"/>
    </row>
    <row r="681" spans="1:30" customFormat="1" ht="15.75">
      <c r="A681" s="87">
        <f t="shared" si="152"/>
        <v>97</v>
      </c>
      <c r="B681" s="225" t="s">
        <v>301</v>
      </c>
      <c r="C681" s="88">
        <v>1975</v>
      </c>
      <c r="D681" s="88"/>
      <c r="E681" s="89" t="s">
        <v>219</v>
      </c>
      <c r="F681" s="88">
        <v>9</v>
      </c>
      <c r="G681" s="88">
        <v>3</v>
      </c>
      <c r="H681" s="90"/>
      <c r="I681" s="90"/>
      <c r="J681" s="90"/>
      <c r="K681" s="91"/>
      <c r="L681" s="92">
        <v>5623853</v>
      </c>
      <c r="M681" s="92">
        <v>0</v>
      </c>
      <c r="N681" s="92">
        <v>0</v>
      </c>
      <c r="O681" s="92">
        <f t="shared" si="150"/>
        <v>5623853</v>
      </c>
      <c r="P681" s="92">
        <v>0</v>
      </c>
      <c r="Q681" s="93" t="e">
        <f t="shared" si="151"/>
        <v>#DIV/0!</v>
      </c>
      <c r="R681" s="94"/>
      <c r="S681" s="276">
        <v>43465</v>
      </c>
      <c r="Z681" s="1"/>
      <c r="AA681" s="1"/>
      <c r="AB681" s="1"/>
      <c r="AC681" s="1"/>
      <c r="AD681" s="1"/>
    </row>
    <row r="682" spans="1:30" customFormat="1" ht="15.75">
      <c r="A682" s="87">
        <f t="shared" si="152"/>
        <v>98</v>
      </c>
      <c r="B682" s="225" t="s">
        <v>244</v>
      </c>
      <c r="C682" s="97">
        <v>1976</v>
      </c>
      <c r="D682" s="97"/>
      <c r="E682" s="89" t="s">
        <v>219</v>
      </c>
      <c r="F682" s="97">
        <v>9</v>
      </c>
      <c r="G682" s="97">
        <v>4</v>
      </c>
      <c r="H682" s="97"/>
      <c r="I682" s="97"/>
      <c r="J682" s="97"/>
      <c r="K682" s="98"/>
      <c r="L682" s="92">
        <v>2721106</v>
      </c>
      <c r="M682" s="92">
        <v>0</v>
      </c>
      <c r="N682" s="92">
        <v>0</v>
      </c>
      <c r="O682" s="92">
        <f t="shared" si="150"/>
        <v>2721106</v>
      </c>
      <c r="P682" s="92">
        <v>0</v>
      </c>
      <c r="Q682" s="93" t="e">
        <f t="shared" si="151"/>
        <v>#DIV/0!</v>
      </c>
      <c r="R682" s="94"/>
      <c r="S682" s="276">
        <v>43465</v>
      </c>
    </row>
    <row r="683" spans="1:30" customFormat="1" ht="15.75">
      <c r="A683" s="87">
        <f t="shared" si="152"/>
        <v>99</v>
      </c>
      <c r="B683" s="234" t="s">
        <v>288</v>
      </c>
      <c r="C683" s="87">
        <v>1973</v>
      </c>
      <c r="D683" s="88"/>
      <c r="E683" s="89" t="s">
        <v>219</v>
      </c>
      <c r="F683" s="88">
        <v>9</v>
      </c>
      <c r="G683" s="88">
        <v>6</v>
      </c>
      <c r="H683" s="96"/>
      <c r="I683" s="96"/>
      <c r="J683" s="96"/>
      <c r="K683" s="81"/>
      <c r="L683" s="92">
        <v>9789326.5500000007</v>
      </c>
      <c r="M683" s="92">
        <v>0</v>
      </c>
      <c r="N683" s="92">
        <v>0</v>
      </c>
      <c r="O683" s="92">
        <f t="shared" si="150"/>
        <v>9789326.5500000007</v>
      </c>
      <c r="P683" s="92">
        <v>0</v>
      </c>
      <c r="Q683" s="93" t="e">
        <f t="shared" si="151"/>
        <v>#DIV/0!</v>
      </c>
      <c r="R683" s="94"/>
      <c r="S683" s="276">
        <v>43465</v>
      </c>
    </row>
    <row r="684" spans="1:30" customFormat="1" ht="31.5">
      <c r="A684" s="87">
        <f t="shared" si="152"/>
        <v>100</v>
      </c>
      <c r="B684" s="234" t="s">
        <v>249</v>
      </c>
      <c r="C684" s="97" t="s">
        <v>190</v>
      </c>
      <c r="D684" s="97"/>
      <c r="E684" s="89" t="s">
        <v>218</v>
      </c>
      <c r="F684" s="97">
        <v>3</v>
      </c>
      <c r="G684" s="97">
        <v>3</v>
      </c>
      <c r="H684" s="97"/>
      <c r="I684" s="97"/>
      <c r="J684" s="97"/>
      <c r="K684" s="98"/>
      <c r="L684" s="92">
        <v>1615074</v>
      </c>
      <c r="M684" s="92">
        <v>0</v>
      </c>
      <c r="N684" s="92">
        <v>0</v>
      </c>
      <c r="O684" s="92">
        <f t="shared" si="150"/>
        <v>1615074</v>
      </c>
      <c r="P684" s="92">
        <v>0</v>
      </c>
      <c r="Q684" s="93" t="e">
        <f t="shared" si="151"/>
        <v>#DIV/0!</v>
      </c>
      <c r="R684" s="94"/>
      <c r="S684" s="276">
        <v>43465</v>
      </c>
    </row>
    <row r="685" spans="1:30" customFormat="1" ht="31.5">
      <c r="A685" s="87">
        <f t="shared" si="152"/>
        <v>101</v>
      </c>
      <c r="B685" s="225" t="s">
        <v>265</v>
      </c>
      <c r="C685" s="97">
        <v>1953</v>
      </c>
      <c r="D685" s="97"/>
      <c r="E685" s="89" t="s">
        <v>218</v>
      </c>
      <c r="F685" s="97">
        <v>2</v>
      </c>
      <c r="G685" s="97">
        <v>2</v>
      </c>
      <c r="H685" s="97"/>
      <c r="I685" s="97"/>
      <c r="J685" s="97"/>
      <c r="K685" s="98"/>
      <c r="L685" s="92">
        <v>824390</v>
      </c>
      <c r="M685" s="92">
        <v>0</v>
      </c>
      <c r="N685" s="92">
        <v>0</v>
      </c>
      <c r="O685" s="92">
        <f t="shared" si="150"/>
        <v>824390</v>
      </c>
      <c r="P685" s="92">
        <v>0</v>
      </c>
      <c r="Q685" s="93" t="e">
        <f t="shared" si="151"/>
        <v>#DIV/0!</v>
      </c>
      <c r="R685" s="94"/>
      <c r="S685" s="276">
        <v>43465</v>
      </c>
    </row>
    <row r="686" spans="1:30" customFormat="1" ht="15.75">
      <c r="A686" s="87">
        <f t="shared" si="152"/>
        <v>102</v>
      </c>
      <c r="B686" s="234" t="s">
        <v>292</v>
      </c>
      <c r="C686" s="88">
        <v>1951</v>
      </c>
      <c r="D686" s="88"/>
      <c r="E686" s="89" t="s">
        <v>220</v>
      </c>
      <c r="F686" s="88">
        <v>2</v>
      </c>
      <c r="G686" s="88">
        <v>3</v>
      </c>
      <c r="H686" s="90"/>
      <c r="I686" s="90"/>
      <c r="J686" s="90"/>
      <c r="K686" s="91"/>
      <c r="L686" s="92">
        <v>2661189</v>
      </c>
      <c r="M686" s="92">
        <v>0</v>
      </c>
      <c r="N686" s="92">
        <v>0</v>
      </c>
      <c r="O686" s="92">
        <f t="shared" si="150"/>
        <v>2661189</v>
      </c>
      <c r="P686" s="92">
        <v>0</v>
      </c>
      <c r="Q686" s="93" t="e">
        <f t="shared" si="151"/>
        <v>#DIV/0!</v>
      </c>
      <c r="R686" s="94"/>
      <c r="S686" s="276">
        <v>43465</v>
      </c>
    </row>
    <row r="687" spans="1:30" s="33" customFormat="1" ht="31.5">
      <c r="A687" s="87">
        <f t="shared" si="152"/>
        <v>103</v>
      </c>
      <c r="B687" s="234" t="s">
        <v>276</v>
      </c>
      <c r="C687" s="87">
        <v>1959</v>
      </c>
      <c r="D687" s="88"/>
      <c r="E687" s="89" t="s">
        <v>218</v>
      </c>
      <c r="F687" s="88">
        <v>2</v>
      </c>
      <c r="G687" s="88">
        <v>1</v>
      </c>
      <c r="H687" s="96"/>
      <c r="I687" s="96"/>
      <c r="J687" s="96"/>
      <c r="K687" s="81"/>
      <c r="L687" s="92">
        <v>278220</v>
      </c>
      <c r="M687" s="92">
        <v>0</v>
      </c>
      <c r="N687" s="92">
        <v>0</v>
      </c>
      <c r="O687" s="92">
        <f t="shared" si="150"/>
        <v>278220</v>
      </c>
      <c r="P687" s="92">
        <v>0</v>
      </c>
      <c r="Q687" s="93" t="e">
        <f t="shared" si="151"/>
        <v>#DIV/0!</v>
      </c>
      <c r="R687" s="94"/>
      <c r="S687" s="276">
        <v>43465</v>
      </c>
      <c r="T687"/>
      <c r="U687"/>
      <c r="V687"/>
      <c r="W687"/>
      <c r="X687"/>
      <c r="Y687"/>
      <c r="Z687"/>
      <c r="AA687"/>
      <c r="AB687"/>
      <c r="AC687"/>
      <c r="AD687"/>
    </row>
    <row r="688" spans="1:30" customFormat="1" ht="31.5">
      <c r="A688" s="87">
        <f t="shared" si="152"/>
        <v>104</v>
      </c>
      <c r="B688" s="225" t="s">
        <v>229</v>
      </c>
      <c r="C688" s="97">
        <v>1928</v>
      </c>
      <c r="D688" s="97"/>
      <c r="E688" s="89" t="s">
        <v>218</v>
      </c>
      <c r="F688" s="97">
        <v>3</v>
      </c>
      <c r="G688" s="97">
        <v>6</v>
      </c>
      <c r="H688" s="97"/>
      <c r="I688" s="97"/>
      <c r="J688" s="97"/>
      <c r="K688" s="98"/>
      <c r="L688" s="92">
        <v>2511472</v>
      </c>
      <c r="M688" s="92">
        <v>0</v>
      </c>
      <c r="N688" s="92">
        <v>0</v>
      </c>
      <c r="O688" s="92">
        <f t="shared" si="150"/>
        <v>2511472</v>
      </c>
      <c r="P688" s="92">
        <v>0</v>
      </c>
      <c r="Q688" s="93" t="e">
        <f t="shared" si="151"/>
        <v>#DIV/0!</v>
      </c>
      <c r="R688" s="94"/>
      <c r="S688" s="276">
        <v>43465</v>
      </c>
    </row>
    <row r="689" spans="1:30" customFormat="1" ht="31.5">
      <c r="A689" s="87">
        <f t="shared" si="152"/>
        <v>105</v>
      </c>
      <c r="B689" s="225" t="s">
        <v>309</v>
      </c>
      <c r="C689" s="88">
        <v>1964</v>
      </c>
      <c r="D689" s="88"/>
      <c r="E689" s="89" t="s">
        <v>218</v>
      </c>
      <c r="F689" s="88">
        <v>4</v>
      </c>
      <c r="G689" s="88">
        <v>2</v>
      </c>
      <c r="H689" s="90"/>
      <c r="I689" s="90"/>
      <c r="J689" s="90"/>
      <c r="K689" s="91"/>
      <c r="L689" s="92">
        <v>871988</v>
      </c>
      <c r="M689" s="92">
        <v>0</v>
      </c>
      <c r="N689" s="92">
        <v>0</v>
      </c>
      <c r="O689" s="92">
        <f t="shared" si="150"/>
        <v>871988</v>
      </c>
      <c r="P689" s="92">
        <v>0</v>
      </c>
      <c r="Q689" s="93" t="e">
        <f t="shared" si="151"/>
        <v>#DIV/0!</v>
      </c>
      <c r="R689" s="94"/>
      <c r="S689" s="276">
        <v>43465</v>
      </c>
    </row>
    <row r="690" spans="1:30" customFormat="1" ht="31.5">
      <c r="A690" s="87">
        <f t="shared" si="152"/>
        <v>106</v>
      </c>
      <c r="B690" s="225" t="s">
        <v>308</v>
      </c>
      <c r="C690" s="88">
        <v>1966</v>
      </c>
      <c r="D690" s="88"/>
      <c r="E690" s="89" t="s">
        <v>218</v>
      </c>
      <c r="F690" s="88">
        <v>4</v>
      </c>
      <c r="G690" s="88">
        <v>4</v>
      </c>
      <c r="H690" s="90"/>
      <c r="I690" s="90"/>
      <c r="J690" s="90"/>
      <c r="K690" s="91"/>
      <c r="L690" s="92">
        <v>2113335</v>
      </c>
      <c r="M690" s="92">
        <v>0</v>
      </c>
      <c r="N690" s="92">
        <v>0</v>
      </c>
      <c r="O690" s="92">
        <f t="shared" si="150"/>
        <v>2113335</v>
      </c>
      <c r="P690" s="92">
        <v>0</v>
      </c>
      <c r="Q690" s="93" t="e">
        <f t="shared" si="151"/>
        <v>#DIV/0!</v>
      </c>
      <c r="R690" s="94"/>
      <c r="S690" s="276">
        <v>43465</v>
      </c>
    </row>
    <row r="691" spans="1:30" customFormat="1" ht="31.5">
      <c r="A691" s="87">
        <f t="shared" si="152"/>
        <v>107</v>
      </c>
      <c r="B691" s="234" t="s">
        <v>296</v>
      </c>
      <c r="C691" s="88">
        <v>1960</v>
      </c>
      <c r="D691" s="88"/>
      <c r="E691" s="89" t="s">
        <v>218</v>
      </c>
      <c r="F691" s="88">
        <v>2</v>
      </c>
      <c r="G691" s="88">
        <v>2</v>
      </c>
      <c r="H691" s="90"/>
      <c r="I691" s="90"/>
      <c r="J691" s="90"/>
      <c r="K691" s="91"/>
      <c r="L691" s="92">
        <v>996585</v>
      </c>
      <c r="M691" s="92">
        <v>0</v>
      </c>
      <c r="N691" s="92">
        <v>0</v>
      </c>
      <c r="O691" s="92">
        <f t="shared" si="150"/>
        <v>996585</v>
      </c>
      <c r="P691" s="92">
        <v>0</v>
      </c>
      <c r="Q691" s="93" t="e">
        <f t="shared" si="151"/>
        <v>#DIV/0!</v>
      </c>
      <c r="R691" s="94"/>
      <c r="S691" s="276">
        <v>43465</v>
      </c>
    </row>
    <row r="692" spans="1:30" customFormat="1" ht="31.5">
      <c r="A692" s="87">
        <f t="shared" si="152"/>
        <v>108</v>
      </c>
      <c r="B692" s="234" t="s">
        <v>240</v>
      </c>
      <c r="C692" s="97">
        <v>1955</v>
      </c>
      <c r="D692" s="97"/>
      <c r="E692" s="89" t="s">
        <v>218</v>
      </c>
      <c r="F692" s="97">
        <v>2</v>
      </c>
      <c r="G692" s="97">
        <v>2</v>
      </c>
      <c r="H692" s="97"/>
      <c r="I692" s="97"/>
      <c r="J692" s="97"/>
      <c r="K692" s="98"/>
      <c r="L692" s="92">
        <v>637739</v>
      </c>
      <c r="M692" s="92">
        <v>0</v>
      </c>
      <c r="N692" s="92">
        <v>0</v>
      </c>
      <c r="O692" s="92">
        <f t="shared" si="150"/>
        <v>637739</v>
      </c>
      <c r="P692" s="92">
        <v>0</v>
      </c>
      <c r="Q692" s="93" t="e">
        <f t="shared" si="151"/>
        <v>#DIV/0!</v>
      </c>
      <c r="R692" s="94"/>
      <c r="S692" s="276">
        <v>43465</v>
      </c>
    </row>
    <row r="693" spans="1:30" customFormat="1" ht="15.75">
      <c r="A693" s="87">
        <f t="shared" si="152"/>
        <v>109</v>
      </c>
      <c r="B693" s="225" t="s">
        <v>243</v>
      </c>
      <c r="C693" s="97">
        <v>1976</v>
      </c>
      <c r="D693" s="97"/>
      <c r="E693" s="89" t="s">
        <v>219</v>
      </c>
      <c r="F693" s="97">
        <v>9</v>
      </c>
      <c r="G693" s="97">
        <v>2</v>
      </c>
      <c r="H693" s="97"/>
      <c r="I693" s="97"/>
      <c r="J693" s="97"/>
      <c r="K693" s="98"/>
      <c r="L693" s="92">
        <v>1357217</v>
      </c>
      <c r="M693" s="92">
        <v>0</v>
      </c>
      <c r="N693" s="92">
        <v>0</v>
      </c>
      <c r="O693" s="92">
        <f t="shared" si="150"/>
        <v>1357217</v>
      </c>
      <c r="P693" s="92">
        <v>0</v>
      </c>
      <c r="Q693" s="93" t="e">
        <f t="shared" si="151"/>
        <v>#DIV/0!</v>
      </c>
      <c r="R693" s="94"/>
      <c r="S693" s="276">
        <v>43465</v>
      </c>
    </row>
    <row r="694" spans="1:30" customFormat="1" ht="31.5">
      <c r="A694" s="87">
        <f t="shared" si="152"/>
        <v>110</v>
      </c>
      <c r="B694" s="234" t="s">
        <v>269</v>
      </c>
      <c r="C694" s="97">
        <v>1952</v>
      </c>
      <c r="D694" s="97"/>
      <c r="E694" s="89" t="s">
        <v>218</v>
      </c>
      <c r="F694" s="97">
        <v>2</v>
      </c>
      <c r="G694" s="97">
        <v>2</v>
      </c>
      <c r="H694" s="97"/>
      <c r="I694" s="97"/>
      <c r="J694" s="97"/>
      <c r="K694" s="98"/>
      <c r="L694" s="92">
        <v>836226</v>
      </c>
      <c r="M694" s="92">
        <v>0</v>
      </c>
      <c r="N694" s="92">
        <v>0</v>
      </c>
      <c r="O694" s="92">
        <f t="shared" si="150"/>
        <v>836226</v>
      </c>
      <c r="P694" s="92">
        <v>0</v>
      </c>
      <c r="Q694" s="93" t="e">
        <f t="shared" si="151"/>
        <v>#DIV/0!</v>
      </c>
      <c r="R694" s="94"/>
      <c r="S694" s="276">
        <v>43465</v>
      </c>
    </row>
    <row r="695" spans="1:30" customFormat="1" ht="31.5">
      <c r="A695" s="87">
        <f t="shared" si="152"/>
        <v>111</v>
      </c>
      <c r="B695" s="234" t="s">
        <v>299</v>
      </c>
      <c r="C695" s="88">
        <v>1952</v>
      </c>
      <c r="D695" s="88"/>
      <c r="E695" s="89" t="s">
        <v>218</v>
      </c>
      <c r="F695" s="88">
        <v>2</v>
      </c>
      <c r="G695" s="88">
        <v>2</v>
      </c>
      <c r="H695" s="90"/>
      <c r="I695" s="90"/>
      <c r="J695" s="90"/>
      <c r="K695" s="91"/>
      <c r="L695" s="92">
        <v>640078</v>
      </c>
      <c r="M695" s="92">
        <v>0</v>
      </c>
      <c r="N695" s="92">
        <v>0</v>
      </c>
      <c r="O695" s="92">
        <f t="shared" si="150"/>
        <v>640078</v>
      </c>
      <c r="P695" s="92">
        <v>0</v>
      </c>
      <c r="Q695" s="93" t="e">
        <f t="shared" si="151"/>
        <v>#DIV/0!</v>
      </c>
      <c r="R695" s="94"/>
      <c r="S695" s="276">
        <v>43465</v>
      </c>
    </row>
    <row r="696" spans="1:30" customFormat="1" ht="31.5">
      <c r="A696" s="87">
        <f t="shared" si="152"/>
        <v>112</v>
      </c>
      <c r="B696" s="225" t="s">
        <v>236</v>
      </c>
      <c r="C696" s="97">
        <v>1959</v>
      </c>
      <c r="D696" s="97"/>
      <c r="E696" s="89" t="s">
        <v>218</v>
      </c>
      <c r="F696" s="97">
        <v>2</v>
      </c>
      <c r="G696" s="97">
        <v>2</v>
      </c>
      <c r="H696" s="97"/>
      <c r="I696" s="97"/>
      <c r="J696" s="97"/>
      <c r="K696" s="98"/>
      <c r="L696" s="92">
        <v>202649</v>
      </c>
      <c r="M696" s="92">
        <v>0</v>
      </c>
      <c r="N696" s="92">
        <v>0</v>
      </c>
      <c r="O696" s="92">
        <f t="shared" si="150"/>
        <v>202649</v>
      </c>
      <c r="P696" s="92">
        <v>0</v>
      </c>
      <c r="Q696" s="93" t="e">
        <f t="shared" si="151"/>
        <v>#DIV/0!</v>
      </c>
      <c r="R696" s="94"/>
      <c r="S696" s="276">
        <v>43465</v>
      </c>
    </row>
    <row r="697" spans="1:30" customFormat="1" ht="31.5">
      <c r="A697" s="87">
        <f t="shared" si="152"/>
        <v>113</v>
      </c>
      <c r="B697" s="234" t="s">
        <v>285</v>
      </c>
      <c r="C697" s="88">
        <v>1954</v>
      </c>
      <c r="D697" s="88"/>
      <c r="E697" s="89" t="s">
        <v>218</v>
      </c>
      <c r="F697" s="100" t="s">
        <v>191</v>
      </c>
      <c r="G697" s="88">
        <v>10</v>
      </c>
      <c r="H697" s="90"/>
      <c r="I697" s="90"/>
      <c r="J697" s="90"/>
      <c r="K697" s="91"/>
      <c r="L697" s="92">
        <v>7892437</v>
      </c>
      <c r="M697" s="92">
        <v>0</v>
      </c>
      <c r="N697" s="92">
        <v>0</v>
      </c>
      <c r="O697" s="92">
        <f t="shared" si="150"/>
        <v>7892437</v>
      </c>
      <c r="P697" s="92">
        <v>0</v>
      </c>
      <c r="Q697" s="93" t="e">
        <f t="shared" si="151"/>
        <v>#DIV/0!</v>
      </c>
      <c r="R697" s="94"/>
      <c r="S697" s="276">
        <v>43465</v>
      </c>
    </row>
    <row r="698" spans="1:30" customFormat="1" ht="31.5">
      <c r="A698" s="87">
        <f t="shared" si="152"/>
        <v>114</v>
      </c>
      <c r="B698" s="234" t="s">
        <v>237</v>
      </c>
      <c r="C698" s="97">
        <v>1950</v>
      </c>
      <c r="D698" s="97"/>
      <c r="E698" s="89" t="s">
        <v>218</v>
      </c>
      <c r="F698" s="97">
        <v>2</v>
      </c>
      <c r="G698" s="97">
        <v>1</v>
      </c>
      <c r="H698" s="97"/>
      <c r="I698" s="97"/>
      <c r="J698" s="97"/>
      <c r="K698" s="98"/>
      <c r="L698" s="92">
        <v>523389</v>
      </c>
      <c r="M698" s="92">
        <v>0</v>
      </c>
      <c r="N698" s="92">
        <v>0</v>
      </c>
      <c r="O698" s="92">
        <f t="shared" si="150"/>
        <v>523389</v>
      </c>
      <c r="P698" s="92">
        <v>0</v>
      </c>
      <c r="Q698" s="93" t="e">
        <f t="shared" si="151"/>
        <v>#DIV/0!</v>
      </c>
      <c r="R698" s="94"/>
      <c r="S698" s="276">
        <v>43465</v>
      </c>
    </row>
    <row r="699" spans="1:30" customFormat="1" ht="15.75">
      <c r="A699" s="87">
        <f t="shared" si="152"/>
        <v>115</v>
      </c>
      <c r="B699" s="234" t="s">
        <v>264</v>
      </c>
      <c r="C699" s="97">
        <v>1950</v>
      </c>
      <c r="D699" s="97"/>
      <c r="E699" s="89" t="s">
        <v>220</v>
      </c>
      <c r="F699" s="97">
        <v>2</v>
      </c>
      <c r="G699" s="97">
        <v>3</v>
      </c>
      <c r="H699" s="97"/>
      <c r="I699" s="97"/>
      <c r="J699" s="97"/>
      <c r="K699" s="98"/>
      <c r="L699" s="92">
        <v>1038920</v>
      </c>
      <c r="M699" s="92">
        <v>0</v>
      </c>
      <c r="N699" s="92">
        <v>0</v>
      </c>
      <c r="O699" s="92">
        <f t="shared" si="150"/>
        <v>1038920</v>
      </c>
      <c r="P699" s="92">
        <v>0</v>
      </c>
      <c r="Q699" s="93" t="e">
        <f t="shared" si="151"/>
        <v>#DIV/0!</v>
      </c>
      <c r="R699" s="94"/>
      <c r="S699" s="276">
        <v>43465</v>
      </c>
    </row>
    <row r="700" spans="1:30" s="1" customFormat="1" ht="15.75">
      <c r="A700" s="87">
        <f t="shared" si="152"/>
        <v>116</v>
      </c>
      <c r="B700" s="234" t="s">
        <v>258</v>
      </c>
      <c r="C700" s="97">
        <v>1950</v>
      </c>
      <c r="D700" s="97"/>
      <c r="E700" s="89" t="s">
        <v>220</v>
      </c>
      <c r="F700" s="97">
        <v>2</v>
      </c>
      <c r="G700" s="97">
        <v>2</v>
      </c>
      <c r="H700" s="97"/>
      <c r="I700" s="97"/>
      <c r="J700" s="97"/>
      <c r="K700" s="98"/>
      <c r="L700" s="92">
        <v>1742553</v>
      </c>
      <c r="M700" s="92">
        <v>0</v>
      </c>
      <c r="N700" s="92">
        <v>0</v>
      </c>
      <c r="O700" s="92">
        <f t="shared" si="150"/>
        <v>1742553</v>
      </c>
      <c r="P700" s="92">
        <v>0</v>
      </c>
      <c r="Q700" s="93" t="e">
        <f t="shared" si="151"/>
        <v>#DIV/0!</v>
      </c>
      <c r="R700" s="94"/>
      <c r="S700" s="276">
        <v>43465</v>
      </c>
      <c r="T700"/>
      <c r="U700"/>
      <c r="V700"/>
      <c r="W700"/>
      <c r="X700"/>
      <c r="Y700"/>
      <c r="Z700"/>
      <c r="AA700"/>
      <c r="AB700"/>
      <c r="AC700"/>
      <c r="AD700"/>
    </row>
    <row r="701" spans="1:30" customFormat="1" ht="31.5">
      <c r="A701" s="87">
        <f t="shared" si="152"/>
        <v>117</v>
      </c>
      <c r="B701" s="234" t="s">
        <v>250</v>
      </c>
      <c r="C701" s="97">
        <v>1948</v>
      </c>
      <c r="D701" s="97"/>
      <c r="E701" s="89" t="s">
        <v>218</v>
      </c>
      <c r="F701" s="97">
        <v>2</v>
      </c>
      <c r="G701" s="97">
        <v>3</v>
      </c>
      <c r="H701" s="97"/>
      <c r="I701" s="97"/>
      <c r="J701" s="97"/>
      <c r="K701" s="98"/>
      <c r="L701" s="92">
        <v>2124581</v>
      </c>
      <c r="M701" s="92">
        <v>0</v>
      </c>
      <c r="N701" s="92">
        <v>0</v>
      </c>
      <c r="O701" s="92">
        <f t="shared" si="150"/>
        <v>2124581</v>
      </c>
      <c r="P701" s="92">
        <v>0</v>
      </c>
      <c r="Q701" s="93" t="e">
        <f t="shared" si="151"/>
        <v>#DIV/0!</v>
      </c>
      <c r="R701" s="94"/>
      <c r="S701" s="276">
        <v>43465</v>
      </c>
    </row>
    <row r="702" spans="1:30" customFormat="1" ht="15.75">
      <c r="A702" s="87">
        <f t="shared" si="152"/>
        <v>118</v>
      </c>
      <c r="B702" s="234" t="s">
        <v>282</v>
      </c>
      <c r="C702" s="87">
        <v>1948</v>
      </c>
      <c r="D702" s="88"/>
      <c r="E702" s="89" t="s">
        <v>220</v>
      </c>
      <c r="F702" s="88">
        <v>2</v>
      </c>
      <c r="G702" s="88">
        <v>3</v>
      </c>
      <c r="H702" s="96"/>
      <c r="I702" s="96"/>
      <c r="J702" s="96"/>
      <c r="K702" s="81"/>
      <c r="L702" s="92">
        <v>2347478</v>
      </c>
      <c r="M702" s="92">
        <v>0</v>
      </c>
      <c r="N702" s="92">
        <v>0</v>
      </c>
      <c r="O702" s="92">
        <f t="shared" si="150"/>
        <v>2347478</v>
      </c>
      <c r="P702" s="92">
        <v>0</v>
      </c>
      <c r="Q702" s="93" t="e">
        <f t="shared" si="151"/>
        <v>#DIV/0!</v>
      </c>
      <c r="R702" s="94"/>
      <c r="S702" s="276">
        <v>43465</v>
      </c>
    </row>
    <row r="703" spans="1:30" customFormat="1" ht="31.5">
      <c r="A703" s="87">
        <f t="shared" si="152"/>
        <v>119</v>
      </c>
      <c r="B703" s="225" t="s">
        <v>267</v>
      </c>
      <c r="C703" s="97">
        <v>1948</v>
      </c>
      <c r="D703" s="97"/>
      <c r="E703" s="89" t="s">
        <v>218</v>
      </c>
      <c r="F703" s="97">
        <v>2</v>
      </c>
      <c r="G703" s="97">
        <v>3</v>
      </c>
      <c r="H703" s="97"/>
      <c r="I703" s="97"/>
      <c r="J703" s="97"/>
      <c r="K703" s="98"/>
      <c r="L703" s="92">
        <v>2468472</v>
      </c>
      <c r="M703" s="92">
        <v>0</v>
      </c>
      <c r="N703" s="92">
        <v>0</v>
      </c>
      <c r="O703" s="92">
        <f t="shared" si="150"/>
        <v>2468472</v>
      </c>
      <c r="P703" s="92">
        <v>0</v>
      </c>
      <c r="Q703" s="93" t="e">
        <f t="shared" si="151"/>
        <v>#DIV/0!</v>
      </c>
      <c r="R703" s="94"/>
      <c r="S703" s="276">
        <v>43465</v>
      </c>
    </row>
    <row r="704" spans="1:30" customFormat="1" ht="31.5">
      <c r="A704" s="87">
        <f t="shared" si="152"/>
        <v>120</v>
      </c>
      <c r="B704" s="234" t="s">
        <v>284</v>
      </c>
      <c r="C704" s="88">
        <v>1950</v>
      </c>
      <c r="D704" s="95"/>
      <c r="E704" s="89" t="s">
        <v>218</v>
      </c>
      <c r="F704" s="88">
        <v>2</v>
      </c>
      <c r="G704" s="88">
        <v>2</v>
      </c>
      <c r="H704" s="90"/>
      <c r="I704" s="90"/>
      <c r="J704" s="90"/>
      <c r="K704" s="91"/>
      <c r="L704" s="92">
        <v>1612780</v>
      </c>
      <c r="M704" s="92">
        <v>0</v>
      </c>
      <c r="N704" s="92">
        <v>0</v>
      </c>
      <c r="O704" s="92">
        <f t="shared" si="150"/>
        <v>1612780</v>
      </c>
      <c r="P704" s="92">
        <v>0</v>
      </c>
      <c r="Q704" s="93" t="e">
        <f t="shared" si="151"/>
        <v>#DIV/0!</v>
      </c>
      <c r="R704" s="94"/>
      <c r="S704" s="276">
        <v>43465</v>
      </c>
    </row>
    <row r="705" spans="1:19" customFormat="1" ht="31.5">
      <c r="A705" s="87">
        <f t="shared" si="152"/>
        <v>121</v>
      </c>
      <c r="B705" s="234" t="s">
        <v>256</v>
      </c>
      <c r="C705" s="97">
        <v>1947</v>
      </c>
      <c r="D705" s="97"/>
      <c r="E705" s="89" t="s">
        <v>218</v>
      </c>
      <c r="F705" s="97">
        <v>2</v>
      </c>
      <c r="G705" s="97">
        <v>2</v>
      </c>
      <c r="H705" s="97"/>
      <c r="I705" s="97"/>
      <c r="J705" s="97"/>
      <c r="K705" s="98"/>
      <c r="L705" s="92">
        <v>2580419</v>
      </c>
      <c r="M705" s="92">
        <v>0</v>
      </c>
      <c r="N705" s="92">
        <v>0</v>
      </c>
      <c r="O705" s="92">
        <f t="shared" si="150"/>
        <v>2580419</v>
      </c>
      <c r="P705" s="92">
        <v>0</v>
      </c>
      <c r="Q705" s="93" t="e">
        <f t="shared" si="151"/>
        <v>#DIV/0!</v>
      </c>
      <c r="R705" s="94"/>
      <c r="S705" s="276">
        <v>43465</v>
      </c>
    </row>
    <row r="706" spans="1:19" customFormat="1" ht="15.75">
      <c r="A706" s="87">
        <f t="shared" si="152"/>
        <v>122</v>
      </c>
      <c r="B706" s="225" t="s">
        <v>335</v>
      </c>
      <c r="C706" s="97">
        <v>1963</v>
      </c>
      <c r="D706" s="97"/>
      <c r="E706" s="89" t="s">
        <v>219</v>
      </c>
      <c r="F706" s="97">
        <v>5</v>
      </c>
      <c r="G706" s="97">
        <v>4</v>
      </c>
      <c r="H706" s="97"/>
      <c r="I706" s="97"/>
      <c r="J706" s="97"/>
      <c r="K706" s="98"/>
      <c r="L706" s="92">
        <v>1681645</v>
      </c>
      <c r="M706" s="92">
        <v>0</v>
      </c>
      <c r="N706" s="92">
        <v>0</v>
      </c>
      <c r="O706" s="92">
        <f t="shared" si="150"/>
        <v>1681645</v>
      </c>
      <c r="P706" s="92">
        <v>0</v>
      </c>
      <c r="Q706" s="93" t="e">
        <f t="shared" si="151"/>
        <v>#DIV/0!</v>
      </c>
      <c r="R706" s="94"/>
      <c r="S706" s="276">
        <v>43465</v>
      </c>
    </row>
    <row r="707" spans="1:19" customFormat="1" ht="31.5">
      <c r="A707" s="87">
        <f t="shared" si="152"/>
        <v>123</v>
      </c>
      <c r="B707" s="234" t="s">
        <v>255</v>
      </c>
      <c r="C707" s="97">
        <v>1950</v>
      </c>
      <c r="D707" s="97"/>
      <c r="E707" s="89" t="s">
        <v>218</v>
      </c>
      <c r="F707" s="97">
        <v>2</v>
      </c>
      <c r="G707" s="97">
        <v>2</v>
      </c>
      <c r="H707" s="97"/>
      <c r="I707" s="97"/>
      <c r="J707" s="97"/>
      <c r="K707" s="98"/>
      <c r="L707" s="92">
        <v>1318880</v>
      </c>
      <c r="M707" s="92">
        <v>0</v>
      </c>
      <c r="N707" s="92">
        <v>0</v>
      </c>
      <c r="O707" s="92">
        <f t="shared" si="150"/>
        <v>1318880</v>
      </c>
      <c r="P707" s="92">
        <v>0</v>
      </c>
      <c r="Q707" s="93" t="e">
        <f t="shared" si="151"/>
        <v>#DIV/0!</v>
      </c>
      <c r="R707" s="94"/>
      <c r="S707" s="276">
        <v>43465</v>
      </c>
    </row>
    <row r="708" spans="1:19" customFormat="1" ht="15.75">
      <c r="A708" s="87">
        <f t="shared" si="152"/>
        <v>124</v>
      </c>
      <c r="B708" s="234" t="s">
        <v>245</v>
      </c>
      <c r="C708" s="97">
        <v>1949</v>
      </c>
      <c r="D708" s="97"/>
      <c r="E708" s="89" t="s">
        <v>220</v>
      </c>
      <c r="F708" s="97">
        <v>2</v>
      </c>
      <c r="G708" s="97">
        <v>1</v>
      </c>
      <c r="H708" s="97"/>
      <c r="I708" s="97"/>
      <c r="J708" s="97"/>
      <c r="K708" s="98"/>
      <c r="L708" s="92">
        <v>1566345</v>
      </c>
      <c r="M708" s="92">
        <v>0</v>
      </c>
      <c r="N708" s="92">
        <v>0</v>
      </c>
      <c r="O708" s="92">
        <f t="shared" si="150"/>
        <v>1566345</v>
      </c>
      <c r="P708" s="92">
        <v>0</v>
      </c>
      <c r="Q708" s="93" t="e">
        <f t="shared" si="151"/>
        <v>#DIV/0!</v>
      </c>
      <c r="R708" s="94"/>
      <c r="S708" s="276">
        <v>43465</v>
      </c>
    </row>
    <row r="709" spans="1:19" customFormat="1" ht="31.5">
      <c r="A709" s="87">
        <f t="shared" si="152"/>
        <v>125</v>
      </c>
      <c r="B709" s="225" t="s">
        <v>449</v>
      </c>
      <c r="C709" s="88">
        <v>1984</v>
      </c>
      <c r="D709" s="88"/>
      <c r="E709" s="89" t="s">
        <v>219</v>
      </c>
      <c r="F709" s="88">
        <v>9</v>
      </c>
      <c r="G709" s="88">
        <v>1</v>
      </c>
      <c r="H709" s="90"/>
      <c r="I709" s="90"/>
      <c r="J709" s="90"/>
      <c r="K709" s="91"/>
      <c r="L709" s="92">
        <v>1910088</v>
      </c>
      <c r="M709" s="92">
        <v>0</v>
      </c>
      <c r="N709" s="92">
        <v>0</v>
      </c>
      <c r="O709" s="92">
        <f t="shared" si="150"/>
        <v>1910088</v>
      </c>
      <c r="P709" s="92">
        <v>0</v>
      </c>
      <c r="Q709" s="93" t="e">
        <f t="shared" si="151"/>
        <v>#DIV/0!</v>
      </c>
      <c r="R709" s="94"/>
      <c r="S709" s="276">
        <v>43465</v>
      </c>
    </row>
    <row r="710" spans="1:19" customFormat="1" ht="31.5">
      <c r="A710" s="87">
        <f t="shared" si="152"/>
        <v>126</v>
      </c>
      <c r="B710" s="234" t="s">
        <v>280</v>
      </c>
      <c r="C710" s="87">
        <v>1966</v>
      </c>
      <c r="D710" s="88"/>
      <c r="E710" s="89" t="s">
        <v>218</v>
      </c>
      <c r="F710" s="88">
        <v>5</v>
      </c>
      <c r="G710" s="88">
        <v>3</v>
      </c>
      <c r="H710" s="96"/>
      <c r="I710" s="96"/>
      <c r="J710" s="96"/>
      <c r="K710" s="81"/>
      <c r="L710" s="92">
        <v>2694957</v>
      </c>
      <c r="M710" s="92">
        <v>0</v>
      </c>
      <c r="N710" s="92">
        <v>0</v>
      </c>
      <c r="O710" s="92">
        <f t="shared" si="150"/>
        <v>2694957</v>
      </c>
      <c r="P710" s="92">
        <v>0</v>
      </c>
      <c r="Q710" s="93" t="e">
        <f t="shared" si="151"/>
        <v>#DIV/0!</v>
      </c>
      <c r="R710" s="94"/>
      <c r="S710" s="276">
        <v>43465</v>
      </c>
    </row>
    <row r="711" spans="1:19" customFormat="1" ht="31.5">
      <c r="A711" s="87">
        <f t="shared" si="152"/>
        <v>127</v>
      </c>
      <c r="B711" s="234" t="s">
        <v>367</v>
      </c>
      <c r="C711" s="97">
        <v>1958</v>
      </c>
      <c r="D711" s="97"/>
      <c r="E711" s="89" t="s">
        <v>218</v>
      </c>
      <c r="F711" s="97">
        <v>2</v>
      </c>
      <c r="G711" s="97">
        <v>1</v>
      </c>
      <c r="H711" s="97"/>
      <c r="I711" s="97"/>
      <c r="J711" s="97"/>
      <c r="K711" s="98"/>
      <c r="L711" s="92">
        <v>580578</v>
      </c>
      <c r="M711" s="92">
        <v>0</v>
      </c>
      <c r="N711" s="92">
        <v>0</v>
      </c>
      <c r="O711" s="92">
        <f t="shared" si="150"/>
        <v>580578</v>
      </c>
      <c r="P711" s="92">
        <v>0</v>
      </c>
      <c r="Q711" s="93" t="e">
        <f t="shared" si="151"/>
        <v>#DIV/0!</v>
      </c>
      <c r="R711" s="94"/>
      <c r="S711" s="276">
        <v>43465</v>
      </c>
    </row>
    <row r="712" spans="1:19" customFormat="1" ht="31.5">
      <c r="A712" s="87">
        <f t="shared" si="152"/>
        <v>128</v>
      </c>
      <c r="B712" s="234" t="s">
        <v>464</v>
      </c>
      <c r="C712" s="97">
        <v>1971</v>
      </c>
      <c r="D712" s="97"/>
      <c r="E712" s="89" t="s">
        <v>218</v>
      </c>
      <c r="F712" s="97">
        <v>2</v>
      </c>
      <c r="G712" s="97">
        <v>1</v>
      </c>
      <c r="H712" s="97"/>
      <c r="I712" s="97"/>
      <c r="J712" s="97"/>
      <c r="K712" s="98"/>
      <c r="L712" s="92">
        <v>615357</v>
      </c>
      <c r="M712" s="92">
        <v>0</v>
      </c>
      <c r="N712" s="92">
        <v>0</v>
      </c>
      <c r="O712" s="92">
        <f t="shared" si="150"/>
        <v>615357</v>
      </c>
      <c r="P712" s="92">
        <v>0</v>
      </c>
      <c r="Q712" s="93" t="e">
        <f t="shared" si="151"/>
        <v>#DIV/0!</v>
      </c>
      <c r="R712" s="94"/>
      <c r="S712" s="276">
        <v>43465</v>
      </c>
    </row>
    <row r="713" spans="1:19" customFormat="1" ht="31.5">
      <c r="A713" s="87">
        <f t="shared" si="152"/>
        <v>129</v>
      </c>
      <c r="B713" s="234" t="s">
        <v>385</v>
      </c>
      <c r="C713" s="97">
        <v>1957</v>
      </c>
      <c r="D713" s="97"/>
      <c r="E713" s="89" t="s">
        <v>218</v>
      </c>
      <c r="F713" s="97">
        <v>2</v>
      </c>
      <c r="G713" s="97">
        <v>1</v>
      </c>
      <c r="H713" s="97"/>
      <c r="I713" s="97"/>
      <c r="J713" s="97"/>
      <c r="K713" s="98"/>
      <c r="L713" s="92">
        <v>269948.13</v>
      </c>
      <c r="M713" s="92">
        <v>0</v>
      </c>
      <c r="N713" s="92">
        <v>0</v>
      </c>
      <c r="O713" s="92">
        <f t="shared" ref="O713:O752" si="153">L713</f>
        <v>269948.13</v>
      </c>
      <c r="P713" s="92">
        <v>0</v>
      </c>
      <c r="Q713" s="93" t="e">
        <f t="shared" ref="Q713:Q752" si="154">L713/I713</f>
        <v>#DIV/0!</v>
      </c>
      <c r="R713" s="94"/>
      <c r="S713" s="276">
        <v>43465</v>
      </c>
    </row>
    <row r="714" spans="1:19" customFormat="1" ht="15.75">
      <c r="A714" s="87">
        <f t="shared" si="152"/>
        <v>130</v>
      </c>
      <c r="B714" s="234" t="s">
        <v>238</v>
      </c>
      <c r="C714" s="97">
        <v>1924</v>
      </c>
      <c r="D714" s="97"/>
      <c r="E714" s="89" t="s">
        <v>221</v>
      </c>
      <c r="F714" s="97">
        <v>2</v>
      </c>
      <c r="G714" s="97">
        <v>2</v>
      </c>
      <c r="H714" s="97"/>
      <c r="I714" s="97"/>
      <c r="J714" s="97"/>
      <c r="K714" s="98"/>
      <c r="L714" s="92">
        <v>807980</v>
      </c>
      <c r="M714" s="92">
        <v>0</v>
      </c>
      <c r="N714" s="92">
        <v>0</v>
      </c>
      <c r="O714" s="92">
        <f t="shared" si="153"/>
        <v>807980</v>
      </c>
      <c r="P714" s="92">
        <v>0</v>
      </c>
      <c r="Q714" s="93" t="e">
        <f t="shared" si="154"/>
        <v>#DIV/0!</v>
      </c>
      <c r="R714" s="94"/>
      <c r="S714" s="276">
        <v>43465</v>
      </c>
    </row>
    <row r="715" spans="1:19" customFormat="1" ht="31.5">
      <c r="A715" s="87">
        <f t="shared" ref="A715:A772" si="155">A714+1</f>
        <v>131</v>
      </c>
      <c r="B715" s="234" t="s">
        <v>273</v>
      </c>
      <c r="C715" s="87">
        <v>1949</v>
      </c>
      <c r="D715" s="88"/>
      <c r="E715" s="89" t="s">
        <v>218</v>
      </c>
      <c r="F715" s="88">
        <v>2</v>
      </c>
      <c r="G715" s="88">
        <v>1</v>
      </c>
      <c r="H715" s="96"/>
      <c r="I715" s="96"/>
      <c r="J715" s="96"/>
      <c r="K715" s="81"/>
      <c r="L715" s="92">
        <v>661525</v>
      </c>
      <c r="M715" s="92">
        <v>0</v>
      </c>
      <c r="N715" s="92">
        <v>0</v>
      </c>
      <c r="O715" s="92">
        <f t="shared" si="153"/>
        <v>661525</v>
      </c>
      <c r="P715" s="92">
        <v>0</v>
      </c>
      <c r="Q715" s="93" t="e">
        <f t="shared" si="154"/>
        <v>#DIV/0!</v>
      </c>
      <c r="R715" s="94"/>
      <c r="S715" s="276">
        <v>43465</v>
      </c>
    </row>
    <row r="716" spans="1:19" customFormat="1" ht="15.75">
      <c r="A716" s="87">
        <f t="shared" si="155"/>
        <v>132</v>
      </c>
      <c r="B716" s="234" t="s">
        <v>297</v>
      </c>
      <c r="C716" s="88">
        <v>1981</v>
      </c>
      <c r="D716" s="88"/>
      <c r="E716" s="89" t="s">
        <v>219</v>
      </c>
      <c r="F716" s="88">
        <v>9</v>
      </c>
      <c r="G716" s="88">
        <v>2</v>
      </c>
      <c r="H716" s="90"/>
      <c r="I716" s="90"/>
      <c r="J716" s="90"/>
      <c r="K716" s="91"/>
      <c r="L716" s="92">
        <v>3719885</v>
      </c>
      <c r="M716" s="92">
        <v>0</v>
      </c>
      <c r="N716" s="92">
        <v>0</v>
      </c>
      <c r="O716" s="92">
        <f t="shared" si="153"/>
        <v>3719885</v>
      </c>
      <c r="P716" s="92">
        <v>0</v>
      </c>
      <c r="Q716" s="93" t="e">
        <f t="shared" si="154"/>
        <v>#DIV/0!</v>
      </c>
      <c r="R716" s="94"/>
      <c r="S716" s="276">
        <v>43465</v>
      </c>
    </row>
    <row r="717" spans="1:19" customFormat="1" ht="31.5">
      <c r="A717" s="87">
        <f t="shared" si="155"/>
        <v>133</v>
      </c>
      <c r="B717" s="234" t="s">
        <v>263</v>
      </c>
      <c r="C717" s="97">
        <v>1949</v>
      </c>
      <c r="D717" s="97"/>
      <c r="E717" s="89" t="s">
        <v>218</v>
      </c>
      <c r="F717" s="97">
        <v>2</v>
      </c>
      <c r="G717" s="97">
        <v>2</v>
      </c>
      <c r="H717" s="97"/>
      <c r="I717" s="97"/>
      <c r="J717" s="97"/>
      <c r="K717" s="98"/>
      <c r="L717" s="92">
        <v>1726391</v>
      </c>
      <c r="M717" s="92">
        <v>0</v>
      </c>
      <c r="N717" s="92">
        <v>0</v>
      </c>
      <c r="O717" s="92">
        <f t="shared" si="153"/>
        <v>1726391</v>
      </c>
      <c r="P717" s="92">
        <v>0</v>
      </c>
      <c r="Q717" s="93" t="e">
        <f t="shared" si="154"/>
        <v>#DIV/0!</v>
      </c>
      <c r="R717" s="94"/>
      <c r="S717" s="276">
        <v>43465</v>
      </c>
    </row>
    <row r="718" spans="1:19" customFormat="1" ht="15.75">
      <c r="A718" s="87">
        <f t="shared" si="155"/>
        <v>134</v>
      </c>
      <c r="B718" s="234" t="s">
        <v>235</v>
      </c>
      <c r="C718" s="97">
        <v>1950</v>
      </c>
      <c r="D718" s="97"/>
      <c r="E718" s="89" t="s">
        <v>220</v>
      </c>
      <c r="F718" s="97">
        <v>2</v>
      </c>
      <c r="G718" s="97">
        <v>1</v>
      </c>
      <c r="H718" s="97"/>
      <c r="I718" s="97"/>
      <c r="J718" s="97"/>
      <c r="K718" s="98"/>
      <c r="L718" s="92">
        <v>1521754</v>
      </c>
      <c r="M718" s="92">
        <v>0</v>
      </c>
      <c r="N718" s="92">
        <v>0</v>
      </c>
      <c r="O718" s="92">
        <f t="shared" si="153"/>
        <v>1521754</v>
      </c>
      <c r="P718" s="92">
        <v>0</v>
      </c>
      <c r="Q718" s="93" t="e">
        <f t="shared" si="154"/>
        <v>#DIV/0!</v>
      </c>
      <c r="R718" s="94"/>
      <c r="S718" s="276">
        <v>43465</v>
      </c>
    </row>
    <row r="719" spans="1:19" customFormat="1" ht="31.5">
      <c r="A719" s="87">
        <f t="shared" si="155"/>
        <v>135</v>
      </c>
      <c r="B719" s="225" t="s">
        <v>227</v>
      </c>
      <c r="C719" s="97">
        <v>1937</v>
      </c>
      <c r="D719" s="97"/>
      <c r="E719" s="89" t="s">
        <v>218</v>
      </c>
      <c r="F719" s="97">
        <v>2</v>
      </c>
      <c r="G719" s="97">
        <v>1</v>
      </c>
      <c r="H719" s="97"/>
      <c r="I719" s="97"/>
      <c r="J719" s="97"/>
      <c r="K719" s="98"/>
      <c r="L719" s="92">
        <v>671505</v>
      </c>
      <c r="M719" s="92">
        <v>0</v>
      </c>
      <c r="N719" s="92">
        <v>0</v>
      </c>
      <c r="O719" s="92">
        <f t="shared" si="153"/>
        <v>671505</v>
      </c>
      <c r="P719" s="92">
        <v>0</v>
      </c>
      <c r="Q719" s="93" t="e">
        <f t="shared" si="154"/>
        <v>#DIV/0!</v>
      </c>
      <c r="R719" s="94"/>
      <c r="S719" s="276">
        <v>43465</v>
      </c>
    </row>
    <row r="720" spans="1:19" customFormat="1" ht="31.5">
      <c r="A720" s="87">
        <f t="shared" si="155"/>
        <v>136</v>
      </c>
      <c r="B720" s="234" t="s">
        <v>339</v>
      </c>
      <c r="C720" s="97">
        <v>1961</v>
      </c>
      <c r="D720" s="97"/>
      <c r="E720" s="89" t="s">
        <v>218</v>
      </c>
      <c r="F720" s="97">
        <v>3</v>
      </c>
      <c r="G720" s="97">
        <v>2</v>
      </c>
      <c r="H720" s="97"/>
      <c r="I720" s="97"/>
      <c r="J720" s="97"/>
      <c r="K720" s="98"/>
      <c r="L720" s="92">
        <v>1081718</v>
      </c>
      <c r="M720" s="92">
        <v>0</v>
      </c>
      <c r="N720" s="92">
        <v>0</v>
      </c>
      <c r="O720" s="92">
        <f t="shared" si="153"/>
        <v>1081718</v>
      </c>
      <c r="P720" s="92">
        <v>0</v>
      </c>
      <c r="Q720" s="93" t="e">
        <f t="shared" si="154"/>
        <v>#DIV/0!</v>
      </c>
      <c r="R720" s="94"/>
      <c r="S720" s="276">
        <v>43465</v>
      </c>
    </row>
    <row r="721" spans="1:19" customFormat="1" ht="15.75">
      <c r="A721" s="87">
        <f t="shared" si="155"/>
        <v>137</v>
      </c>
      <c r="B721" s="234" t="s">
        <v>231</v>
      </c>
      <c r="C721" s="97">
        <v>1960</v>
      </c>
      <c r="D721" s="97"/>
      <c r="E721" s="89" t="s">
        <v>220</v>
      </c>
      <c r="F721" s="97">
        <v>3</v>
      </c>
      <c r="G721" s="97">
        <v>2</v>
      </c>
      <c r="H721" s="97"/>
      <c r="I721" s="97"/>
      <c r="J721" s="97"/>
      <c r="K721" s="98"/>
      <c r="L721" s="92">
        <v>206635</v>
      </c>
      <c r="M721" s="92">
        <v>0</v>
      </c>
      <c r="N721" s="92">
        <v>0</v>
      </c>
      <c r="O721" s="92">
        <f t="shared" si="153"/>
        <v>206635</v>
      </c>
      <c r="P721" s="92">
        <v>0</v>
      </c>
      <c r="Q721" s="93" t="e">
        <f t="shared" si="154"/>
        <v>#DIV/0!</v>
      </c>
      <c r="R721" s="94"/>
      <c r="S721" s="276">
        <v>43465</v>
      </c>
    </row>
    <row r="722" spans="1:19" customFormat="1" ht="15.75">
      <c r="A722" s="87">
        <f t="shared" si="155"/>
        <v>138</v>
      </c>
      <c r="B722" s="225" t="s">
        <v>300</v>
      </c>
      <c r="C722" s="88">
        <v>1961</v>
      </c>
      <c r="D722" s="88"/>
      <c r="E722" s="89" t="s">
        <v>220</v>
      </c>
      <c r="F722" s="88">
        <v>3</v>
      </c>
      <c r="G722" s="88">
        <v>2</v>
      </c>
      <c r="H722" s="90"/>
      <c r="I722" s="90"/>
      <c r="J722" s="90"/>
      <c r="K722" s="91"/>
      <c r="L722" s="92">
        <v>1044081.04</v>
      </c>
      <c r="M722" s="92">
        <v>0</v>
      </c>
      <c r="N722" s="92">
        <v>0</v>
      </c>
      <c r="O722" s="92">
        <f t="shared" si="153"/>
        <v>1044081.04</v>
      </c>
      <c r="P722" s="92">
        <v>0</v>
      </c>
      <c r="Q722" s="93" t="e">
        <f t="shared" si="154"/>
        <v>#DIV/0!</v>
      </c>
      <c r="R722" s="94"/>
      <c r="S722" s="276">
        <v>43465</v>
      </c>
    </row>
    <row r="723" spans="1:19" customFormat="1" ht="31.5">
      <c r="A723" s="87">
        <f t="shared" si="155"/>
        <v>139</v>
      </c>
      <c r="B723" s="225" t="s">
        <v>283</v>
      </c>
      <c r="C723" s="87">
        <v>1959</v>
      </c>
      <c r="D723" s="88"/>
      <c r="E723" s="89" t="s">
        <v>218</v>
      </c>
      <c r="F723" s="88">
        <v>2</v>
      </c>
      <c r="G723" s="88">
        <v>2</v>
      </c>
      <c r="H723" s="96"/>
      <c r="I723" s="96"/>
      <c r="J723" s="96"/>
      <c r="K723" s="81"/>
      <c r="L723" s="92">
        <v>1340000</v>
      </c>
      <c r="M723" s="92">
        <v>0</v>
      </c>
      <c r="N723" s="92">
        <v>0</v>
      </c>
      <c r="O723" s="92">
        <f t="shared" si="153"/>
        <v>1340000</v>
      </c>
      <c r="P723" s="92">
        <v>0</v>
      </c>
      <c r="Q723" s="93" t="e">
        <f t="shared" si="154"/>
        <v>#DIV/0!</v>
      </c>
      <c r="R723" s="94"/>
      <c r="S723" s="276">
        <v>43465</v>
      </c>
    </row>
    <row r="724" spans="1:19" customFormat="1" ht="15.75">
      <c r="A724" s="87">
        <f t="shared" si="155"/>
        <v>140</v>
      </c>
      <c r="B724" s="234" t="s">
        <v>450</v>
      </c>
      <c r="C724" s="87">
        <v>1975</v>
      </c>
      <c r="D724" s="88"/>
      <c r="E724" s="89" t="s">
        <v>219</v>
      </c>
      <c r="F724" s="88">
        <v>5</v>
      </c>
      <c r="G724" s="88">
        <v>6</v>
      </c>
      <c r="H724" s="96"/>
      <c r="I724" s="96"/>
      <c r="J724" s="96"/>
      <c r="K724" s="81"/>
      <c r="L724" s="92">
        <v>2294529</v>
      </c>
      <c r="M724" s="92">
        <v>0</v>
      </c>
      <c r="N724" s="92">
        <v>0</v>
      </c>
      <c r="O724" s="92">
        <f t="shared" si="153"/>
        <v>2294529</v>
      </c>
      <c r="P724" s="92">
        <v>0</v>
      </c>
      <c r="Q724" s="93" t="e">
        <f t="shared" si="154"/>
        <v>#DIV/0!</v>
      </c>
      <c r="R724" s="94"/>
      <c r="S724" s="276">
        <v>43465</v>
      </c>
    </row>
    <row r="725" spans="1:19" customFormat="1" ht="15.75">
      <c r="A725" s="87">
        <f t="shared" si="155"/>
        <v>141</v>
      </c>
      <c r="B725" s="234" t="s">
        <v>230</v>
      </c>
      <c r="C725" s="97">
        <v>1981</v>
      </c>
      <c r="D725" s="97"/>
      <c r="E725" s="89" t="s">
        <v>219</v>
      </c>
      <c r="F725" s="97">
        <v>9</v>
      </c>
      <c r="G725" s="97">
        <v>2</v>
      </c>
      <c r="H725" s="97"/>
      <c r="I725" s="97"/>
      <c r="J725" s="97"/>
      <c r="K725" s="98"/>
      <c r="L725" s="92">
        <v>2615616.2000000002</v>
      </c>
      <c r="M725" s="92">
        <v>0</v>
      </c>
      <c r="N725" s="92">
        <v>0</v>
      </c>
      <c r="O725" s="92">
        <f t="shared" si="153"/>
        <v>2615616.2000000002</v>
      </c>
      <c r="P725" s="92">
        <v>0</v>
      </c>
      <c r="Q725" s="93" t="e">
        <f t="shared" si="154"/>
        <v>#DIV/0!</v>
      </c>
      <c r="R725" s="94"/>
      <c r="S725" s="276">
        <v>43465</v>
      </c>
    </row>
    <row r="726" spans="1:19" customFormat="1" ht="31.5">
      <c r="A726" s="87">
        <f t="shared" si="155"/>
        <v>142</v>
      </c>
      <c r="B726" s="225" t="s">
        <v>295</v>
      </c>
      <c r="C726" s="88">
        <v>1964</v>
      </c>
      <c r="D726" s="88"/>
      <c r="E726" s="89" t="s">
        <v>218</v>
      </c>
      <c r="F726" s="88">
        <v>5</v>
      </c>
      <c r="G726" s="88">
        <v>3</v>
      </c>
      <c r="H726" s="90"/>
      <c r="I726" s="90"/>
      <c r="J726" s="90"/>
      <c r="K726" s="91"/>
      <c r="L726" s="92">
        <v>1561539</v>
      </c>
      <c r="M726" s="92">
        <v>0</v>
      </c>
      <c r="N726" s="92">
        <v>0</v>
      </c>
      <c r="O726" s="92">
        <f t="shared" si="153"/>
        <v>1561539</v>
      </c>
      <c r="P726" s="92">
        <v>0</v>
      </c>
      <c r="Q726" s="93" t="e">
        <f t="shared" si="154"/>
        <v>#DIV/0!</v>
      </c>
      <c r="R726" s="94"/>
      <c r="S726" s="276">
        <v>43465</v>
      </c>
    </row>
    <row r="727" spans="1:19" customFormat="1" ht="31.5">
      <c r="A727" s="87">
        <f t="shared" si="155"/>
        <v>143</v>
      </c>
      <c r="B727" s="234" t="s">
        <v>294</v>
      </c>
      <c r="C727" s="88">
        <v>1960</v>
      </c>
      <c r="D727" s="88"/>
      <c r="E727" s="89" t="s">
        <v>218</v>
      </c>
      <c r="F727" s="88">
        <v>5</v>
      </c>
      <c r="G727" s="88">
        <v>2</v>
      </c>
      <c r="H727" s="90"/>
      <c r="I727" s="90"/>
      <c r="J727" s="90"/>
      <c r="K727" s="91"/>
      <c r="L727" s="92">
        <v>1421187</v>
      </c>
      <c r="M727" s="92">
        <v>0</v>
      </c>
      <c r="N727" s="92">
        <v>0</v>
      </c>
      <c r="O727" s="92">
        <f t="shared" si="153"/>
        <v>1421187</v>
      </c>
      <c r="P727" s="92">
        <v>0</v>
      </c>
      <c r="Q727" s="93" t="e">
        <f t="shared" si="154"/>
        <v>#DIV/0!</v>
      </c>
      <c r="R727" s="94"/>
      <c r="S727" s="276">
        <v>43465</v>
      </c>
    </row>
    <row r="728" spans="1:19" customFormat="1" ht="15.75">
      <c r="A728" s="87">
        <f t="shared" si="155"/>
        <v>144</v>
      </c>
      <c r="B728" s="234" t="s">
        <v>270</v>
      </c>
      <c r="C728" s="97">
        <v>1962</v>
      </c>
      <c r="D728" s="97"/>
      <c r="E728" s="89" t="s">
        <v>219</v>
      </c>
      <c r="F728" s="97">
        <v>4</v>
      </c>
      <c r="G728" s="97">
        <v>4</v>
      </c>
      <c r="H728" s="97"/>
      <c r="I728" s="97"/>
      <c r="J728" s="97"/>
      <c r="K728" s="98"/>
      <c r="L728" s="92">
        <v>2469740</v>
      </c>
      <c r="M728" s="92">
        <v>0</v>
      </c>
      <c r="N728" s="92">
        <v>0</v>
      </c>
      <c r="O728" s="92">
        <f t="shared" si="153"/>
        <v>2469740</v>
      </c>
      <c r="P728" s="92">
        <v>0</v>
      </c>
      <c r="Q728" s="93" t="e">
        <f t="shared" si="154"/>
        <v>#DIV/0!</v>
      </c>
      <c r="R728" s="94"/>
      <c r="S728" s="276">
        <v>43465</v>
      </c>
    </row>
    <row r="729" spans="1:19" customFormat="1" ht="31.5">
      <c r="A729" s="87">
        <f t="shared" si="155"/>
        <v>145</v>
      </c>
      <c r="B729" s="234" t="s">
        <v>252</v>
      </c>
      <c r="C729" s="97">
        <v>1986</v>
      </c>
      <c r="D729" s="97"/>
      <c r="E729" s="89" t="s">
        <v>218</v>
      </c>
      <c r="F729" s="97">
        <v>9</v>
      </c>
      <c r="G729" s="97">
        <v>1</v>
      </c>
      <c r="H729" s="97"/>
      <c r="I729" s="97"/>
      <c r="J729" s="97"/>
      <c r="K729" s="98"/>
      <c r="L729" s="92">
        <v>1104857</v>
      </c>
      <c r="M729" s="92">
        <v>0</v>
      </c>
      <c r="N729" s="92">
        <v>0</v>
      </c>
      <c r="O729" s="92">
        <f t="shared" si="153"/>
        <v>1104857</v>
      </c>
      <c r="P729" s="92">
        <v>0</v>
      </c>
      <c r="Q729" s="93" t="e">
        <f t="shared" si="154"/>
        <v>#DIV/0!</v>
      </c>
      <c r="R729" s="94"/>
      <c r="S729" s="276">
        <v>43465</v>
      </c>
    </row>
    <row r="730" spans="1:19" customFormat="1" ht="31.5">
      <c r="A730" s="87">
        <f t="shared" si="155"/>
        <v>146</v>
      </c>
      <c r="B730" s="234" t="s">
        <v>304</v>
      </c>
      <c r="C730" s="88">
        <v>1989</v>
      </c>
      <c r="D730" s="88"/>
      <c r="E730" s="89" t="s">
        <v>218</v>
      </c>
      <c r="F730" s="88">
        <v>9</v>
      </c>
      <c r="G730" s="88">
        <v>1</v>
      </c>
      <c r="H730" s="90"/>
      <c r="I730" s="90"/>
      <c r="J730" s="90"/>
      <c r="K730" s="91"/>
      <c r="L730" s="92">
        <v>1877378</v>
      </c>
      <c r="M730" s="92">
        <v>0</v>
      </c>
      <c r="N730" s="92">
        <v>0</v>
      </c>
      <c r="O730" s="92">
        <f t="shared" si="153"/>
        <v>1877378</v>
      </c>
      <c r="P730" s="92">
        <v>0</v>
      </c>
      <c r="Q730" s="93" t="e">
        <f t="shared" si="154"/>
        <v>#DIV/0!</v>
      </c>
      <c r="R730" s="94"/>
      <c r="S730" s="276">
        <v>43465</v>
      </c>
    </row>
    <row r="731" spans="1:19" customFormat="1" ht="31.5">
      <c r="A731" s="87">
        <f t="shared" si="155"/>
        <v>147</v>
      </c>
      <c r="B731" s="234" t="s">
        <v>228</v>
      </c>
      <c r="C731" s="97" t="s">
        <v>190</v>
      </c>
      <c r="D731" s="97"/>
      <c r="E731" s="89" t="s">
        <v>218</v>
      </c>
      <c r="F731" s="97">
        <v>4</v>
      </c>
      <c r="G731" s="97">
        <v>2</v>
      </c>
      <c r="H731" s="97"/>
      <c r="I731" s="97"/>
      <c r="J731" s="97"/>
      <c r="K731" s="98"/>
      <c r="L731" s="92">
        <v>2945836</v>
      </c>
      <c r="M731" s="92">
        <v>0</v>
      </c>
      <c r="N731" s="92">
        <v>0</v>
      </c>
      <c r="O731" s="92">
        <f t="shared" si="153"/>
        <v>2945836</v>
      </c>
      <c r="P731" s="92">
        <v>0</v>
      </c>
      <c r="Q731" s="93" t="e">
        <f t="shared" si="154"/>
        <v>#DIV/0!</v>
      </c>
      <c r="R731" s="94"/>
      <c r="S731" s="276">
        <v>43465</v>
      </c>
    </row>
    <row r="732" spans="1:19" customFormat="1" ht="31.5">
      <c r="A732" s="87">
        <f t="shared" si="155"/>
        <v>148</v>
      </c>
      <c r="B732" s="234" t="s">
        <v>225</v>
      </c>
      <c r="C732" s="97">
        <v>1932</v>
      </c>
      <c r="D732" s="97"/>
      <c r="E732" s="89" t="s">
        <v>218</v>
      </c>
      <c r="F732" s="97">
        <v>5</v>
      </c>
      <c r="G732" s="97">
        <v>5</v>
      </c>
      <c r="H732" s="97"/>
      <c r="I732" s="97"/>
      <c r="J732" s="97"/>
      <c r="K732" s="98"/>
      <c r="L732" s="92">
        <v>1118494</v>
      </c>
      <c r="M732" s="92">
        <v>0</v>
      </c>
      <c r="N732" s="92">
        <v>0</v>
      </c>
      <c r="O732" s="92">
        <f t="shared" si="153"/>
        <v>1118494</v>
      </c>
      <c r="P732" s="92">
        <v>0</v>
      </c>
      <c r="Q732" s="93" t="e">
        <f t="shared" si="154"/>
        <v>#DIV/0!</v>
      </c>
      <c r="R732" s="94"/>
      <c r="S732" s="276">
        <v>43465</v>
      </c>
    </row>
    <row r="733" spans="1:19" customFormat="1" ht="31.5">
      <c r="A733" s="87">
        <f t="shared" si="155"/>
        <v>149</v>
      </c>
      <c r="B733" s="234" t="s">
        <v>232</v>
      </c>
      <c r="C733" s="97" t="s">
        <v>190</v>
      </c>
      <c r="D733" s="97"/>
      <c r="E733" s="89" t="s">
        <v>218</v>
      </c>
      <c r="F733" s="97">
        <v>3</v>
      </c>
      <c r="G733" s="97">
        <v>2</v>
      </c>
      <c r="H733" s="97"/>
      <c r="I733" s="97"/>
      <c r="J733" s="97"/>
      <c r="K733" s="98"/>
      <c r="L733" s="92">
        <v>2540427</v>
      </c>
      <c r="M733" s="92">
        <v>0</v>
      </c>
      <c r="N733" s="92">
        <v>0</v>
      </c>
      <c r="O733" s="92">
        <f t="shared" si="153"/>
        <v>2540427</v>
      </c>
      <c r="P733" s="92">
        <v>0</v>
      </c>
      <c r="Q733" s="93" t="e">
        <f t="shared" si="154"/>
        <v>#DIV/0!</v>
      </c>
      <c r="R733" s="94"/>
      <c r="S733" s="276">
        <v>43465</v>
      </c>
    </row>
    <row r="734" spans="1:19" customFormat="1" ht="31.5">
      <c r="A734" s="87">
        <f t="shared" si="155"/>
        <v>150</v>
      </c>
      <c r="B734" s="234" t="s">
        <v>275</v>
      </c>
      <c r="C734" s="87">
        <v>1951</v>
      </c>
      <c r="D734" s="88"/>
      <c r="E734" s="89" t="s">
        <v>218</v>
      </c>
      <c r="F734" s="88">
        <v>3</v>
      </c>
      <c r="G734" s="88">
        <v>3</v>
      </c>
      <c r="H734" s="96"/>
      <c r="I734" s="96"/>
      <c r="J734" s="96"/>
      <c r="K734" s="81"/>
      <c r="L734" s="92">
        <v>2253297</v>
      </c>
      <c r="M734" s="92">
        <v>0</v>
      </c>
      <c r="N734" s="92">
        <v>0</v>
      </c>
      <c r="O734" s="92">
        <f t="shared" si="153"/>
        <v>2253297</v>
      </c>
      <c r="P734" s="92">
        <v>0</v>
      </c>
      <c r="Q734" s="93" t="e">
        <f t="shared" si="154"/>
        <v>#DIV/0!</v>
      </c>
      <c r="R734" s="94"/>
      <c r="S734" s="276">
        <v>43465</v>
      </c>
    </row>
    <row r="735" spans="1:19" customFormat="1" ht="21.75" customHeight="1">
      <c r="A735" s="87">
        <f t="shared" si="155"/>
        <v>151</v>
      </c>
      <c r="B735" s="234" t="s">
        <v>286</v>
      </c>
      <c r="C735" s="88">
        <v>1971</v>
      </c>
      <c r="D735" s="88"/>
      <c r="E735" s="89" t="s">
        <v>219</v>
      </c>
      <c r="F735" s="88">
        <v>5</v>
      </c>
      <c r="G735" s="88">
        <v>4</v>
      </c>
      <c r="H735" s="90"/>
      <c r="I735" s="90"/>
      <c r="J735" s="90"/>
      <c r="K735" s="91"/>
      <c r="L735" s="92">
        <v>1390061</v>
      </c>
      <c r="M735" s="92">
        <v>0</v>
      </c>
      <c r="N735" s="92">
        <v>0</v>
      </c>
      <c r="O735" s="92">
        <f t="shared" si="153"/>
        <v>1390061</v>
      </c>
      <c r="P735" s="92">
        <v>0</v>
      </c>
      <c r="Q735" s="93" t="e">
        <f t="shared" si="154"/>
        <v>#DIV/0!</v>
      </c>
      <c r="R735" s="94"/>
      <c r="S735" s="276">
        <v>43465</v>
      </c>
    </row>
    <row r="736" spans="1:19" customFormat="1" ht="31.5">
      <c r="A736" s="87">
        <f t="shared" si="155"/>
        <v>152</v>
      </c>
      <c r="B736" s="225" t="s">
        <v>342</v>
      </c>
      <c r="C736" s="87">
        <v>1961</v>
      </c>
      <c r="D736" s="88"/>
      <c r="E736" s="89" t="s">
        <v>218</v>
      </c>
      <c r="F736" s="88">
        <v>5</v>
      </c>
      <c r="G736" s="88">
        <v>4</v>
      </c>
      <c r="H736" s="96"/>
      <c r="I736" s="96"/>
      <c r="J736" s="96"/>
      <c r="K736" s="81"/>
      <c r="L736" s="92">
        <v>3213804</v>
      </c>
      <c r="M736" s="92">
        <v>0</v>
      </c>
      <c r="N736" s="92">
        <v>0</v>
      </c>
      <c r="O736" s="92">
        <f t="shared" si="153"/>
        <v>3213804</v>
      </c>
      <c r="P736" s="92">
        <v>0</v>
      </c>
      <c r="Q736" s="93" t="e">
        <f t="shared" si="154"/>
        <v>#DIV/0!</v>
      </c>
      <c r="R736" s="94"/>
      <c r="S736" s="276">
        <v>43465</v>
      </c>
    </row>
    <row r="737" spans="1:30" customFormat="1" ht="31.5">
      <c r="A737" s="87">
        <f t="shared" si="155"/>
        <v>153</v>
      </c>
      <c r="B737" s="234" t="s">
        <v>298</v>
      </c>
      <c r="C737" s="88">
        <v>1958</v>
      </c>
      <c r="D737" s="88"/>
      <c r="E737" s="89" t="s">
        <v>218</v>
      </c>
      <c r="F737" s="88">
        <v>4</v>
      </c>
      <c r="G737" s="88">
        <v>3</v>
      </c>
      <c r="H737" s="90"/>
      <c r="I737" s="90"/>
      <c r="J737" s="90"/>
      <c r="K737" s="91"/>
      <c r="L737" s="92">
        <v>3202371</v>
      </c>
      <c r="M737" s="92">
        <v>0</v>
      </c>
      <c r="N737" s="92">
        <v>0</v>
      </c>
      <c r="O737" s="92">
        <f t="shared" si="153"/>
        <v>3202371</v>
      </c>
      <c r="P737" s="92">
        <v>0</v>
      </c>
      <c r="Q737" s="93" t="e">
        <f t="shared" si="154"/>
        <v>#DIV/0!</v>
      </c>
      <c r="R737" s="94"/>
      <c r="S737" s="276">
        <v>43465</v>
      </c>
    </row>
    <row r="738" spans="1:30" s="1" customFormat="1" ht="31.5">
      <c r="A738" s="87">
        <f t="shared" si="155"/>
        <v>154</v>
      </c>
      <c r="B738" s="234" t="s">
        <v>253</v>
      </c>
      <c r="C738" s="97">
        <v>1959</v>
      </c>
      <c r="D738" s="97"/>
      <c r="E738" s="89" t="s">
        <v>218</v>
      </c>
      <c r="F738" s="97">
        <v>2</v>
      </c>
      <c r="G738" s="97">
        <v>1</v>
      </c>
      <c r="H738" s="97"/>
      <c r="I738" s="97"/>
      <c r="J738" s="97"/>
      <c r="K738" s="98"/>
      <c r="L738" s="92">
        <v>709022</v>
      </c>
      <c r="M738" s="92">
        <v>0</v>
      </c>
      <c r="N738" s="92">
        <v>0</v>
      </c>
      <c r="O738" s="92">
        <f t="shared" si="153"/>
        <v>709022</v>
      </c>
      <c r="P738" s="92">
        <v>0</v>
      </c>
      <c r="Q738" s="93" t="e">
        <f t="shared" si="154"/>
        <v>#DIV/0!</v>
      </c>
      <c r="R738" s="94"/>
      <c r="S738" s="276">
        <v>43465</v>
      </c>
      <c r="T738"/>
      <c r="U738"/>
      <c r="V738"/>
      <c r="W738"/>
      <c r="X738"/>
      <c r="Y738"/>
      <c r="Z738"/>
      <c r="AA738"/>
      <c r="AB738"/>
      <c r="AC738"/>
      <c r="AD738"/>
    </row>
    <row r="739" spans="1:30" customFormat="1" ht="31.5">
      <c r="A739" s="87">
        <f t="shared" si="155"/>
        <v>155</v>
      </c>
      <c r="B739" s="234" t="s">
        <v>260</v>
      </c>
      <c r="C739" s="97">
        <v>1958</v>
      </c>
      <c r="D739" s="97"/>
      <c r="E739" s="89" t="s">
        <v>218</v>
      </c>
      <c r="F739" s="97">
        <v>2</v>
      </c>
      <c r="G739" s="97">
        <v>1</v>
      </c>
      <c r="H739" s="97"/>
      <c r="I739" s="97"/>
      <c r="J739" s="97"/>
      <c r="K739" s="98"/>
      <c r="L739" s="92">
        <v>1136930</v>
      </c>
      <c r="M739" s="92">
        <v>0</v>
      </c>
      <c r="N739" s="92">
        <v>0</v>
      </c>
      <c r="O739" s="92">
        <f t="shared" si="153"/>
        <v>1136930</v>
      </c>
      <c r="P739" s="92">
        <v>0</v>
      </c>
      <c r="Q739" s="93" t="e">
        <f t="shared" si="154"/>
        <v>#DIV/0!</v>
      </c>
      <c r="R739" s="94"/>
      <c r="S739" s="276">
        <v>43465</v>
      </c>
    </row>
    <row r="740" spans="1:30" customFormat="1" ht="31.5">
      <c r="A740" s="87">
        <f t="shared" si="155"/>
        <v>156</v>
      </c>
      <c r="B740" s="234" t="s">
        <v>349</v>
      </c>
      <c r="C740" s="88">
        <v>1958</v>
      </c>
      <c r="D740" s="88"/>
      <c r="E740" s="89" t="s">
        <v>218</v>
      </c>
      <c r="F740" s="88">
        <v>2</v>
      </c>
      <c r="G740" s="88">
        <v>2</v>
      </c>
      <c r="H740" s="90"/>
      <c r="I740" s="90"/>
      <c r="J740" s="90"/>
      <c r="K740" s="91"/>
      <c r="L740" s="92">
        <v>1320636</v>
      </c>
      <c r="M740" s="92">
        <v>0</v>
      </c>
      <c r="N740" s="92">
        <v>0</v>
      </c>
      <c r="O740" s="92">
        <f t="shared" si="153"/>
        <v>1320636</v>
      </c>
      <c r="P740" s="92">
        <v>0</v>
      </c>
      <c r="Q740" s="93" t="e">
        <f t="shared" si="154"/>
        <v>#DIV/0!</v>
      </c>
      <c r="R740" s="94"/>
      <c r="S740" s="276">
        <v>43465</v>
      </c>
    </row>
    <row r="741" spans="1:30" customFormat="1" ht="15.75">
      <c r="A741" s="87">
        <f t="shared" si="155"/>
        <v>157</v>
      </c>
      <c r="B741" s="234" t="s">
        <v>302</v>
      </c>
      <c r="C741" s="88">
        <v>1986</v>
      </c>
      <c r="D741" s="88"/>
      <c r="E741" s="89" t="s">
        <v>219</v>
      </c>
      <c r="F741" s="88">
        <v>9</v>
      </c>
      <c r="G741" s="88">
        <v>3</v>
      </c>
      <c r="H741" s="90"/>
      <c r="I741" s="90"/>
      <c r="J741" s="90"/>
      <c r="K741" s="91"/>
      <c r="L741" s="92">
        <v>4265098</v>
      </c>
      <c r="M741" s="92">
        <v>0</v>
      </c>
      <c r="N741" s="92">
        <v>0</v>
      </c>
      <c r="O741" s="92">
        <f t="shared" si="153"/>
        <v>4265098</v>
      </c>
      <c r="P741" s="92">
        <v>0</v>
      </c>
      <c r="Q741" s="93" t="e">
        <f t="shared" si="154"/>
        <v>#DIV/0!</v>
      </c>
      <c r="R741" s="94"/>
      <c r="S741" s="276">
        <v>43465</v>
      </c>
    </row>
    <row r="742" spans="1:30" customFormat="1" ht="31.5">
      <c r="A742" s="87">
        <f t="shared" si="155"/>
        <v>158</v>
      </c>
      <c r="B742" s="234" t="s">
        <v>341</v>
      </c>
      <c r="C742" s="87">
        <v>1963</v>
      </c>
      <c r="D742" s="88"/>
      <c r="E742" s="89" t="s">
        <v>218</v>
      </c>
      <c r="F742" s="88">
        <v>4</v>
      </c>
      <c r="G742" s="88">
        <v>4</v>
      </c>
      <c r="H742" s="96"/>
      <c r="I742" s="96"/>
      <c r="J742" s="96"/>
      <c r="K742" s="81"/>
      <c r="L742" s="92">
        <v>2115890</v>
      </c>
      <c r="M742" s="92">
        <v>0</v>
      </c>
      <c r="N742" s="92">
        <v>0</v>
      </c>
      <c r="O742" s="92">
        <f t="shared" si="153"/>
        <v>2115890</v>
      </c>
      <c r="P742" s="92">
        <v>0</v>
      </c>
      <c r="Q742" s="93" t="e">
        <f t="shared" si="154"/>
        <v>#DIV/0!</v>
      </c>
      <c r="R742" s="94"/>
      <c r="S742" s="276">
        <v>43465</v>
      </c>
    </row>
    <row r="743" spans="1:30" customFormat="1" ht="31.5">
      <c r="A743" s="87">
        <f t="shared" si="155"/>
        <v>159</v>
      </c>
      <c r="B743" s="225" t="s">
        <v>242</v>
      </c>
      <c r="C743" s="97">
        <v>1961</v>
      </c>
      <c r="D743" s="97"/>
      <c r="E743" s="89" t="s">
        <v>218</v>
      </c>
      <c r="F743" s="97">
        <v>3</v>
      </c>
      <c r="G743" s="97">
        <v>2</v>
      </c>
      <c r="H743" s="97"/>
      <c r="I743" s="97"/>
      <c r="J743" s="97"/>
      <c r="K743" s="98"/>
      <c r="L743" s="92">
        <v>482251.51</v>
      </c>
      <c r="M743" s="92">
        <v>0</v>
      </c>
      <c r="N743" s="92">
        <v>0</v>
      </c>
      <c r="O743" s="92">
        <f t="shared" si="153"/>
        <v>482251.51</v>
      </c>
      <c r="P743" s="92">
        <v>0</v>
      </c>
      <c r="Q743" s="93" t="e">
        <f t="shared" si="154"/>
        <v>#DIV/0!</v>
      </c>
      <c r="R743" s="94"/>
      <c r="S743" s="276">
        <v>43465</v>
      </c>
    </row>
    <row r="744" spans="1:30" customFormat="1" ht="31.5">
      <c r="A744" s="87">
        <f t="shared" si="155"/>
        <v>160</v>
      </c>
      <c r="B744" s="234" t="s">
        <v>279</v>
      </c>
      <c r="C744" s="87">
        <v>1959</v>
      </c>
      <c r="D744" s="88"/>
      <c r="E744" s="89" t="s">
        <v>218</v>
      </c>
      <c r="F744" s="88">
        <v>3</v>
      </c>
      <c r="G744" s="88">
        <v>2</v>
      </c>
      <c r="H744" s="96"/>
      <c r="I744" s="96"/>
      <c r="J744" s="96"/>
      <c r="K744" s="81"/>
      <c r="L744" s="92">
        <v>1018040.92</v>
      </c>
      <c r="M744" s="92">
        <v>0</v>
      </c>
      <c r="N744" s="92">
        <v>0</v>
      </c>
      <c r="O744" s="92">
        <f t="shared" si="153"/>
        <v>1018040.92</v>
      </c>
      <c r="P744" s="92">
        <v>0</v>
      </c>
      <c r="Q744" s="93" t="e">
        <f t="shared" si="154"/>
        <v>#DIV/0!</v>
      </c>
      <c r="R744" s="94"/>
      <c r="S744" s="276">
        <v>43465</v>
      </c>
    </row>
    <row r="745" spans="1:30" customFormat="1" ht="31.5">
      <c r="A745" s="87">
        <f t="shared" si="155"/>
        <v>161</v>
      </c>
      <c r="B745" s="234" t="s">
        <v>262</v>
      </c>
      <c r="C745" s="97">
        <v>1977</v>
      </c>
      <c r="D745" s="97"/>
      <c r="E745" s="89" t="s">
        <v>218</v>
      </c>
      <c r="F745" s="97">
        <v>9</v>
      </c>
      <c r="G745" s="97">
        <v>1</v>
      </c>
      <c r="H745" s="97"/>
      <c r="I745" s="97"/>
      <c r="J745" s="97"/>
      <c r="K745" s="98"/>
      <c r="L745" s="92">
        <v>1871554</v>
      </c>
      <c r="M745" s="92">
        <v>0</v>
      </c>
      <c r="N745" s="92">
        <v>0</v>
      </c>
      <c r="O745" s="92">
        <f t="shared" si="153"/>
        <v>1871554</v>
      </c>
      <c r="P745" s="92">
        <v>0</v>
      </c>
      <c r="Q745" s="93" t="e">
        <f t="shared" si="154"/>
        <v>#DIV/0!</v>
      </c>
      <c r="R745" s="94"/>
      <c r="S745" s="276">
        <v>43465</v>
      </c>
    </row>
    <row r="746" spans="1:30" customFormat="1" ht="31.5">
      <c r="A746" s="87">
        <f t="shared" si="155"/>
        <v>162</v>
      </c>
      <c r="B746" s="225" t="s">
        <v>290</v>
      </c>
      <c r="C746" s="88">
        <v>1974</v>
      </c>
      <c r="D746" s="88"/>
      <c r="E746" s="89" t="s">
        <v>218</v>
      </c>
      <c r="F746" s="88">
        <v>5</v>
      </c>
      <c r="G746" s="88">
        <v>4</v>
      </c>
      <c r="H746" s="90"/>
      <c r="I746" s="90"/>
      <c r="J746" s="90"/>
      <c r="K746" s="91"/>
      <c r="L746" s="92">
        <v>2652530</v>
      </c>
      <c r="M746" s="92">
        <v>0</v>
      </c>
      <c r="N746" s="92">
        <v>0</v>
      </c>
      <c r="O746" s="92">
        <f t="shared" si="153"/>
        <v>2652530</v>
      </c>
      <c r="P746" s="92">
        <v>0</v>
      </c>
      <c r="Q746" s="93" t="e">
        <f t="shared" si="154"/>
        <v>#DIV/0!</v>
      </c>
      <c r="R746" s="94"/>
      <c r="S746" s="276">
        <v>43465</v>
      </c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customFormat="1" ht="15.75">
      <c r="A747" s="87">
        <f t="shared" si="155"/>
        <v>163</v>
      </c>
      <c r="B747" s="234" t="s">
        <v>356</v>
      </c>
      <c r="C747" s="88">
        <v>1974</v>
      </c>
      <c r="D747" s="88"/>
      <c r="E747" s="89" t="s">
        <v>219</v>
      </c>
      <c r="F747" s="88">
        <v>5</v>
      </c>
      <c r="G747" s="88">
        <v>6</v>
      </c>
      <c r="H747" s="90"/>
      <c r="I747" s="90"/>
      <c r="J747" s="90"/>
      <c r="K747" s="91"/>
      <c r="L747" s="92">
        <v>3645969</v>
      </c>
      <c r="M747" s="92">
        <v>0</v>
      </c>
      <c r="N747" s="92">
        <v>0</v>
      </c>
      <c r="O747" s="92">
        <f t="shared" si="153"/>
        <v>3645969</v>
      </c>
      <c r="P747" s="92">
        <v>0</v>
      </c>
      <c r="Q747" s="93" t="e">
        <f t="shared" si="154"/>
        <v>#DIV/0!</v>
      </c>
      <c r="R747" s="94"/>
      <c r="S747" s="276">
        <v>43465</v>
      </c>
    </row>
    <row r="748" spans="1:30" s="33" customFormat="1" ht="15.75">
      <c r="A748" s="87">
        <f t="shared" si="155"/>
        <v>164</v>
      </c>
      <c r="B748" s="234" t="s">
        <v>354</v>
      </c>
      <c r="C748" s="87">
        <v>1986</v>
      </c>
      <c r="D748" s="88"/>
      <c r="E748" s="89" t="s">
        <v>219</v>
      </c>
      <c r="F748" s="88">
        <v>9</v>
      </c>
      <c r="G748" s="88">
        <v>1</v>
      </c>
      <c r="H748" s="96"/>
      <c r="I748" s="96"/>
      <c r="J748" s="96"/>
      <c r="K748" s="81"/>
      <c r="L748" s="92">
        <v>771330</v>
      </c>
      <c r="M748" s="92">
        <v>0</v>
      </c>
      <c r="N748" s="92">
        <v>0</v>
      </c>
      <c r="O748" s="92">
        <f t="shared" si="153"/>
        <v>771330</v>
      </c>
      <c r="P748" s="92">
        <v>0</v>
      </c>
      <c r="Q748" s="93" t="e">
        <f t="shared" si="154"/>
        <v>#DIV/0!</v>
      </c>
      <c r="R748" s="94"/>
      <c r="S748" s="276">
        <v>43465</v>
      </c>
      <c r="T748"/>
      <c r="U748"/>
      <c r="V748"/>
      <c r="W748"/>
      <c r="X748"/>
      <c r="Y748"/>
      <c r="Z748"/>
      <c r="AA748"/>
      <c r="AB748"/>
      <c r="AC748"/>
      <c r="AD748"/>
    </row>
    <row r="749" spans="1:30" customFormat="1" ht="15.75">
      <c r="A749" s="87">
        <f t="shared" si="155"/>
        <v>165</v>
      </c>
      <c r="B749" s="225" t="s">
        <v>352</v>
      </c>
      <c r="C749" s="97">
        <v>1972</v>
      </c>
      <c r="D749" s="97"/>
      <c r="E749" s="89" t="s">
        <v>219</v>
      </c>
      <c r="F749" s="97">
        <v>9</v>
      </c>
      <c r="G749" s="97">
        <v>1</v>
      </c>
      <c r="H749" s="97"/>
      <c r="I749" s="97"/>
      <c r="J749" s="97"/>
      <c r="K749" s="98"/>
      <c r="L749" s="92">
        <v>1894719</v>
      </c>
      <c r="M749" s="92">
        <v>0</v>
      </c>
      <c r="N749" s="92">
        <v>0</v>
      </c>
      <c r="O749" s="92">
        <f t="shared" si="153"/>
        <v>1894719</v>
      </c>
      <c r="P749" s="92">
        <v>0</v>
      </c>
      <c r="Q749" s="93" t="e">
        <f t="shared" si="154"/>
        <v>#DIV/0!</v>
      </c>
      <c r="R749" s="94"/>
      <c r="S749" s="276">
        <v>43465</v>
      </c>
    </row>
    <row r="750" spans="1:30" customFormat="1" ht="31.5">
      <c r="A750" s="87">
        <f t="shared" si="155"/>
        <v>166</v>
      </c>
      <c r="B750" s="234" t="s">
        <v>355</v>
      </c>
      <c r="C750" s="87">
        <v>1964</v>
      </c>
      <c r="D750" s="88"/>
      <c r="E750" s="89" t="s">
        <v>218</v>
      </c>
      <c r="F750" s="88">
        <v>5</v>
      </c>
      <c r="G750" s="88">
        <v>3</v>
      </c>
      <c r="H750" s="96"/>
      <c r="I750" s="96"/>
      <c r="J750" s="96"/>
      <c r="K750" s="81"/>
      <c r="L750" s="92">
        <v>1492412</v>
      </c>
      <c r="M750" s="92">
        <v>0</v>
      </c>
      <c r="N750" s="92">
        <v>0</v>
      </c>
      <c r="O750" s="92">
        <f t="shared" si="153"/>
        <v>1492412</v>
      </c>
      <c r="P750" s="92">
        <v>0</v>
      </c>
      <c r="Q750" s="93" t="e">
        <f t="shared" si="154"/>
        <v>#DIV/0!</v>
      </c>
      <c r="R750" s="94"/>
      <c r="S750" s="276">
        <v>43465</v>
      </c>
    </row>
    <row r="751" spans="1:30" customFormat="1" ht="31.5">
      <c r="A751" s="87">
        <f t="shared" si="155"/>
        <v>167</v>
      </c>
      <c r="B751" s="225" t="s">
        <v>318</v>
      </c>
      <c r="C751" s="97">
        <v>1884</v>
      </c>
      <c r="D751" s="97"/>
      <c r="E751" s="89" t="s">
        <v>218</v>
      </c>
      <c r="F751" s="97">
        <v>2</v>
      </c>
      <c r="G751" s="97">
        <v>2</v>
      </c>
      <c r="H751" s="97"/>
      <c r="I751" s="97"/>
      <c r="J751" s="97"/>
      <c r="K751" s="98"/>
      <c r="L751" s="92">
        <v>651523.25</v>
      </c>
      <c r="M751" s="92">
        <v>0</v>
      </c>
      <c r="N751" s="92">
        <v>0</v>
      </c>
      <c r="O751" s="92">
        <f t="shared" si="153"/>
        <v>651523.25</v>
      </c>
      <c r="P751" s="92">
        <v>0</v>
      </c>
      <c r="Q751" s="93" t="e">
        <f t="shared" si="154"/>
        <v>#DIV/0!</v>
      </c>
      <c r="R751" s="94"/>
      <c r="S751" s="276">
        <v>43465</v>
      </c>
    </row>
    <row r="752" spans="1:30" customFormat="1" ht="15.75">
      <c r="A752" s="87">
        <f t="shared" si="155"/>
        <v>168</v>
      </c>
      <c r="B752" s="234" t="s">
        <v>353</v>
      </c>
      <c r="C752" s="97">
        <v>1948</v>
      </c>
      <c r="D752" s="97"/>
      <c r="E752" s="89" t="s">
        <v>220</v>
      </c>
      <c r="F752" s="97">
        <v>2</v>
      </c>
      <c r="G752" s="97">
        <v>2</v>
      </c>
      <c r="H752" s="97"/>
      <c r="I752" s="97"/>
      <c r="J752" s="97"/>
      <c r="K752" s="98"/>
      <c r="L752" s="92">
        <v>1221424.83</v>
      </c>
      <c r="M752" s="92">
        <v>0</v>
      </c>
      <c r="N752" s="92">
        <v>0</v>
      </c>
      <c r="O752" s="92">
        <f t="shared" si="153"/>
        <v>1221424.83</v>
      </c>
      <c r="P752" s="92">
        <v>0</v>
      </c>
      <c r="Q752" s="93" t="e">
        <f t="shared" si="154"/>
        <v>#DIV/0!</v>
      </c>
      <c r="R752" s="94"/>
      <c r="S752" s="276">
        <v>43465</v>
      </c>
    </row>
    <row r="753" spans="1:19" s="1" customFormat="1" ht="29.45" customHeight="1">
      <c r="A753" s="87"/>
      <c r="B753" s="1115" t="s">
        <v>91</v>
      </c>
      <c r="C753" s="1115"/>
      <c r="D753" s="1115"/>
      <c r="E753" s="1115"/>
      <c r="F753" s="1115"/>
      <c r="G753" s="1115"/>
      <c r="H753" s="84">
        <f t="shared" ref="H753:N753" si="156">SUM(H754:H766)</f>
        <v>11522.799999999997</v>
      </c>
      <c r="I753" s="84">
        <f t="shared" si="156"/>
        <v>10273.200000000003</v>
      </c>
      <c r="J753" s="84">
        <f t="shared" si="156"/>
        <v>8826.4000000000015</v>
      </c>
      <c r="K753" s="85">
        <f t="shared" si="156"/>
        <v>365</v>
      </c>
      <c r="L753" s="578">
        <f t="shared" si="156"/>
        <v>21022265</v>
      </c>
      <c r="M753" s="92">
        <f t="shared" si="156"/>
        <v>0</v>
      </c>
      <c r="N753" s="92">
        <f t="shared" si="156"/>
        <v>0</v>
      </c>
      <c r="O753" s="92">
        <f>SUM(O754:O766)</f>
        <v>21022265</v>
      </c>
      <c r="P753" s="92">
        <f>SUM(P754:P759)</f>
        <v>0</v>
      </c>
      <c r="Q753" s="86" t="s">
        <v>40</v>
      </c>
      <c r="R753" s="86" t="s">
        <v>40</v>
      </c>
      <c r="S753" s="276">
        <v>43465</v>
      </c>
    </row>
    <row r="754" spans="1:19" s="24" customFormat="1" ht="31.5">
      <c r="A754" s="87">
        <v>1</v>
      </c>
      <c r="B754" s="225" t="s">
        <v>949</v>
      </c>
      <c r="C754" s="88">
        <v>1965</v>
      </c>
      <c r="D754" s="88"/>
      <c r="E754" s="89" t="s">
        <v>218</v>
      </c>
      <c r="F754" s="681">
        <v>5</v>
      </c>
      <c r="G754" s="681">
        <v>4</v>
      </c>
      <c r="H754" s="681">
        <v>3272</v>
      </c>
      <c r="I754" s="681">
        <v>3153.3</v>
      </c>
      <c r="J754" s="681">
        <v>2896.4</v>
      </c>
      <c r="K754" s="681">
        <v>110</v>
      </c>
      <c r="L754" s="578">
        <f>O754</f>
        <v>2589031</v>
      </c>
      <c r="M754" s="92">
        <v>0</v>
      </c>
      <c r="N754" s="92">
        <v>0</v>
      </c>
      <c r="O754" s="92">
        <v>2589031</v>
      </c>
      <c r="P754" s="92">
        <v>0</v>
      </c>
      <c r="Q754" s="93">
        <f t="shared" ref="Q754:Q766" si="157">L754/I754</f>
        <v>821.05445089271552</v>
      </c>
      <c r="R754" s="93">
        <v>7920</v>
      </c>
      <c r="S754" s="276">
        <v>43465</v>
      </c>
    </row>
    <row r="755" spans="1:19" s="24" customFormat="1" ht="31.5">
      <c r="A755" s="87">
        <f t="shared" si="155"/>
        <v>2</v>
      </c>
      <c r="B755" s="225" t="s">
        <v>950</v>
      </c>
      <c r="C755" s="88">
        <v>1956</v>
      </c>
      <c r="D755" s="88"/>
      <c r="E755" s="89" t="s">
        <v>218</v>
      </c>
      <c r="F755" s="681">
        <v>2</v>
      </c>
      <c r="G755" s="681">
        <v>2</v>
      </c>
      <c r="H755" s="681">
        <v>743.9</v>
      </c>
      <c r="I755" s="681">
        <v>678.9</v>
      </c>
      <c r="J755" s="681">
        <v>627.9</v>
      </c>
      <c r="K755" s="681">
        <v>25</v>
      </c>
      <c r="L755" s="578">
        <f t="shared" ref="L755:L766" si="158">O755</f>
        <v>2100989</v>
      </c>
      <c r="M755" s="92">
        <v>0</v>
      </c>
      <c r="N755" s="92">
        <v>0</v>
      </c>
      <c r="O755" s="92">
        <v>2100989</v>
      </c>
      <c r="P755" s="92">
        <v>0</v>
      </c>
      <c r="Q755" s="93">
        <f t="shared" si="157"/>
        <v>3094.6958314921199</v>
      </c>
      <c r="R755" s="93">
        <v>7920</v>
      </c>
      <c r="S755" s="276">
        <v>43465</v>
      </c>
    </row>
    <row r="756" spans="1:19" s="24" customFormat="1" ht="31.5">
      <c r="A756" s="87">
        <f t="shared" si="155"/>
        <v>3</v>
      </c>
      <c r="B756" s="225" t="s">
        <v>951</v>
      </c>
      <c r="C756" s="88">
        <v>1960</v>
      </c>
      <c r="D756" s="88"/>
      <c r="E756" s="89" t="s">
        <v>218</v>
      </c>
      <c r="F756" s="681">
        <v>2</v>
      </c>
      <c r="G756" s="681">
        <v>2</v>
      </c>
      <c r="H756" s="681">
        <v>874</v>
      </c>
      <c r="I756" s="681">
        <v>771.7</v>
      </c>
      <c r="J756" s="681">
        <v>717.8</v>
      </c>
      <c r="K756" s="681">
        <v>26</v>
      </c>
      <c r="L756" s="578">
        <f t="shared" si="158"/>
        <v>1913404</v>
      </c>
      <c r="M756" s="92">
        <v>0</v>
      </c>
      <c r="N756" s="92">
        <v>0</v>
      </c>
      <c r="O756" s="92">
        <v>1913404</v>
      </c>
      <c r="P756" s="92">
        <v>0</v>
      </c>
      <c r="Q756" s="93">
        <f t="shared" si="157"/>
        <v>2479.466113774783</v>
      </c>
      <c r="R756" s="93">
        <v>7920</v>
      </c>
      <c r="S756" s="276">
        <v>43465</v>
      </c>
    </row>
    <row r="757" spans="1:19" s="24" customFormat="1" ht="31.5">
      <c r="A757" s="87">
        <v>4</v>
      </c>
      <c r="B757" s="225" t="s">
        <v>952</v>
      </c>
      <c r="C757" s="88">
        <v>1962</v>
      </c>
      <c r="D757" s="88"/>
      <c r="E757" s="89" t="s">
        <v>218</v>
      </c>
      <c r="F757" s="681">
        <v>4</v>
      </c>
      <c r="G757" s="681">
        <v>4</v>
      </c>
      <c r="H757" s="681">
        <v>3077.1</v>
      </c>
      <c r="I757" s="681">
        <v>2842.8</v>
      </c>
      <c r="J757" s="681">
        <v>2461.8000000000002</v>
      </c>
      <c r="K757" s="681">
        <v>109</v>
      </c>
      <c r="L757" s="578">
        <f t="shared" si="158"/>
        <v>2563779</v>
      </c>
      <c r="M757" s="92">
        <v>0</v>
      </c>
      <c r="N757" s="92">
        <v>0</v>
      </c>
      <c r="O757" s="92">
        <v>2563779</v>
      </c>
      <c r="P757" s="92">
        <v>0</v>
      </c>
      <c r="Q757" s="93">
        <f t="shared" si="157"/>
        <v>901.84993668214429</v>
      </c>
      <c r="R757" s="93">
        <v>7920</v>
      </c>
      <c r="S757" s="276">
        <v>43465</v>
      </c>
    </row>
    <row r="758" spans="1:19" s="24" customFormat="1" ht="30.6" customHeight="1">
      <c r="A758" s="87">
        <f t="shared" si="155"/>
        <v>5</v>
      </c>
      <c r="B758" s="225" t="s">
        <v>953</v>
      </c>
      <c r="C758" s="88">
        <v>1917</v>
      </c>
      <c r="D758" s="88"/>
      <c r="E758" s="89" t="s">
        <v>218</v>
      </c>
      <c r="F758" s="681">
        <v>3</v>
      </c>
      <c r="G758" s="681">
        <v>2</v>
      </c>
      <c r="H758" s="681">
        <v>689.3</v>
      </c>
      <c r="I758" s="681">
        <v>626.29999999999995</v>
      </c>
      <c r="J758" s="681">
        <v>366.8</v>
      </c>
      <c r="K758" s="681">
        <v>11</v>
      </c>
      <c r="L758" s="578">
        <f t="shared" si="158"/>
        <v>1211476</v>
      </c>
      <c r="M758" s="92">
        <v>0</v>
      </c>
      <c r="N758" s="92">
        <v>0</v>
      </c>
      <c r="O758" s="92">
        <v>1211476</v>
      </c>
      <c r="P758" s="92">
        <v>0</v>
      </c>
      <c r="Q758" s="93">
        <f t="shared" si="157"/>
        <v>1934.3381765926874</v>
      </c>
      <c r="R758" s="93">
        <v>7920</v>
      </c>
      <c r="S758" s="276">
        <v>43465</v>
      </c>
    </row>
    <row r="759" spans="1:19" s="24" customFormat="1" ht="31.5">
      <c r="A759" s="87">
        <f t="shared" si="155"/>
        <v>6</v>
      </c>
      <c r="B759" s="225" t="s">
        <v>954</v>
      </c>
      <c r="C759" s="88">
        <v>1917</v>
      </c>
      <c r="D759" s="88"/>
      <c r="E759" s="89" t="s">
        <v>218</v>
      </c>
      <c r="F759" s="681">
        <v>2</v>
      </c>
      <c r="G759" s="681">
        <v>2</v>
      </c>
      <c r="H759" s="681">
        <v>474.3</v>
      </c>
      <c r="I759" s="681">
        <v>194.4</v>
      </c>
      <c r="J759" s="681">
        <v>194.4</v>
      </c>
      <c r="K759" s="681">
        <v>2</v>
      </c>
      <c r="L759" s="578">
        <f t="shared" si="158"/>
        <v>3154876</v>
      </c>
      <c r="M759" s="92">
        <v>0</v>
      </c>
      <c r="N759" s="92">
        <v>0</v>
      </c>
      <c r="O759" s="92">
        <v>3154876</v>
      </c>
      <c r="P759" s="92">
        <v>0</v>
      </c>
      <c r="Q759" s="93">
        <f t="shared" si="157"/>
        <v>16228.786008230452</v>
      </c>
      <c r="R759" s="93">
        <v>7920</v>
      </c>
      <c r="S759" s="276">
        <v>43465</v>
      </c>
    </row>
    <row r="760" spans="1:19" s="24" customFormat="1" ht="31.5">
      <c r="A760" s="87">
        <v>7</v>
      </c>
      <c r="B760" s="225" t="s">
        <v>955</v>
      </c>
      <c r="C760" s="88">
        <v>1917</v>
      </c>
      <c r="D760" s="88"/>
      <c r="E760" s="89" t="s">
        <v>218</v>
      </c>
      <c r="F760" s="681">
        <v>2</v>
      </c>
      <c r="G760" s="681">
        <v>1</v>
      </c>
      <c r="H760" s="681">
        <v>357</v>
      </c>
      <c r="I760" s="681">
        <v>323.2</v>
      </c>
      <c r="J760" s="681">
        <v>126</v>
      </c>
      <c r="K760" s="681">
        <v>11</v>
      </c>
      <c r="L760" s="578">
        <f t="shared" si="158"/>
        <v>869705</v>
      </c>
      <c r="M760" s="92">
        <v>0</v>
      </c>
      <c r="N760" s="92">
        <v>0</v>
      </c>
      <c r="O760" s="92">
        <v>869705</v>
      </c>
      <c r="P760" s="92">
        <v>0</v>
      </c>
      <c r="Q760" s="93">
        <f t="shared" si="157"/>
        <v>2690.9189356435645</v>
      </c>
      <c r="R760" s="93">
        <v>7920</v>
      </c>
      <c r="S760" s="276">
        <v>43465</v>
      </c>
    </row>
    <row r="761" spans="1:19" s="24" customFormat="1" ht="31.5">
      <c r="A761" s="87">
        <v>8</v>
      </c>
      <c r="B761" s="225" t="s">
        <v>956</v>
      </c>
      <c r="C761" s="88">
        <v>1917</v>
      </c>
      <c r="D761" s="88"/>
      <c r="E761" s="89" t="s">
        <v>218</v>
      </c>
      <c r="F761" s="681">
        <v>3</v>
      </c>
      <c r="G761" s="681">
        <v>2</v>
      </c>
      <c r="H761" s="681">
        <v>490.4</v>
      </c>
      <c r="I761" s="681">
        <v>363</v>
      </c>
      <c r="J761" s="681">
        <v>371.4</v>
      </c>
      <c r="K761" s="681">
        <v>14</v>
      </c>
      <c r="L761" s="578">
        <f t="shared" si="158"/>
        <v>1873863</v>
      </c>
      <c r="M761" s="92">
        <v>0</v>
      </c>
      <c r="N761" s="92">
        <v>0</v>
      </c>
      <c r="O761" s="92">
        <v>1873863</v>
      </c>
      <c r="P761" s="92">
        <v>0</v>
      </c>
      <c r="Q761" s="93">
        <f t="shared" si="157"/>
        <v>5162.1570247933887</v>
      </c>
      <c r="R761" s="93">
        <v>7920</v>
      </c>
      <c r="S761" s="276">
        <v>43465</v>
      </c>
    </row>
    <row r="762" spans="1:19" s="24" customFormat="1" ht="31.5">
      <c r="A762" s="87">
        <v>9</v>
      </c>
      <c r="B762" s="225" t="s">
        <v>957</v>
      </c>
      <c r="C762" s="88">
        <v>1917</v>
      </c>
      <c r="D762" s="88"/>
      <c r="E762" s="89" t="s">
        <v>218</v>
      </c>
      <c r="F762" s="681">
        <v>3</v>
      </c>
      <c r="G762" s="681">
        <v>2</v>
      </c>
      <c r="H762" s="681">
        <v>555.5</v>
      </c>
      <c r="I762" s="681">
        <v>484.4</v>
      </c>
      <c r="J762" s="681">
        <v>442</v>
      </c>
      <c r="K762" s="681">
        <v>16</v>
      </c>
      <c r="L762" s="578">
        <f t="shared" si="158"/>
        <v>1044244</v>
      </c>
      <c r="M762" s="92">
        <v>0</v>
      </c>
      <c r="N762" s="92">
        <v>0</v>
      </c>
      <c r="O762" s="92">
        <v>1044244</v>
      </c>
      <c r="P762" s="92">
        <v>0</v>
      </c>
      <c r="Q762" s="93">
        <f t="shared" si="157"/>
        <v>2155.7473162675474</v>
      </c>
      <c r="R762" s="93">
        <v>7920</v>
      </c>
      <c r="S762" s="276">
        <v>43465</v>
      </c>
    </row>
    <row r="763" spans="1:19" s="24" customFormat="1" ht="31.5">
      <c r="A763" s="87">
        <v>10</v>
      </c>
      <c r="B763" s="225" t="s">
        <v>958</v>
      </c>
      <c r="C763" s="88">
        <v>1917</v>
      </c>
      <c r="D763" s="88"/>
      <c r="E763" s="89" t="s">
        <v>218</v>
      </c>
      <c r="F763" s="681">
        <v>3</v>
      </c>
      <c r="G763" s="681">
        <v>1</v>
      </c>
      <c r="H763" s="681">
        <v>336.5</v>
      </c>
      <c r="I763" s="681">
        <v>334</v>
      </c>
      <c r="J763" s="681">
        <v>262.60000000000002</v>
      </c>
      <c r="K763" s="681">
        <v>9</v>
      </c>
      <c r="L763" s="578">
        <f t="shared" si="158"/>
        <v>831874</v>
      </c>
      <c r="M763" s="92">
        <v>0</v>
      </c>
      <c r="N763" s="92">
        <v>0</v>
      </c>
      <c r="O763" s="92">
        <v>831874</v>
      </c>
      <c r="P763" s="92">
        <v>0</v>
      </c>
      <c r="Q763" s="93">
        <f t="shared" si="157"/>
        <v>2490.6407185628741</v>
      </c>
      <c r="R763" s="93">
        <v>7920</v>
      </c>
      <c r="S763" s="276">
        <v>43465</v>
      </c>
    </row>
    <row r="764" spans="1:19" s="24" customFormat="1" ht="31.5">
      <c r="A764" s="87">
        <v>11</v>
      </c>
      <c r="B764" s="225" t="s">
        <v>959</v>
      </c>
      <c r="C764" s="88">
        <v>1917</v>
      </c>
      <c r="D764" s="88"/>
      <c r="E764" s="89" t="s">
        <v>218</v>
      </c>
      <c r="F764" s="681">
        <v>2</v>
      </c>
      <c r="G764" s="681">
        <v>1</v>
      </c>
      <c r="H764" s="681">
        <v>268</v>
      </c>
      <c r="I764" s="681">
        <v>233</v>
      </c>
      <c r="J764" s="681">
        <v>189.7</v>
      </c>
      <c r="K764" s="681">
        <v>12</v>
      </c>
      <c r="L764" s="578">
        <f t="shared" si="158"/>
        <v>1249958</v>
      </c>
      <c r="M764" s="92">
        <v>0</v>
      </c>
      <c r="N764" s="92">
        <v>0</v>
      </c>
      <c r="O764" s="92">
        <v>1249958</v>
      </c>
      <c r="P764" s="92">
        <v>0</v>
      </c>
      <c r="Q764" s="93">
        <f t="shared" si="157"/>
        <v>5364.6266094420598</v>
      </c>
      <c r="R764" s="93">
        <v>7920</v>
      </c>
      <c r="S764" s="276">
        <v>43465</v>
      </c>
    </row>
    <row r="765" spans="1:19" s="24" customFormat="1" ht="31.5">
      <c r="A765" s="87">
        <v>12</v>
      </c>
      <c r="B765" s="225" t="s">
        <v>960</v>
      </c>
      <c r="C765" s="88">
        <v>1917</v>
      </c>
      <c r="D765" s="88"/>
      <c r="E765" s="89" t="s">
        <v>218</v>
      </c>
      <c r="F765" s="681">
        <v>2</v>
      </c>
      <c r="G765" s="681">
        <v>1</v>
      </c>
      <c r="H765" s="681">
        <v>222.8</v>
      </c>
      <c r="I765" s="681">
        <v>118</v>
      </c>
      <c r="J765" s="681">
        <v>43.7</v>
      </c>
      <c r="K765" s="681">
        <v>17</v>
      </c>
      <c r="L765" s="578">
        <f t="shared" si="158"/>
        <v>1054021</v>
      </c>
      <c r="M765" s="92">
        <v>0</v>
      </c>
      <c r="N765" s="92">
        <v>0</v>
      </c>
      <c r="O765" s="92">
        <v>1054021</v>
      </c>
      <c r="P765" s="92">
        <v>0</v>
      </c>
      <c r="Q765" s="93">
        <f t="shared" si="157"/>
        <v>8932.3813559322025</v>
      </c>
      <c r="R765" s="93">
        <v>7920</v>
      </c>
      <c r="S765" s="276">
        <v>43465</v>
      </c>
    </row>
    <row r="766" spans="1:19" s="24" customFormat="1" ht="31.9" customHeight="1">
      <c r="A766" s="87">
        <v>13</v>
      </c>
      <c r="B766" s="225" t="s">
        <v>961</v>
      </c>
      <c r="C766" s="88">
        <v>1917</v>
      </c>
      <c r="D766" s="88"/>
      <c r="E766" s="89" t="s">
        <v>962</v>
      </c>
      <c r="F766" s="681">
        <v>2</v>
      </c>
      <c r="G766" s="681">
        <v>1</v>
      </c>
      <c r="H766" s="681">
        <v>162</v>
      </c>
      <c r="I766" s="681">
        <v>150.19999999999999</v>
      </c>
      <c r="J766" s="681">
        <v>125.9</v>
      </c>
      <c r="K766" s="681">
        <v>3</v>
      </c>
      <c r="L766" s="578">
        <f t="shared" si="158"/>
        <v>565045</v>
      </c>
      <c r="M766" s="92">
        <v>0</v>
      </c>
      <c r="N766" s="92">
        <v>0</v>
      </c>
      <c r="O766" s="92">
        <v>565045</v>
      </c>
      <c r="P766" s="92">
        <v>0</v>
      </c>
      <c r="Q766" s="93">
        <f t="shared" si="157"/>
        <v>3761.9507323568578</v>
      </c>
      <c r="R766" s="93">
        <v>7920</v>
      </c>
      <c r="S766" s="276">
        <v>43465</v>
      </c>
    </row>
    <row r="767" spans="1:19" s="24" customFormat="1" ht="15.75" customHeight="1">
      <c r="A767" s="268"/>
      <c r="B767" s="1116" t="s">
        <v>92</v>
      </c>
      <c r="C767" s="1116"/>
      <c r="D767" s="1116"/>
      <c r="E767" s="1116"/>
      <c r="F767" s="1116"/>
      <c r="G767" s="1116"/>
      <c r="H767" s="788">
        <f>H768+H769</f>
        <v>929.5</v>
      </c>
      <c r="I767" s="788">
        <f t="shared" ref="I767:P767" si="159">I768+I769</f>
        <v>850.9</v>
      </c>
      <c r="J767" s="788">
        <f t="shared" si="159"/>
        <v>744.5</v>
      </c>
      <c r="K767" s="788">
        <f t="shared" si="159"/>
        <v>43</v>
      </c>
      <c r="L767" s="789">
        <f t="shared" si="159"/>
        <v>1681461</v>
      </c>
      <c r="M767" s="789">
        <f t="shared" si="159"/>
        <v>0</v>
      </c>
      <c r="N767" s="789">
        <f t="shared" si="159"/>
        <v>0</v>
      </c>
      <c r="O767" s="789">
        <f t="shared" si="159"/>
        <v>1681461</v>
      </c>
      <c r="P767" s="789">
        <f t="shared" si="159"/>
        <v>0</v>
      </c>
      <c r="Q767" s="275" t="s">
        <v>40</v>
      </c>
      <c r="R767" s="585" t="s">
        <v>40</v>
      </c>
      <c r="S767" s="276">
        <v>43465</v>
      </c>
    </row>
    <row r="768" spans="1:19" s="24" customFormat="1" ht="15.75" customHeight="1">
      <c r="A768" s="268"/>
      <c r="B768" s="286" t="s">
        <v>647</v>
      </c>
      <c r="C768" s="268">
        <v>1953</v>
      </c>
      <c r="D768" s="268"/>
      <c r="E768" s="268" t="s">
        <v>646</v>
      </c>
      <c r="F768" s="268">
        <v>2</v>
      </c>
      <c r="G768" s="268">
        <v>1</v>
      </c>
      <c r="H768" s="272">
        <v>431.8</v>
      </c>
      <c r="I768" s="307">
        <v>395.2</v>
      </c>
      <c r="J768" s="307">
        <v>288.8</v>
      </c>
      <c r="K768" s="273">
        <v>22</v>
      </c>
      <c r="L768" s="274">
        <v>409319</v>
      </c>
      <c r="M768" s="274">
        <v>0</v>
      </c>
      <c r="N768" s="274">
        <v>0</v>
      </c>
      <c r="O768" s="274">
        <v>409319</v>
      </c>
      <c r="P768" s="274">
        <v>0</v>
      </c>
      <c r="Q768" s="275">
        <f>L768/I768</f>
        <v>1035.7262145748989</v>
      </c>
      <c r="R768" s="585">
        <v>7920</v>
      </c>
      <c r="S768" s="276">
        <v>43465</v>
      </c>
    </row>
    <row r="769" spans="1:19" s="1" customFormat="1" ht="31.5">
      <c r="A769" s="268">
        <f>A766+1</f>
        <v>14</v>
      </c>
      <c r="B769" s="360" t="s">
        <v>648</v>
      </c>
      <c r="C769" s="322">
        <v>1961</v>
      </c>
      <c r="D769" s="322"/>
      <c r="E769" s="271" t="s">
        <v>218</v>
      </c>
      <c r="F769" s="322">
        <v>2</v>
      </c>
      <c r="G769" s="322">
        <v>1</v>
      </c>
      <c r="H769" s="616">
        <v>497.7</v>
      </c>
      <c r="I769" s="322">
        <v>455.7</v>
      </c>
      <c r="J769" s="322">
        <v>455.7</v>
      </c>
      <c r="K769" s="325">
        <v>21</v>
      </c>
      <c r="L769" s="274">
        <v>1272142</v>
      </c>
      <c r="M769" s="274">
        <v>0</v>
      </c>
      <c r="N769" s="274">
        <v>0</v>
      </c>
      <c r="O769" s="274">
        <v>1272142</v>
      </c>
      <c r="P769" s="274">
        <v>0</v>
      </c>
      <c r="Q769" s="326">
        <f>L769/I769</f>
        <v>2791.6216809304369</v>
      </c>
      <c r="R769" s="275">
        <v>7920</v>
      </c>
      <c r="S769" s="276">
        <v>43465</v>
      </c>
    </row>
    <row r="770" spans="1:19" s="1" customFormat="1" ht="15.75" customHeight="1">
      <c r="A770" s="268"/>
      <c r="B770" s="1115" t="s">
        <v>93</v>
      </c>
      <c r="C770" s="1115"/>
      <c r="D770" s="1115"/>
      <c r="E770" s="1115"/>
      <c r="F770" s="1115"/>
      <c r="G770" s="1115"/>
      <c r="H770" s="616">
        <f>SUM(H771:H772)</f>
        <v>4540.7999999999993</v>
      </c>
      <c r="I770" s="616">
        <f t="shared" ref="I770:P770" si="160">SUM(I771:I772)</f>
        <v>4540.7999999999993</v>
      </c>
      <c r="J770" s="616">
        <f t="shared" si="160"/>
        <v>3048.6</v>
      </c>
      <c r="K770" s="616">
        <f t="shared" si="160"/>
        <v>151</v>
      </c>
      <c r="L770" s="618">
        <f t="shared" si="160"/>
        <v>4013524</v>
      </c>
      <c r="M770" s="618">
        <f t="shared" si="160"/>
        <v>0</v>
      </c>
      <c r="N770" s="618">
        <f t="shared" si="160"/>
        <v>0</v>
      </c>
      <c r="O770" s="618">
        <f t="shared" si="160"/>
        <v>4013524</v>
      </c>
      <c r="P770" s="618">
        <f t="shared" si="160"/>
        <v>0</v>
      </c>
      <c r="Q770" s="293" t="s">
        <v>40</v>
      </c>
      <c r="R770" s="293" t="s">
        <v>40</v>
      </c>
      <c r="S770" s="276">
        <v>43465</v>
      </c>
    </row>
    <row r="771" spans="1:19" s="1" customFormat="1" ht="15.75">
      <c r="A771" s="268">
        <f>A769+1</f>
        <v>15</v>
      </c>
      <c r="B771" s="622" t="s">
        <v>788</v>
      </c>
      <c r="C771" s="290">
        <v>1974</v>
      </c>
      <c r="D771" s="290"/>
      <c r="E771" s="271" t="s">
        <v>219</v>
      </c>
      <c r="F771" s="292">
        <v>5</v>
      </c>
      <c r="G771" s="292">
        <v>6</v>
      </c>
      <c r="H771" s="514">
        <v>4364.8999999999996</v>
      </c>
      <c r="I771" s="291">
        <v>4364.8999999999996</v>
      </c>
      <c r="J771" s="291">
        <v>2872.7</v>
      </c>
      <c r="K771" s="292">
        <v>144</v>
      </c>
      <c r="L771" s="274">
        <v>2978035</v>
      </c>
      <c r="M771" s="274">
        <v>0</v>
      </c>
      <c r="N771" s="274">
        <v>0</v>
      </c>
      <c r="O771" s="274">
        <f>L771</f>
        <v>2978035</v>
      </c>
      <c r="P771" s="274">
        <v>0</v>
      </c>
      <c r="Q771" s="293">
        <f>L771/I771</f>
        <v>682.2687804989805</v>
      </c>
      <c r="R771" s="275">
        <v>7920</v>
      </c>
      <c r="S771" s="276">
        <v>43465</v>
      </c>
    </row>
    <row r="772" spans="1:19" s="1" customFormat="1" ht="31.5">
      <c r="A772" s="268">
        <f t="shared" si="155"/>
        <v>16</v>
      </c>
      <c r="B772" s="622" t="s">
        <v>789</v>
      </c>
      <c r="C772" s="290">
        <v>1958</v>
      </c>
      <c r="D772" s="290"/>
      <c r="E772" s="271" t="s">
        <v>777</v>
      </c>
      <c r="F772" s="292">
        <v>1</v>
      </c>
      <c r="G772" s="292">
        <v>1</v>
      </c>
      <c r="H772" s="514">
        <v>175.9</v>
      </c>
      <c r="I772" s="291">
        <v>175.9</v>
      </c>
      <c r="J772" s="291">
        <v>175.9</v>
      </c>
      <c r="K772" s="292">
        <v>7</v>
      </c>
      <c r="L772" s="274">
        <v>1035489</v>
      </c>
      <c r="M772" s="274">
        <v>0</v>
      </c>
      <c r="N772" s="274">
        <v>0</v>
      </c>
      <c r="O772" s="274">
        <f>L772</f>
        <v>1035489</v>
      </c>
      <c r="P772" s="274">
        <v>0</v>
      </c>
      <c r="Q772" s="293">
        <f>L772/I772</f>
        <v>5886.8050028425241</v>
      </c>
      <c r="R772" s="275">
        <v>7920</v>
      </c>
      <c r="S772" s="276">
        <v>43465</v>
      </c>
    </row>
    <row r="773" spans="1:19" s="1" customFormat="1" ht="15.75">
      <c r="A773" s="268"/>
      <c r="B773" s="617"/>
      <c r="C773" s="290"/>
      <c r="D773" s="290"/>
      <c r="E773" s="271"/>
      <c r="F773" s="292"/>
      <c r="G773" s="292"/>
      <c r="H773" s="514"/>
      <c r="I773" s="291"/>
      <c r="J773" s="291"/>
      <c r="K773" s="292"/>
      <c r="L773" s="274"/>
      <c r="M773" s="274"/>
      <c r="N773" s="274"/>
      <c r="O773" s="274"/>
      <c r="P773" s="274"/>
      <c r="Q773" s="293"/>
      <c r="R773" s="275"/>
      <c r="S773" s="276"/>
    </row>
    <row r="774" spans="1:19" s="1" customFormat="1" ht="15.75">
      <c r="A774" s="268"/>
      <c r="B774" s="617"/>
      <c r="C774" s="290"/>
      <c r="D774" s="290"/>
      <c r="E774" s="271"/>
      <c r="F774" s="292"/>
      <c r="G774" s="292"/>
      <c r="H774" s="514"/>
      <c r="I774" s="291"/>
      <c r="J774" s="291"/>
      <c r="K774" s="292"/>
      <c r="L774" s="274"/>
      <c r="M774" s="274"/>
      <c r="N774" s="274"/>
      <c r="O774" s="274"/>
      <c r="P774" s="274"/>
      <c r="Q774" s="293"/>
      <c r="R774" s="275"/>
      <c r="S774" s="276"/>
    </row>
    <row r="775" spans="1:19" s="1" customFormat="1" ht="15.75">
      <c r="A775" s="268"/>
      <c r="B775" s="617"/>
      <c r="C775" s="290"/>
      <c r="D775" s="290"/>
      <c r="E775" s="271"/>
      <c r="F775" s="292"/>
      <c r="G775" s="292"/>
      <c r="H775" s="514"/>
      <c r="I775" s="291"/>
      <c r="J775" s="291"/>
      <c r="K775" s="292"/>
      <c r="L775" s="274"/>
      <c r="M775" s="274"/>
      <c r="N775" s="274"/>
      <c r="O775" s="274"/>
      <c r="P775" s="274"/>
      <c r="Q775" s="293"/>
      <c r="R775" s="275"/>
      <c r="S775" s="276"/>
    </row>
    <row r="776" spans="1:19" s="1" customFormat="1" ht="15.75">
      <c r="A776" s="268"/>
      <c r="B776" s="617"/>
      <c r="C776" s="290"/>
      <c r="D776" s="290"/>
      <c r="E776" s="271"/>
      <c r="F776" s="292"/>
      <c r="G776" s="292"/>
      <c r="H776" s="514"/>
      <c r="I776" s="291"/>
      <c r="J776" s="291"/>
      <c r="K776" s="292"/>
      <c r="L776" s="274"/>
      <c r="M776" s="274"/>
      <c r="N776" s="274"/>
      <c r="O776" s="274"/>
      <c r="P776" s="274"/>
      <c r="Q776" s="293"/>
      <c r="R776" s="275"/>
      <c r="S776" s="276"/>
    </row>
    <row r="777" spans="1:19" s="1" customFormat="1" ht="15.75">
      <c r="A777" s="268"/>
      <c r="B777" s="617"/>
      <c r="C777" s="290"/>
      <c r="D777" s="290"/>
      <c r="E777" s="271"/>
      <c r="F777" s="292"/>
      <c r="G777" s="292"/>
      <c r="H777" s="514"/>
      <c r="I777" s="291"/>
      <c r="J777" s="291"/>
      <c r="K777" s="292"/>
      <c r="L777" s="274"/>
      <c r="M777" s="274"/>
      <c r="N777" s="274"/>
      <c r="O777" s="274"/>
      <c r="P777" s="274"/>
      <c r="Q777" s="293"/>
      <c r="R777" s="275"/>
      <c r="S777" s="276"/>
    </row>
    <row r="778" spans="1:19" s="1" customFormat="1" ht="15.75">
      <c r="A778" s="268"/>
      <c r="B778" s="617"/>
      <c r="C778" s="290"/>
      <c r="D778" s="290"/>
      <c r="E778" s="271"/>
      <c r="F778" s="292"/>
      <c r="G778" s="292"/>
      <c r="H778" s="514"/>
      <c r="I778" s="291"/>
      <c r="J778" s="291"/>
      <c r="K778" s="292"/>
      <c r="L778" s="274"/>
      <c r="M778" s="274"/>
      <c r="N778" s="274"/>
      <c r="O778" s="274"/>
      <c r="P778" s="274"/>
      <c r="Q778" s="293"/>
      <c r="R778" s="275"/>
      <c r="S778" s="276"/>
    </row>
    <row r="779" spans="1:19" s="1" customFormat="1" ht="15.75">
      <c r="A779" s="268"/>
      <c r="B779" s="617"/>
      <c r="C779" s="290"/>
      <c r="D779" s="290"/>
      <c r="E779" s="271"/>
      <c r="F779" s="292"/>
      <c r="G779" s="292"/>
      <c r="H779" s="514"/>
      <c r="I779" s="291"/>
      <c r="J779" s="291"/>
      <c r="K779" s="292"/>
      <c r="L779" s="274"/>
      <c r="M779" s="274"/>
      <c r="N779" s="274"/>
      <c r="O779" s="274"/>
      <c r="P779" s="274"/>
      <c r="Q779" s="293"/>
      <c r="R779" s="275"/>
      <c r="S779" s="276"/>
    </row>
    <row r="780" spans="1:19" s="1" customFormat="1" ht="15.75">
      <c r="A780" s="268"/>
      <c r="B780" s="617"/>
      <c r="C780" s="290"/>
      <c r="D780" s="290"/>
      <c r="E780" s="271"/>
      <c r="F780" s="292"/>
      <c r="G780" s="292"/>
      <c r="H780" s="514"/>
      <c r="I780" s="291"/>
      <c r="J780" s="291"/>
      <c r="K780" s="292"/>
      <c r="L780" s="274"/>
      <c r="M780" s="274"/>
      <c r="N780" s="274"/>
      <c r="O780" s="274"/>
      <c r="P780" s="274"/>
      <c r="Q780" s="293"/>
      <c r="R780" s="275"/>
      <c r="S780" s="276"/>
    </row>
    <row r="781" spans="1:19" s="1" customFormat="1" ht="15.75">
      <c r="A781" s="268"/>
      <c r="B781" s="617"/>
      <c r="C781" s="290"/>
      <c r="D781" s="290"/>
      <c r="E781" s="271"/>
      <c r="F781" s="292"/>
      <c r="G781" s="292"/>
      <c r="H781" s="514"/>
      <c r="I781" s="291"/>
      <c r="J781" s="291"/>
      <c r="K781" s="292"/>
      <c r="L781" s="274"/>
      <c r="M781" s="274"/>
      <c r="N781" s="274"/>
      <c r="O781" s="274"/>
      <c r="P781" s="274"/>
      <c r="Q781" s="293"/>
      <c r="R781" s="275"/>
      <c r="S781" s="276"/>
    </row>
    <row r="782" spans="1:19" s="1" customFormat="1" ht="15.75">
      <c r="A782" s="268"/>
      <c r="B782" s="617"/>
      <c r="C782" s="290"/>
      <c r="D782" s="290"/>
      <c r="E782" s="271"/>
      <c r="F782" s="292"/>
      <c r="G782" s="292"/>
      <c r="H782" s="514"/>
      <c r="I782" s="291"/>
      <c r="J782" s="291"/>
      <c r="K782" s="292"/>
      <c r="L782" s="274"/>
      <c r="M782" s="274"/>
      <c r="N782" s="274"/>
      <c r="O782" s="274"/>
      <c r="P782" s="274"/>
      <c r="Q782" s="293"/>
      <c r="R782" s="275"/>
      <c r="S782" s="276"/>
    </row>
    <row r="783" spans="1:19" s="1" customFormat="1" ht="15.75">
      <c r="A783" s="268"/>
      <c r="B783" s="617"/>
      <c r="C783" s="290"/>
      <c r="D783" s="290"/>
      <c r="E783" s="271"/>
      <c r="F783" s="292"/>
      <c r="G783" s="292"/>
      <c r="H783" s="514"/>
      <c r="I783" s="291"/>
      <c r="J783" s="291"/>
      <c r="K783" s="292"/>
      <c r="L783" s="274"/>
      <c r="M783" s="274"/>
      <c r="N783" s="274"/>
      <c r="O783" s="274"/>
      <c r="P783" s="274"/>
      <c r="Q783" s="293"/>
      <c r="R783" s="275"/>
      <c r="S783" s="276"/>
    </row>
    <row r="784" spans="1:19" s="1" customFormat="1" ht="15.75">
      <c r="A784" s="268"/>
      <c r="B784" s="617"/>
      <c r="C784" s="290"/>
      <c r="D784" s="290"/>
      <c r="E784" s="271"/>
      <c r="F784" s="292"/>
      <c r="G784" s="292"/>
      <c r="H784" s="514"/>
      <c r="I784" s="291"/>
      <c r="J784" s="291"/>
      <c r="K784" s="292"/>
      <c r="L784" s="274"/>
      <c r="M784" s="274"/>
      <c r="N784" s="274"/>
      <c r="O784" s="274"/>
      <c r="P784" s="274"/>
      <c r="Q784" s="293"/>
      <c r="R784" s="275"/>
      <c r="S784" s="276"/>
    </row>
    <row r="785" spans="1:30" s="1" customFormat="1" ht="15.75">
      <c r="A785" s="268"/>
      <c r="B785" s="617"/>
      <c r="C785" s="290"/>
      <c r="D785" s="290"/>
      <c r="E785" s="271"/>
      <c r="F785" s="292"/>
      <c r="G785" s="292"/>
      <c r="H785" s="514"/>
      <c r="I785" s="291"/>
      <c r="J785" s="291"/>
      <c r="K785" s="292"/>
      <c r="L785" s="274"/>
      <c r="M785" s="274"/>
      <c r="N785" s="274"/>
      <c r="O785" s="274"/>
      <c r="P785" s="274"/>
      <c r="Q785" s="293"/>
      <c r="R785" s="275"/>
      <c r="S785" s="276"/>
    </row>
    <row r="786" spans="1:30" s="1" customFormat="1" ht="15.75">
      <c r="A786" s="268"/>
      <c r="B786" s="617"/>
      <c r="C786" s="290"/>
      <c r="D786" s="290"/>
      <c r="E786" s="271"/>
      <c r="F786" s="292"/>
      <c r="G786" s="292"/>
      <c r="H786" s="514"/>
      <c r="I786" s="291"/>
      <c r="J786" s="291"/>
      <c r="K786" s="292"/>
      <c r="L786" s="274"/>
      <c r="M786" s="274"/>
      <c r="N786" s="274"/>
      <c r="O786" s="274"/>
      <c r="P786" s="274"/>
      <c r="Q786" s="293"/>
      <c r="R786" s="275"/>
      <c r="S786" s="276"/>
    </row>
    <row r="787" spans="1:30" s="1" customFormat="1" ht="15.75">
      <c r="A787" s="268"/>
      <c r="B787" s="617"/>
      <c r="C787" s="290"/>
      <c r="D787" s="290"/>
      <c r="E787" s="271"/>
      <c r="F787" s="292"/>
      <c r="G787" s="292"/>
      <c r="H787" s="514"/>
      <c r="I787" s="291"/>
      <c r="J787" s="291"/>
      <c r="K787" s="292"/>
      <c r="L787" s="274"/>
      <c r="M787" s="274"/>
      <c r="N787" s="274"/>
      <c r="O787" s="274"/>
      <c r="P787" s="274"/>
      <c r="Q787" s="293"/>
      <c r="R787" s="275"/>
      <c r="S787" s="276"/>
    </row>
    <row r="788" spans="1:30" s="1" customFormat="1" ht="15.75">
      <c r="A788" s="268"/>
      <c r="B788" s="617"/>
      <c r="C788" s="290"/>
      <c r="D788" s="290"/>
      <c r="E788" s="271"/>
      <c r="F788" s="292"/>
      <c r="G788" s="292"/>
      <c r="H788" s="514"/>
      <c r="I788" s="291"/>
      <c r="J788" s="291"/>
      <c r="K788" s="292"/>
      <c r="L788" s="274"/>
      <c r="M788" s="274"/>
      <c r="N788" s="274"/>
      <c r="O788" s="274"/>
      <c r="P788" s="274"/>
      <c r="Q788" s="293"/>
      <c r="R788" s="275"/>
      <c r="S788" s="276"/>
    </row>
    <row r="789" spans="1:30" s="1" customFormat="1" ht="15.75">
      <c r="A789" s="268"/>
      <c r="B789" s="617"/>
      <c r="C789" s="290"/>
      <c r="D789" s="290"/>
      <c r="E789" s="271"/>
      <c r="F789" s="292"/>
      <c r="G789" s="292"/>
      <c r="H789" s="514"/>
      <c r="I789" s="291"/>
      <c r="J789" s="291"/>
      <c r="K789" s="292"/>
      <c r="L789" s="274"/>
      <c r="M789" s="274"/>
      <c r="N789" s="274"/>
      <c r="O789" s="274"/>
      <c r="P789" s="274"/>
      <c r="Q789" s="293"/>
      <c r="R789" s="275"/>
      <c r="S789" s="276"/>
    </row>
    <row r="790" spans="1:30" s="1" customFormat="1" ht="15.75">
      <c r="A790" s="268"/>
      <c r="B790" s="617"/>
      <c r="C790" s="290"/>
      <c r="D790" s="290"/>
      <c r="E790" s="271"/>
      <c r="F790" s="292"/>
      <c r="G790" s="292"/>
      <c r="H790" s="514"/>
      <c r="I790" s="291"/>
      <c r="J790" s="291"/>
      <c r="K790" s="292"/>
      <c r="L790" s="274"/>
      <c r="M790" s="274"/>
      <c r="N790" s="274"/>
      <c r="O790" s="274"/>
      <c r="P790" s="274"/>
      <c r="Q790" s="293"/>
      <c r="R790" s="275"/>
      <c r="S790" s="276"/>
    </row>
    <row r="791" spans="1:30" s="1" customFormat="1" ht="15.75">
      <c r="A791" s="268"/>
      <c r="B791" s="617"/>
      <c r="C791" s="290"/>
      <c r="D791" s="290"/>
      <c r="E791" s="271"/>
      <c r="F791" s="292"/>
      <c r="G791" s="292"/>
      <c r="H791" s="514"/>
      <c r="I791" s="291"/>
      <c r="J791" s="291"/>
      <c r="K791" s="292"/>
      <c r="L791" s="274"/>
      <c r="M791" s="274"/>
      <c r="N791" s="274"/>
      <c r="O791" s="274"/>
      <c r="P791" s="274"/>
      <c r="Q791" s="293"/>
      <c r="R791" s="275"/>
      <c r="S791" s="276"/>
    </row>
    <row r="792" spans="1:30" s="1" customFormat="1" ht="15.75">
      <c r="A792" s="268"/>
      <c r="B792" s="617"/>
      <c r="C792" s="290"/>
      <c r="D792" s="290"/>
      <c r="E792" s="271"/>
      <c r="F792" s="292"/>
      <c r="G792" s="292"/>
      <c r="H792" s="514"/>
      <c r="I792" s="291"/>
      <c r="J792" s="291"/>
      <c r="K792" s="292"/>
      <c r="L792" s="274"/>
      <c r="M792" s="274"/>
      <c r="N792" s="274"/>
      <c r="O792" s="274"/>
      <c r="P792" s="274"/>
      <c r="Q792" s="293"/>
      <c r="R792" s="275"/>
      <c r="S792" s="276"/>
    </row>
    <row r="793" spans="1:30" s="1" customFormat="1" ht="15.75">
      <c r="A793" s="268"/>
      <c r="B793" s="617"/>
      <c r="C793" s="290"/>
      <c r="D793" s="290"/>
      <c r="E793" s="271"/>
      <c r="F793" s="292"/>
      <c r="G793" s="292"/>
      <c r="H793" s="514"/>
      <c r="I793" s="291"/>
      <c r="J793" s="291"/>
      <c r="K793" s="292"/>
      <c r="L793" s="274"/>
      <c r="M793" s="274"/>
      <c r="N793" s="274"/>
      <c r="O793" s="274"/>
      <c r="P793" s="274"/>
      <c r="Q793" s="293"/>
      <c r="R793" s="275"/>
      <c r="S793" s="276"/>
    </row>
    <row r="794" spans="1:30" s="1" customFormat="1" ht="15.75">
      <c r="A794" s="268"/>
      <c r="B794" s="617"/>
      <c r="C794" s="290"/>
      <c r="D794" s="290"/>
      <c r="E794" s="271"/>
      <c r="F794" s="292"/>
      <c r="G794" s="292"/>
      <c r="H794" s="514"/>
      <c r="I794" s="291"/>
      <c r="J794" s="291"/>
      <c r="K794" s="292"/>
      <c r="L794" s="274"/>
      <c r="M794" s="274"/>
      <c r="N794" s="274"/>
      <c r="O794" s="274"/>
      <c r="P794" s="274"/>
      <c r="Q794" s="293"/>
      <c r="R794" s="275"/>
      <c r="S794" s="276"/>
    </row>
    <row r="795" spans="1:30" s="1" customFormat="1" ht="15.75">
      <c r="A795" s="268"/>
      <c r="B795" s="617"/>
      <c r="C795" s="290"/>
      <c r="D795" s="290"/>
      <c r="E795" s="271"/>
      <c r="F795" s="292"/>
      <c r="G795" s="292"/>
      <c r="H795" s="514"/>
      <c r="I795" s="291"/>
      <c r="J795" s="291"/>
      <c r="K795" s="292"/>
      <c r="L795" s="274"/>
      <c r="M795" s="274"/>
      <c r="N795" s="274"/>
      <c r="O795" s="274"/>
      <c r="P795" s="274"/>
      <c r="Q795" s="293"/>
      <c r="R795" s="275"/>
      <c r="S795" s="276"/>
    </row>
    <row r="796" spans="1:30" s="1" customFormat="1" ht="15.75">
      <c r="A796" s="352"/>
      <c r="B796" s="1109" t="s">
        <v>94</v>
      </c>
      <c r="C796" s="1109"/>
      <c r="D796" s="1109"/>
      <c r="E796" s="1109"/>
      <c r="F796" s="1109"/>
      <c r="G796" s="1109"/>
      <c r="H796" s="353">
        <f>SUM(H797:H805)</f>
        <v>13237.699999999999</v>
      </c>
      <c r="I796" s="353">
        <f t="shared" ref="I796:P796" si="161">SUM(I797:I805)</f>
        <v>12074.8</v>
      </c>
      <c r="J796" s="353">
        <f t="shared" si="161"/>
        <v>11564.1</v>
      </c>
      <c r="K796" s="353">
        <f t="shared" si="161"/>
        <v>482</v>
      </c>
      <c r="L796" s="359">
        <f t="shared" si="161"/>
        <v>17682419</v>
      </c>
      <c r="M796" s="359">
        <f t="shared" si="161"/>
        <v>0</v>
      </c>
      <c r="N796" s="359">
        <f t="shared" si="161"/>
        <v>0</v>
      </c>
      <c r="O796" s="359">
        <f t="shared" si="161"/>
        <v>17682419</v>
      </c>
      <c r="P796" s="359">
        <f t="shared" si="161"/>
        <v>0</v>
      </c>
      <c r="Q796" s="86" t="s">
        <v>40</v>
      </c>
      <c r="R796" s="86" t="s">
        <v>40</v>
      </c>
      <c r="S796" s="276">
        <v>43465</v>
      </c>
    </row>
    <row r="797" spans="1:30" s="36" customFormat="1" ht="31.5">
      <c r="A797" s="268">
        <f>A795+1</f>
        <v>1</v>
      </c>
      <c r="B797" s="371" t="s">
        <v>539</v>
      </c>
      <c r="C797" s="361">
        <v>1917</v>
      </c>
      <c r="D797" s="271"/>
      <c r="E797" s="271" t="s">
        <v>548</v>
      </c>
      <c r="F797" s="372">
        <v>2</v>
      </c>
      <c r="G797" s="372">
        <v>2</v>
      </c>
      <c r="H797" s="373">
        <v>415.4</v>
      </c>
      <c r="I797" s="373">
        <v>353.8</v>
      </c>
      <c r="J797" s="363">
        <v>353.8</v>
      </c>
      <c r="K797" s="364">
        <v>16</v>
      </c>
      <c r="L797" s="274">
        <v>1329885</v>
      </c>
      <c r="M797" s="274">
        <v>0</v>
      </c>
      <c r="N797" s="274">
        <v>0</v>
      </c>
      <c r="O797" s="274">
        <f t="shared" ref="O797:O805" si="162">L797</f>
        <v>1329885</v>
      </c>
      <c r="P797" s="274">
        <v>0</v>
      </c>
      <c r="Q797" s="363">
        <f t="shared" ref="Q797:Q805" si="163">L797/I797</f>
        <v>3758.8609383832672</v>
      </c>
      <c r="R797" s="275">
        <v>7920</v>
      </c>
      <c r="S797" s="276">
        <v>43465</v>
      </c>
    </row>
    <row r="798" spans="1:30" s="1" customFormat="1" ht="31.5">
      <c r="A798" s="268">
        <f t="shared" ref="A798:A805" si="164">A797+1</f>
        <v>2</v>
      </c>
      <c r="B798" s="371" t="s">
        <v>540</v>
      </c>
      <c r="C798" s="361">
        <v>1959</v>
      </c>
      <c r="D798" s="271"/>
      <c r="E798" s="271" t="s">
        <v>218</v>
      </c>
      <c r="F798" s="372">
        <v>4</v>
      </c>
      <c r="G798" s="372">
        <v>2</v>
      </c>
      <c r="H798" s="373">
        <v>1363.4</v>
      </c>
      <c r="I798" s="373">
        <v>1254</v>
      </c>
      <c r="J798" s="363">
        <v>1047.7</v>
      </c>
      <c r="K798" s="364">
        <v>65</v>
      </c>
      <c r="L798" s="274">
        <v>1856453</v>
      </c>
      <c r="M798" s="274">
        <v>0</v>
      </c>
      <c r="N798" s="274">
        <v>0</v>
      </c>
      <c r="O798" s="274">
        <f t="shared" si="162"/>
        <v>1856453</v>
      </c>
      <c r="P798" s="274">
        <v>0</v>
      </c>
      <c r="Q798" s="363">
        <f t="shared" si="163"/>
        <v>1480.4250398724082</v>
      </c>
      <c r="R798" s="275">
        <v>7920</v>
      </c>
      <c r="S798" s="276">
        <v>43465</v>
      </c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</row>
    <row r="799" spans="1:30" s="1" customFormat="1" ht="31.5">
      <c r="A799" s="268">
        <f t="shared" si="164"/>
        <v>3</v>
      </c>
      <c r="B799" s="371" t="s">
        <v>541</v>
      </c>
      <c r="C799" s="361">
        <v>1954</v>
      </c>
      <c r="D799" s="271"/>
      <c r="E799" s="271" t="s">
        <v>218</v>
      </c>
      <c r="F799" s="372">
        <v>2</v>
      </c>
      <c r="G799" s="372">
        <v>1</v>
      </c>
      <c r="H799" s="373">
        <v>474.2</v>
      </c>
      <c r="I799" s="373">
        <v>434.9</v>
      </c>
      <c r="J799" s="362">
        <v>373.7</v>
      </c>
      <c r="K799" s="364">
        <v>18</v>
      </c>
      <c r="L799" s="274">
        <v>1518210</v>
      </c>
      <c r="M799" s="274">
        <v>0</v>
      </c>
      <c r="N799" s="274">
        <v>0</v>
      </c>
      <c r="O799" s="274">
        <f t="shared" si="162"/>
        <v>1518210</v>
      </c>
      <c r="P799" s="274">
        <v>0</v>
      </c>
      <c r="Q799" s="363">
        <f t="shared" si="163"/>
        <v>3490.9404460795586</v>
      </c>
      <c r="R799" s="275">
        <v>7920</v>
      </c>
      <c r="S799" s="276">
        <v>43465</v>
      </c>
    </row>
    <row r="800" spans="1:30" s="1" customFormat="1" ht="31.5">
      <c r="A800" s="268">
        <f t="shared" si="164"/>
        <v>4</v>
      </c>
      <c r="B800" s="371" t="s">
        <v>542</v>
      </c>
      <c r="C800" s="361">
        <v>1964</v>
      </c>
      <c r="D800" s="271"/>
      <c r="E800" s="271" t="s">
        <v>218</v>
      </c>
      <c r="F800" s="372">
        <v>2</v>
      </c>
      <c r="G800" s="372">
        <v>2</v>
      </c>
      <c r="H800" s="373">
        <v>509</v>
      </c>
      <c r="I800" s="373">
        <v>450.7</v>
      </c>
      <c r="J800" s="363">
        <v>414.1</v>
      </c>
      <c r="K800" s="364">
        <v>23</v>
      </c>
      <c r="L800" s="274">
        <v>203023</v>
      </c>
      <c r="M800" s="274">
        <v>0</v>
      </c>
      <c r="N800" s="274">
        <v>0</v>
      </c>
      <c r="O800" s="274">
        <f t="shared" si="162"/>
        <v>203023</v>
      </c>
      <c r="P800" s="274">
        <v>0</v>
      </c>
      <c r="Q800" s="363">
        <f t="shared" si="163"/>
        <v>450.46150432660306</v>
      </c>
      <c r="R800" s="275">
        <v>7920</v>
      </c>
      <c r="S800" s="276">
        <v>43465</v>
      </c>
    </row>
    <row r="801" spans="1:30" s="1" customFormat="1" ht="31.5">
      <c r="A801" s="268">
        <f t="shared" si="164"/>
        <v>5</v>
      </c>
      <c r="B801" s="371" t="s">
        <v>543</v>
      </c>
      <c r="C801" s="361">
        <v>1957</v>
      </c>
      <c r="D801" s="271"/>
      <c r="E801" s="271" t="s">
        <v>218</v>
      </c>
      <c r="F801" s="372">
        <v>2</v>
      </c>
      <c r="G801" s="372">
        <v>3</v>
      </c>
      <c r="H801" s="373">
        <v>1084.2</v>
      </c>
      <c r="I801" s="373">
        <v>1010.2</v>
      </c>
      <c r="J801" s="363">
        <v>1010.2</v>
      </c>
      <c r="K801" s="364">
        <v>37</v>
      </c>
      <c r="L801" s="274">
        <v>2925993</v>
      </c>
      <c r="M801" s="274">
        <v>0</v>
      </c>
      <c r="N801" s="274">
        <v>0</v>
      </c>
      <c r="O801" s="274">
        <f t="shared" si="162"/>
        <v>2925993</v>
      </c>
      <c r="P801" s="274">
        <v>0</v>
      </c>
      <c r="Q801" s="363">
        <f t="shared" si="163"/>
        <v>2896.449217976638</v>
      </c>
      <c r="R801" s="275">
        <v>7920</v>
      </c>
      <c r="S801" s="276">
        <v>43465</v>
      </c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</row>
    <row r="802" spans="1:30" s="1" customFormat="1" ht="31.5">
      <c r="A802" s="268">
        <f t="shared" si="164"/>
        <v>6</v>
      </c>
      <c r="B802" s="371" t="s">
        <v>544</v>
      </c>
      <c r="C802" s="361">
        <v>1964</v>
      </c>
      <c r="D802" s="271"/>
      <c r="E802" s="271" t="s">
        <v>218</v>
      </c>
      <c r="F802" s="372">
        <v>2</v>
      </c>
      <c r="G802" s="372">
        <v>3</v>
      </c>
      <c r="H802" s="373">
        <v>526.6</v>
      </c>
      <c r="I802" s="373">
        <v>467.5</v>
      </c>
      <c r="J802" s="362">
        <v>466</v>
      </c>
      <c r="K802" s="364">
        <v>28</v>
      </c>
      <c r="L802" s="274">
        <v>1413679</v>
      </c>
      <c r="M802" s="274">
        <v>0</v>
      </c>
      <c r="N802" s="274">
        <v>0</v>
      </c>
      <c r="O802" s="274">
        <f t="shared" si="162"/>
        <v>1413679</v>
      </c>
      <c r="P802" s="274">
        <v>0</v>
      </c>
      <c r="Q802" s="363">
        <f t="shared" si="163"/>
        <v>3023.9122994652407</v>
      </c>
      <c r="R802" s="275">
        <v>7920</v>
      </c>
      <c r="S802" s="276">
        <v>43465</v>
      </c>
    </row>
    <row r="803" spans="1:30" s="1" customFormat="1" ht="31.5">
      <c r="A803" s="268">
        <f t="shared" si="164"/>
        <v>7</v>
      </c>
      <c r="B803" s="371" t="s">
        <v>545</v>
      </c>
      <c r="C803" s="361">
        <v>1988</v>
      </c>
      <c r="D803" s="271"/>
      <c r="E803" s="271" t="s">
        <v>218</v>
      </c>
      <c r="F803" s="372">
        <v>5</v>
      </c>
      <c r="G803" s="372">
        <v>4</v>
      </c>
      <c r="H803" s="373">
        <v>4793</v>
      </c>
      <c r="I803" s="373">
        <v>4322.3999999999996</v>
      </c>
      <c r="J803" s="363">
        <v>4162.7</v>
      </c>
      <c r="K803" s="364">
        <v>165</v>
      </c>
      <c r="L803" s="274">
        <v>3624132</v>
      </c>
      <c r="M803" s="274">
        <v>0</v>
      </c>
      <c r="N803" s="274">
        <v>0</v>
      </c>
      <c r="O803" s="274">
        <f t="shared" si="162"/>
        <v>3624132</v>
      </c>
      <c r="P803" s="274">
        <v>0</v>
      </c>
      <c r="Q803" s="363">
        <f t="shared" si="163"/>
        <v>838.45363686840653</v>
      </c>
      <c r="R803" s="275">
        <v>7920</v>
      </c>
      <c r="S803" s="276">
        <v>43465</v>
      </c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</row>
    <row r="804" spans="1:30" s="36" customFormat="1" ht="31.5">
      <c r="A804" s="268">
        <f t="shared" si="164"/>
        <v>8</v>
      </c>
      <c r="B804" s="371" t="s">
        <v>546</v>
      </c>
      <c r="C804" s="361">
        <v>1974</v>
      </c>
      <c r="D804" s="271"/>
      <c r="E804" s="271" t="s">
        <v>218</v>
      </c>
      <c r="F804" s="372">
        <v>5</v>
      </c>
      <c r="G804" s="372">
        <v>4</v>
      </c>
      <c r="H804" s="373">
        <v>3418.1</v>
      </c>
      <c r="I804" s="373">
        <f>2529+648</f>
        <v>3177</v>
      </c>
      <c r="J804" s="363">
        <v>3133.4</v>
      </c>
      <c r="K804" s="364">
        <v>103</v>
      </c>
      <c r="L804" s="274">
        <v>3091007</v>
      </c>
      <c r="M804" s="274">
        <v>0</v>
      </c>
      <c r="N804" s="274">
        <v>0</v>
      </c>
      <c r="O804" s="274">
        <f t="shared" si="162"/>
        <v>3091007</v>
      </c>
      <c r="P804" s="274">
        <v>0</v>
      </c>
      <c r="Q804" s="363">
        <f t="shared" si="163"/>
        <v>972.93264085615363</v>
      </c>
      <c r="R804" s="275">
        <v>7920</v>
      </c>
      <c r="S804" s="276">
        <v>43465</v>
      </c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</row>
    <row r="805" spans="1:30" s="37" customFormat="1" ht="31.5">
      <c r="A805" s="268">
        <f t="shared" si="164"/>
        <v>9</v>
      </c>
      <c r="B805" s="371" t="s">
        <v>547</v>
      </c>
      <c r="C805" s="361">
        <v>1956</v>
      </c>
      <c r="D805" s="271"/>
      <c r="E805" s="271" t="s">
        <v>218</v>
      </c>
      <c r="F805" s="372">
        <v>2</v>
      </c>
      <c r="G805" s="372">
        <v>2</v>
      </c>
      <c r="H805" s="373">
        <v>653.79999999999995</v>
      </c>
      <c r="I805" s="373">
        <v>604.29999999999995</v>
      </c>
      <c r="J805" s="363">
        <v>602.5</v>
      </c>
      <c r="K805" s="364">
        <v>27</v>
      </c>
      <c r="L805" s="274">
        <v>1720037</v>
      </c>
      <c r="M805" s="274">
        <v>0</v>
      </c>
      <c r="N805" s="274">
        <v>0</v>
      </c>
      <c r="O805" s="274">
        <f t="shared" si="162"/>
        <v>1720037</v>
      </c>
      <c r="P805" s="274">
        <v>0</v>
      </c>
      <c r="Q805" s="363">
        <f t="shared" si="163"/>
        <v>2846.32963759722</v>
      </c>
      <c r="R805" s="275">
        <v>7920</v>
      </c>
      <c r="S805" s="276">
        <v>43465</v>
      </c>
      <c r="T805" s="36"/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</row>
    <row r="806" spans="1:30" s="37" customFormat="1" ht="15.75">
      <c r="A806" s="328"/>
      <c r="B806" s="366"/>
      <c r="C806" s="331"/>
      <c r="D806" s="331"/>
      <c r="E806" s="331"/>
      <c r="F806" s="367"/>
      <c r="G806" s="367"/>
      <c r="H806" s="368"/>
      <c r="I806" s="368"/>
      <c r="J806" s="368"/>
      <c r="K806" s="369"/>
      <c r="L806" s="370"/>
      <c r="M806" s="274"/>
      <c r="N806" s="274"/>
      <c r="O806" s="274"/>
      <c r="P806" s="274"/>
      <c r="Q806" s="363"/>
      <c r="R806" s="275"/>
      <c r="S806" s="276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s="37" customFormat="1" ht="15.75">
      <c r="A807" s="268"/>
      <c r="B807" s="360"/>
      <c r="C807" s="271"/>
      <c r="D807" s="271"/>
      <c r="E807" s="271"/>
      <c r="F807" s="361"/>
      <c r="G807" s="361"/>
      <c r="H807" s="362"/>
      <c r="I807" s="363"/>
      <c r="J807" s="363"/>
      <c r="K807" s="364"/>
      <c r="L807" s="274"/>
      <c r="M807" s="274"/>
      <c r="N807" s="274"/>
      <c r="O807" s="274"/>
      <c r="P807" s="274"/>
      <c r="Q807" s="363"/>
      <c r="R807" s="275"/>
      <c r="S807" s="276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s="37" customFormat="1" ht="15.75">
      <c r="A808" s="268"/>
      <c r="B808" s="365"/>
      <c r="C808" s="271"/>
      <c r="D808" s="271"/>
      <c r="E808" s="271"/>
      <c r="F808" s="361"/>
      <c r="G808" s="361"/>
      <c r="H808" s="362"/>
      <c r="I808" s="363"/>
      <c r="J808" s="363"/>
      <c r="K808" s="364"/>
      <c r="L808" s="274"/>
      <c r="M808" s="274"/>
      <c r="N808" s="274"/>
      <c r="O808" s="274"/>
      <c r="P808" s="274"/>
      <c r="Q808" s="363"/>
      <c r="R808" s="275"/>
      <c r="S808" s="276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s="1" customFormat="1" ht="15.75">
      <c r="A809" s="268"/>
      <c r="B809" s="1120" t="s">
        <v>123</v>
      </c>
      <c r="C809" s="1120"/>
      <c r="D809" s="1120"/>
      <c r="E809" s="1120"/>
      <c r="F809" s="1120"/>
      <c r="G809" s="1120"/>
      <c r="H809" s="291">
        <f>SUM(H810:H814)</f>
        <v>26975.9</v>
      </c>
      <c r="I809" s="291">
        <f t="shared" ref="I809:P809" si="165">SUM(I810:I814)</f>
        <v>18734.5</v>
      </c>
      <c r="J809" s="291">
        <f t="shared" si="165"/>
        <v>11535.880000000001</v>
      </c>
      <c r="K809" s="291">
        <f t="shared" si="165"/>
        <v>1039</v>
      </c>
      <c r="L809" s="597">
        <f t="shared" si="165"/>
        <v>12904489</v>
      </c>
      <c r="M809" s="597">
        <f t="shared" si="165"/>
        <v>0</v>
      </c>
      <c r="N809" s="597">
        <f t="shared" si="165"/>
        <v>0</v>
      </c>
      <c r="O809" s="597">
        <f t="shared" si="165"/>
        <v>12904489</v>
      </c>
      <c r="P809" s="597">
        <f t="shared" si="165"/>
        <v>0</v>
      </c>
      <c r="Q809" s="293" t="s">
        <v>40</v>
      </c>
      <c r="R809" s="290" t="s">
        <v>40</v>
      </c>
      <c r="S809" s="276">
        <v>43465</v>
      </c>
    </row>
    <row r="810" spans="1:30" s="1" customFormat="1" ht="23.45" customHeight="1">
      <c r="A810" s="268">
        <f>A808+1</f>
        <v>1</v>
      </c>
      <c r="B810" s="311" t="s">
        <v>736</v>
      </c>
      <c r="C810" s="322">
        <v>1967</v>
      </c>
      <c r="D810" s="322"/>
      <c r="E810" s="271" t="s">
        <v>219</v>
      </c>
      <c r="F810" s="290">
        <v>5</v>
      </c>
      <c r="G810" s="290">
        <v>5</v>
      </c>
      <c r="H810" s="291">
        <v>4774.3999999999996</v>
      </c>
      <c r="I810" s="290">
        <v>3076.1</v>
      </c>
      <c r="J810" s="290">
        <v>1777.99</v>
      </c>
      <c r="K810" s="325">
        <v>167</v>
      </c>
      <c r="L810" s="274">
        <v>2291418</v>
      </c>
      <c r="M810" s="274">
        <f>SUM(M811:M824)</f>
        <v>0</v>
      </c>
      <c r="N810" s="274">
        <v>0</v>
      </c>
      <c r="O810" s="274">
        <f>L810</f>
        <v>2291418</v>
      </c>
      <c r="P810" s="274">
        <v>0</v>
      </c>
      <c r="Q810" s="293">
        <f t="shared" ref="Q810:Q824" si="166">L810/I810</f>
        <v>744.91011345534935</v>
      </c>
      <c r="R810" s="275">
        <v>7920</v>
      </c>
      <c r="S810" s="276">
        <v>43465</v>
      </c>
    </row>
    <row r="811" spans="1:30" s="1" customFormat="1" ht="19.149999999999999" customHeight="1">
      <c r="A811" s="268">
        <f>A810+1</f>
        <v>2</v>
      </c>
      <c r="B811" s="311" t="s">
        <v>737</v>
      </c>
      <c r="C811" s="322">
        <v>1968</v>
      </c>
      <c r="D811" s="322"/>
      <c r="E811" s="271" t="s">
        <v>219</v>
      </c>
      <c r="F811" s="290">
        <v>5</v>
      </c>
      <c r="G811" s="290">
        <v>6</v>
      </c>
      <c r="H811" s="291">
        <v>5788.6</v>
      </c>
      <c r="I811" s="290">
        <v>4355.8</v>
      </c>
      <c r="J811" s="290">
        <v>2217.1</v>
      </c>
      <c r="K811" s="325">
        <v>263</v>
      </c>
      <c r="L811" s="274">
        <v>3059197</v>
      </c>
      <c r="M811" s="274">
        <f>SUM(M812:M825)</f>
        <v>0</v>
      </c>
      <c r="N811" s="274">
        <v>0</v>
      </c>
      <c r="O811" s="274">
        <f>L811</f>
        <v>3059197</v>
      </c>
      <c r="P811" s="274">
        <v>0</v>
      </c>
      <c r="Q811" s="293">
        <f t="shared" si="166"/>
        <v>702.32724183846824</v>
      </c>
      <c r="R811" s="275">
        <v>7920</v>
      </c>
      <c r="S811" s="276">
        <v>43465</v>
      </c>
    </row>
    <row r="812" spans="1:30" s="1" customFormat="1" ht="21.6" customHeight="1">
      <c r="A812" s="268">
        <f>A811+1</f>
        <v>3</v>
      </c>
      <c r="B812" s="311" t="s">
        <v>738</v>
      </c>
      <c r="C812" s="322">
        <v>1975</v>
      </c>
      <c r="D812" s="290"/>
      <c r="E812" s="271" t="s">
        <v>219</v>
      </c>
      <c r="F812" s="290">
        <v>5</v>
      </c>
      <c r="G812" s="290">
        <v>5</v>
      </c>
      <c r="H812" s="291">
        <v>5315.1</v>
      </c>
      <c r="I812" s="290">
        <v>3456.7</v>
      </c>
      <c r="J812" s="290">
        <v>2288.34</v>
      </c>
      <c r="K812" s="325">
        <v>175</v>
      </c>
      <c r="L812" s="274">
        <v>2247330</v>
      </c>
      <c r="M812" s="274">
        <f>SUM(M813:M826)</f>
        <v>0</v>
      </c>
      <c r="N812" s="274">
        <v>0</v>
      </c>
      <c r="O812" s="274">
        <f>L812</f>
        <v>2247330</v>
      </c>
      <c r="P812" s="274">
        <v>0</v>
      </c>
      <c r="Q812" s="293">
        <f t="shared" si="166"/>
        <v>650.13741429687275</v>
      </c>
      <c r="R812" s="275">
        <v>7920</v>
      </c>
      <c r="S812" s="276">
        <v>43465</v>
      </c>
    </row>
    <row r="813" spans="1:30" s="1" customFormat="1" ht="19.149999999999999" customHeight="1">
      <c r="A813" s="268">
        <f>A812+1</f>
        <v>4</v>
      </c>
      <c r="B813" s="311" t="s">
        <v>739</v>
      </c>
      <c r="C813" s="322">
        <v>1967</v>
      </c>
      <c r="D813" s="290"/>
      <c r="E813" s="271" t="s">
        <v>219</v>
      </c>
      <c r="F813" s="290">
        <v>5</v>
      </c>
      <c r="G813" s="290">
        <v>6</v>
      </c>
      <c r="H813" s="291">
        <v>5774.2</v>
      </c>
      <c r="I813" s="290">
        <v>4340.7</v>
      </c>
      <c r="J813" s="290">
        <v>2339.63</v>
      </c>
      <c r="K813" s="325">
        <v>255</v>
      </c>
      <c r="L813" s="274">
        <v>3059179</v>
      </c>
      <c r="M813" s="274">
        <f>SUM(M814:M827)</f>
        <v>0</v>
      </c>
      <c r="N813" s="274">
        <v>0</v>
      </c>
      <c r="O813" s="274">
        <f>L813</f>
        <v>3059179</v>
      </c>
      <c r="P813" s="274">
        <v>0</v>
      </c>
      <c r="Q813" s="293">
        <f t="shared" si="166"/>
        <v>704.76628193609326</v>
      </c>
      <c r="R813" s="275">
        <v>7920</v>
      </c>
      <c r="S813" s="276">
        <v>43465</v>
      </c>
    </row>
    <row r="814" spans="1:30" s="1" customFormat="1" ht="21.6" customHeight="1">
      <c r="A814" s="268">
        <f>A813+1</f>
        <v>5</v>
      </c>
      <c r="B814" s="311" t="s">
        <v>740</v>
      </c>
      <c r="C814" s="322">
        <v>1988</v>
      </c>
      <c r="D814" s="290"/>
      <c r="E814" s="271" t="s">
        <v>219</v>
      </c>
      <c r="F814" s="290">
        <v>5</v>
      </c>
      <c r="G814" s="290">
        <v>5</v>
      </c>
      <c r="H814" s="291">
        <v>5323.6</v>
      </c>
      <c r="I814" s="290">
        <v>3505.2</v>
      </c>
      <c r="J814" s="290">
        <v>2912.82</v>
      </c>
      <c r="K814" s="325">
        <v>179</v>
      </c>
      <c r="L814" s="274">
        <v>2247365</v>
      </c>
      <c r="M814" s="274">
        <f>SUM(M815:M828)</f>
        <v>0</v>
      </c>
      <c r="N814" s="274">
        <v>0</v>
      </c>
      <c r="O814" s="274">
        <f>L814</f>
        <v>2247365</v>
      </c>
      <c r="P814" s="274">
        <v>0</v>
      </c>
      <c r="Q814" s="293">
        <f t="shared" si="166"/>
        <v>641.15171744836243</v>
      </c>
      <c r="R814" s="275">
        <v>7920</v>
      </c>
      <c r="S814" s="276">
        <v>43465</v>
      </c>
    </row>
    <row r="815" spans="1:30" s="1" customFormat="1" ht="15.75">
      <c r="A815" s="268"/>
      <c r="B815" s="311"/>
      <c r="C815" s="322"/>
      <c r="D815" s="290"/>
      <c r="E815" s="271"/>
      <c r="F815" s="290"/>
      <c r="G815" s="290"/>
      <c r="H815" s="291"/>
      <c r="I815" s="290"/>
      <c r="J815" s="290"/>
      <c r="K815" s="325"/>
      <c r="L815" s="274"/>
      <c r="M815" s="274"/>
      <c r="N815" s="274"/>
      <c r="O815" s="274"/>
      <c r="P815" s="274"/>
      <c r="Q815" s="293"/>
      <c r="R815" s="275"/>
      <c r="S815" s="276">
        <v>43465</v>
      </c>
    </row>
    <row r="816" spans="1:30" s="1" customFormat="1" ht="15.75">
      <c r="A816" s="268"/>
      <c r="B816" s="311"/>
      <c r="C816" s="568"/>
      <c r="D816" s="290"/>
      <c r="E816" s="271"/>
      <c r="F816" s="290"/>
      <c r="G816" s="290"/>
      <c r="H816" s="291"/>
      <c r="I816" s="290"/>
      <c r="J816" s="290"/>
      <c r="K816" s="325"/>
      <c r="L816" s="274"/>
      <c r="M816" s="274"/>
      <c r="N816" s="274"/>
      <c r="O816" s="274"/>
      <c r="P816" s="274"/>
      <c r="Q816" s="293"/>
      <c r="R816" s="275"/>
      <c r="S816" s="276">
        <v>43465</v>
      </c>
    </row>
    <row r="817" spans="1:19" s="1" customFormat="1" ht="15.75">
      <c r="A817" s="268"/>
      <c r="B817" s="311"/>
      <c r="C817" s="568"/>
      <c r="D817" s="290"/>
      <c r="E817" s="271"/>
      <c r="F817" s="290"/>
      <c r="G817" s="290"/>
      <c r="H817" s="291"/>
      <c r="I817" s="290"/>
      <c r="J817" s="290"/>
      <c r="K817" s="325"/>
      <c r="L817" s="274"/>
      <c r="M817" s="274"/>
      <c r="N817" s="274"/>
      <c r="O817" s="274"/>
      <c r="P817" s="274"/>
      <c r="Q817" s="293"/>
      <c r="R817" s="275"/>
      <c r="S817" s="276">
        <v>43465</v>
      </c>
    </row>
    <row r="818" spans="1:19" s="1" customFormat="1" ht="15.75">
      <c r="A818" s="268"/>
      <c r="B818" s="311"/>
      <c r="C818" s="322"/>
      <c r="D818" s="290"/>
      <c r="E818" s="271"/>
      <c r="F818" s="290"/>
      <c r="G818" s="290"/>
      <c r="H818" s="291"/>
      <c r="I818" s="290"/>
      <c r="J818" s="290"/>
      <c r="K818" s="325"/>
      <c r="L818" s="274"/>
      <c r="M818" s="274"/>
      <c r="N818" s="274"/>
      <c r="O818" s="274"/>
      <c r="P818" s="274"/>
      <c r="Q818" s="293"/>
      <c r="R818" s="275"/>
      <c r="S818" s="276">
        <v>43465</v>
      </c>
    </row>
    <row r="819" spans="1:19" s="1" customFormat="1" ht="15.75">
      <c r="A819" s="268"/>
      <c r="B819" s="311"/>
      <c r="C819" s="322"/>
      <c r="D819" s="290"/>
      <c r="E819" s="271"/>
      <c r="F819" s="290"/>
      <c r="G819" s="290"/>
      <c r="H819" s="291"/>
      <c r="I819" s="290"/>
      <c r="J819" s="290"/>
      <c r="K819" s="325"/>
      <c r="L819" s="274"/>
      <c r="M819" s="274"/>
      <c r="N819" s="274"/>
      <c r="O819" s="274"/>
      <c r="P819" s="274"/>
      <c r="Q819" s="293"/>
      <c r="R819" s="275"/>
      <c r="S819" s="276">
        <v>43465</v>
      </c>
    </row>
    <row r="820" spans="1:19" s="1" customFormat="1" ht="15.75">
      <c r="A820" s="268"/>
      <c r="B820" s="311"/>
      <c r="C820" s="322"/>
      <c r="D820" s="290"/>
      <c r="E820" s="271"/>
      <c r="F820" s="290"/>
      <c r="G820" s="290"/>
      <c r="H820" s="291"/>
      <c r="I820" s="290"/>
      <c r="J820" s="290"/>
      <c r="K820" s="325"/>
      <c r="L820" s="274"/>
      <c r="M820" s="274"/>
      <c r="N820" s="274"/>
      <c r="O820" s="274"/>
      <c r="P820" s="274"/>
      <c r="Q820" s="293"/>
      <c r="R820" s="275"/>
      <c r="S820" s="276">
        <v>43465</v>
      </c>
    </row>
    <row r="821" spans="1:19" s="1" customFormat="1" ht="15.75">
      <c r="A821" s="268"/>
      <c r="B821" s="311"/>
      <c r="C821" s="322"/>
      <c r="D821" s="290"/>
      <c r="E821" s="271"/>
      <c r="F821" s="290"/>
      <c r="G821" s="290"/>
      <c r="H821" s="291"/>
      <c r="I821" s="290"/>
      <c r="J821" s="290"/>
      <c r="K821" s="325"/>
      <c r="L821" s="274"/>
      <c r="M821" s="274"/>
      <c r="N821" s="274"/>
      <c r="O821" s="274"/>
      <c r="P821" s="274"/>
      <c r="Q821" s="293"/>
      <c r="R821" s="275"/>
      <c r="S821" s="276">
        <v>43465</v>
      </c>
    </row>
    <row r="822" spans="1:19" s="1" customFormat="1" ht="23.45" customHeight="1">
      <c r="A822" s="268"/>
      <c r="B822" s="1120" t="s">
        <v>864</v>
      </c>
      <c r="C822" s="1120"/>
      <c r="D822" s="1120"/>
      <c r="E822" s="1120"/>
      <c r="F822" s="1120"/>
      <c r="G822" s="1120"/>
      <c r="H822" s="291">
        <f>H823+H824</f>
        <v>5260.1</v>
      </c>
      <c r="I822" s="291">
        <f t="shared" ref="I822:P822" si="167">I823+I824</f>
        <v>4037.1</v>
      </c>
      <c r="J822" s="291">
        <f t="shared" si="167"/>
        <v>3675.3</v>
      </c>
      <c r="K822" s="291">
        <f t="shared" si="167"/>
        <v>160</v>
      </c>
      <c r="L822" s="597">
        <f t="shared" si="167"/>
        <v>3651703</v>
      </c>
      <c r="M822" s="597">
        <f t="shared" si="167"/>
        <v>0</v>
      </c>
      <c r="N822" s="597">
        <f t="shared" si="167"/>
        <v>0</v>
      </c>
      <c r="O822" s="597">
        <f t="shared" si="167"/>
        <v>3651703</v>
      </c>
      <c r="P822" s="597">
        <f t="shared" si="167"/>
        <v>0</v>
      </c>
      <c r="Q822" s="293" t="s">
        <v>40</v>
      </c>
      <c r="R822" s="290" t="s">
        <v>40</v>
      </c>
      <c r="S822" s="276">
        <v>43465</v>
      </c>
    </row>
    <row r="823" spans="1:19" s="1" customFormat="1" ht="31.5">
      <c r="A823" s="268"/>
      <c r="B823" s="311" t="s">
        <v>867</v>
      </c>
      <c r="C823" s="322">
        <v>1964</v>
      </c>
      <c r="D823" s="290"/>
      <c r="E823" s="271" t="s">
        <v>218</v>
      </c>
      <c r="F823" s="290">
        <v>4</v>
      </c>
      <c r="G823" s="290">
        <v>3</v>
      </c>
      <c r="H823" s="291">
        <v>2597.5</v>
      </c>
      <c r="I823" s="290">
        <v>2042</v>
      </c>
      <c r="J823" s="290">
        <v>1921.8</v>
      </c>
      <c r="K823" s="325">
        <v>82</v>
      </c>
      <c r="L823" s="274">
        <v>2505179</v>
      </c>
      <c r="M823" s="274">
        <v>0</v>
      </c>
      <c r="N823" s="274">
        <v>0</v>
      </c>
      <c r="O823" s="274">
        <v>2505179</v>
      </c>
      <c r="P823" s="274">
        <v>0</v>
      </c>
      <c r="Q823" s="293">
        <f t="shared" si="166"/>
        <v>1226.8261508325172</v>
      </c>
      <c r="R823" s="275">
        <v>7920</v>
      </c>
      <c r="S823" s="276">
        <v>43465</v>
      </c>
    </row>
    <row r="824" spans="1:19" s="1" customFormat="1" ht="31.5">
      <c r="A824" s="268"/>
      <c r="B824" s="311" t="s">
        <v>868</v>
      </c>
      <c r="C824" s="322">
        <v>1962</v>
      </c>
      <c r="D824" s="290"/>
      <c r="E824" s="271" t="s">
        <v>218</v>
      </c>
      <c r="F824" s="290">
        <v>4</v>
      </c>
      <c r="G824" s="290">
        <v>3</v>
      </c>
      <c r="H824" s="291">
        <v>2662.6</v>
      </c>
      <c r="I824" s="290">
        <v>1995.1</v>
      </c>
      <c r="J824" s="290">
        <v>1753.5</v>
      </c>
      <c r="K824" s="325">
        <v>78</v>
      </c>
      <c r="L824" s="274">
        <v>1146524</v>
      </c>
      <c r="M824" s="274">
        <v>0</v>
      </c>
      <c r="N824" s="274">
        <v>0</v>
      </c>
      <c r="O824" s="274">
        <v>1146524</v>
      </c>
      <c r="P824" s="274">
        <v>0</v>
      </c>
      <c r="Q824" s="293">
        <f t="shared" si="166"/>
        <v>574.66994135632297</v>
      </c>
      <c r="R824" s="275">
        <v>7920</v>
      </c>
      <c r="S824" s="276">
        <v>43465</v>
      </c>
    </row>
    <row r="825" spans="1:19" s="13" customFormat="1" ht="25.15" customHeight="1">
      <c r="A825" s="268"/>
      <c r="B825" s="1120" t="s">
        <v>72</v>
      </c>
      <c r="C825" s="1120"/>
      <c r="D825" s="1120"/>
      <c r="E825" s="1120"/>
      <c r="F825" s="1120"/>
      <c r="G825" s="1120"/>
      <c r="H825" s="291">
        <f>H826</f>
        <v>3267.2000000000003</v>
      </c>
      <c r="I825" s="290">
        <f t="shared" ref="I825:R825" si="168">I826</f>
        <v>2464.1</v>
      </c>
      <c r="J825" s="290">
        <f t="shared" si="168"/>
        <v>1697.4</v>
      </c>
      <c r="K825" s="292">
        <f t="shared" si="168"/>
        <v>71</v>
      </c>
      <c r="L825" s="274">
        <f t="shared" si="168"/>
        <v>4218095</v>
      </c>
      <c r="M825" s="274">
        <f t="shared" si="168"/>
        <v>0</v>
      </c>
      <c r="N825" s="274">
        <f t="shared" si="168"/>
        <v>0</v>
      </c>
      <c r="O825" s="274">
        <f t="shared" si="168"/>
        <v>4218095</v>
      </c>
      <c r="P825" s="274">
        <f t="shared" si="168"/>
        <v>0</v>
      </c>
      <c r="Q825" s="293" t="str">
        <f t="shared" si="168"/>
        <v>Х</v>
      </c>
      <c r="R825" s="290" t="str">
        <f t="shared" si="168"/>
        <v>Х</v>
      </c>
      <c r="S825" s="276">
        <v>43465</v>
      </c>
    </row>
    <row r="826" spans="1:19" s="13" customFormat="1" ht="33" customHeight="1">
      <c r="A826" s="268"/>
      <c r="B826" s="1120" t="s">
        <v>95</v>
      </c>
      <c r="C826" s="1120"/>
      <c r="D826" s="1120"/>
      <c r="E826" s="1120"/>
      <c r="F826" s="1120"/>
      <c r="G826" s="1120"/>
      <c r="H826" s="291">
        <f>SUM(H827:H828)</f>
        <v>3267.2000000000003</v>
      </c>
      <c r="I826" s="291">
        <f t="shared" ref="I826:P826" si="169">SUM(I827:I828)</f>
        <v>2464.1</v>
      </c>
      <c r="J826" s="291">
        <f t="shared" si="169"/>
        <v>1697.4</v>
      </c>
      <c r="K826" s="291">
        <f t="shared" si="169"/>
        <v>71</v>
      </c>
      <c r="L826" s="735">
        <f t="shared" si="169"/>
        <v>4218095</v>
      </c>
      <c r="M826" s="735">
        <f t="shared" si="169"/>
        <v>0</v>
      </c>
      <c r="N826" s="735">
        <f t="shared" si="169"/>
        <v>0</v>
      </c>
      <c r="O826" s="735">
        <f t="shared" si="169"/>
        <v>4218095</v>
      </c>
      <c r="P826" s="735">
        <f t="shared" si="169"/>
        <v>0</v>
      </c>
      <c r="Q826" s="293" t="s">
        <v>40</v>
      </c>
      <c r="R826" s="322" t="s">
        <v>40</v>
      </c>
      <c r="S826" s="276">
        <v>43465</v>
      </c>
    </row>
    <row r="827" spans="1:19" s="1" customFormat="1" ht="20.45" customHeight="1">
      <c r="A827" s="268" t="e">
        <f>#REF!+1</f>
        <v>#REF!</v>
      </c>
      <c r="B827" s="286" t="s">
        <v>627</v>
      </c>
      <c r="C827" s="270">
        <v>1984</v>
      </c>
      <c r="D827" s="270"/>
      <c r="E827" s="271" t="s">
        <v>220</v>
      </c>
      <c r="F827" s="270">
        <v>5</v>
      </c>
      <c r="G827" s="270">
        <v>3</v>
      </c>
      <c r="H827" s="272">
        <v>2845.8</v>
      </c>
      <c r="I827" s="270">
        <v>2090.6999999999998</v>
      </c>
      <c r="J827" s="307">
        <v>1373.7</v>
      </c>
      <c r="K827" s="273">
        <v>49</v>
      </c>
      <c r="L827" s="274">
        <v>2605488</v>
      </c>
      <c r="M827" s="274">
        <v>0</v>
      </c>
      <c r="N827" s="274">
        <v>0</v>
      </c>
      <c r="O827" s="274">
        <f>L827</f>
        <v>2605488</v>
      </c>
      <c r="P827" s="274">
        <v>0</v>
      </c>
      <c r="Q827" s="275">
        <f>L827/I827</f>
        <v>1246.2275792796672</v>
      </c>
      <c r="R827" s="540">
        <v>7920</v>
      </c>
      <c r="S827" s="276">
        <v>43465</v>
      </c>
    </row>
    <row r="828" spans="1:19" s="1" customFormat="1" ht="31.5">
      <c r="A828" s="268" t="e">
        <f>A827+1</f>
        <v>#REF!</v>
      </c>
      <c r="B828" s="286" t="s">
        <v>624</v>
      </c>
      <c r="C828" s="270">
        <v>1970</v>
      </c>
      <c r="D828" s="270"/>
      <c r="E828" s="271" t="s">
        <v>218</v>
      </c>
      <c r="F828" s="270">
        <v>2</v>
      </c>
      <c r="G828" s="270">
        <v>2</v>
      </c>
      <c r="H828" s="272">
        <v>421.4</v>
      </c>
      <c r="I828" s="270">
        <v>373.4</v>
      </c>
      <c r="J828" s="307">
        <v>323.7</v>
      </c>
      <c r="K828" s="273">
        <v>22</v>
      </c>
      <c r="L828" s="274">
        <v>1612607</v>
      </c>
      <c r="M828" s="274">
        <v>0</v>
      </c>
      <c r="N828" s="274">
        <v>0</v>
      </c>
      <c r="O828" s="274">
        <f>L828</f>
        <v>1612607</v>
      </c>
      <c r="P828" s="274">
        <v>0</v>
      </c>
      <c r="Q828" s="275">
        <f>L828/I828</f>
        <v>4318.7118371719334</v>
      </c>
      <c r="R828" s="540">
        <v>7920</v>
      </c>
      <c r="S828" s="276">
        <v>43465</v>
      </c>
    </row>
    <row r="829" spans="1:19" s="1" customFormat="1" ht="15.75">
      <c r="A829" s="268"/>
      <c r="B829" s="286"/>
      <c r="C829" s="270"/>
      <c r="D829" s="270"/>
      <c r="E829" s="271"/>
      <c r="F829" s="270"/>
      <c r="G829" s="270"/>
      <c r="H829" s="272"/>
      <c r="I829" s="270"/>
      <c r="J829" s="270"/>
      <c r="K829" s="273"/>
      <c r="L829" s="274"/>
      <c r="M829" s="274"/>
      <c r="N829" s="274"/>
      <c r="O829" s="274"/>
      <c r="P829" s="274"/>
      <c r="Q829" s="275"/>
      <c r="R829" s="275"/>
      <c r="S829" s="276"/>
    </row>
    <row r="830" spans="1:19" s="1" customFormat="1" ht="15.75">
      <c r="A830" s="268"/>
      <c r="B830" s="286"/>
      <c r="C830" s="270"/>
      <c r="D830" s="270"/>
      <c r="E830" s="271"/>
      <c r="F830" s="270"/>
      <c r="G830" s="270"/>
      <c r="H830" s="272"/>
      <c r="I830" s="270"/>
      <c r="J830" s="270"/>
      <c r="K830" s="273"/>
      <c r="L830" s="274"/>
      <c r="M830" s="274"/>
      <c r="N830" s="274"/>
      <c r="O830" s="274"/>
      <c r="P830" s="274"/>
      <c r="Q830" s="275"/>
      <c r="R830" s="275"/>
      <c r="S830" s="276"/>
    </row>
    <row r="831" spans="1:19" s="1" customFormat="1" ht="15.75">
      <c r="A831" s="268"/>
      <c r="B831" s="286"/>
      <c r="C831" s="270"/>
      <c r="D831" s="270"/>
      <c r="E831" s="271"/>
      <c r="F831" s="270"/>
      <c r="G831" s="270"/>
      <c r="H831" s="272"/>
      <c r="I831" s="270"/>
      <c r="J831" s="270"/>
      <c r="K831" s="273"/>
      <c r="L831" s="274"/>
      <c r="M831" s="274"/>
      <c r="N831" s="274"/>
      <c r="O831" s="274"/>
      <c r="P831" s="274"/>
      <c r="Q831" s="275"/>
      <c r="R831" s="275"/>
      <c r="S831" s="276"/>
    </row>
    <row r="832" spans="1:19" s="1" customFormat="1" ht="15.75">
      <c r="A832" s="268"/>
      <c r="B832" s="286"/>
      <c r="C832" s="270"/>
      <c r="D832" s="270"/>
      <c r="E832" s="271"/>
      <c r="F832" s="270"/>
      <c r="G832" s="270"/>
      <c r="H832" s="272"/>
      <c r="I832" s="270"/>
      <c r="J832" s="270"/>
      <c r="K832" s="273"/>
      <c r="L832" s="274"/>
      <c r="M832" s="274"/>
      <c r="N832" s="274"/>
      <c r="O832" s="274"/>
      <c r="P832" s="274"/>
      <c r="Q832" s="275"/>
      <c r="R832" s="275"/>
      <c r="S832" s="276"/>
    </row>
    <row r="833" spans="1:34" s="1" customFormat="1" ht="15.75">
      <c r="A833" s="268"/>
      <c r="B833" s="286"/>
      <c r="C833" s="270"/>
      <c r="D833" s="270"/>
      <c r="E833" s="271"/>
      <c r="F833" s="270"/>
      <c r="G833" s="270"/>
      <c r="H833" s="272"/>
      <c r="I833" s="270"/>
      <c r="J833" s="307"/>
      <c r="K833" s="273"/>
      <c r="L833" s="274"/>
      <c r="M833" s="274"/>
      <c r="N833" s="274"/>
      <c r="O833" s="274"/>
      <c r="P833" s="274"/>
      <c r="Q833" s="275"/>
      <c r="R833" s="275"/>
      <c r="S833" s="276"/>
    </row>
    <row r="834" spans="1:34" s="1" customFormat="1" ht="15.75" customHeight="1">
      <c r="A834" s="87"/>
      <c r="B834" s="1105" t="s">
        <v>41</v>
      </c>
      <c r="C834" s="1105"/>
      <c r="D834" s="1105"/>
      <c r="E834" s="1105"/>
      <c r="F834" s="1105"/>
      <c r="G834" s="1105"/>
      <c r="H834" s="90">
        <f>H835</f>
        <v>4403.5</v>
      </c>
      <c r="I834" s="90">
        <f t="shared" ref="I834:P834" si="170">I835</f>
        <v>3444.7999999999997</v>
      </c>
      <c r="J834" s="90">
        <f t="shared" si="170"/>
        <v>3007.7999999999997</v>
      </c>
      <c r="K834" s="91">
        <f t="shared" si="170"/>
        <v>191</v>
      </c>
      <c r="L834" s="92">
        <f t="shared" si="170"/>
        <v>9289441</v>
      </c>
      <c r="M834" s="92">
        <f t="shared" si="170"/>
        <v>0</v>
      </c>
      <c r="N834" s="92">
        <f t="shared" si="170"/>
        <v>0</v>
      </c>
      <c r="O834" s="92">
        <f t="shared" si="170"/>
        <v>9289441</v>
      </c>
      <c r="P834" s="92">
        <f t="shared" si="170"/>
        <v>0</v>
      </c>
      <c r="Q834" s="93" t="s">
        <v>40</v>
      </c>
      <c r="R834" s="105" t="s">
        <v>40</v>
      </c>
      <c r="S834" s="276">
        <v>43465</v>
      </c>
    </row>
    <row r="835" spans="1:34" s="1" customFormat="1" ht="15.75" customHeight="1">
      <c r="A835" s="87"/>
      <c r="B835" s="1106" t="s">
        <v>96</v>
      </c>
      <c r="C835" s="1106"/>
      <c r="D835" s="1105"/>
      <c r="E835" s="1105"/>
      <c r="F835" s="1106"/>
      <c r="G835" s="1106"/>
      <c r="H835" s="551">
        <f t="shared" ref="H835:P835" si="171">SUM(H836:H840)</f>
        <v>4403.5</v>
      </c>
      <c r="I835" s="551">
        <f t="shared" si="171"/>
        <v>3444.7999999999997</v>
      </c>
      <c r="J835" s="551">
        <f t="shared" si="171"/>
        <v>3007.7999999999997</v>
      </c>
      <c r="K835" s="693">
        <f t="shared" si="171"/>
        <v>191</v>
      </c>
      <c r="L835" s="580">
        <f t="shared" si="171"/>
        <v>9289441</v>
      </c>
      <c r="M835" s="92">
        <f t="shared" si="171"/>
        <v>0</v>
      </c>
      <c r="N835" s="92">
        <f t="shared" si="171"/>
        <v>0</v>
      </c>
      <c r="O835" s="92">
        <f t="shared" si="171"/>
        <v>9289441</v>
      </c>
      <c r="P835" s="92">
        <f t="shared" si="171"/>
        <v>0</v>
      </c>
      <c r="Q835" s="93" t="s">
        <v>40</v>
      </c>
      <c r="R835" s="105" t="s">
        <v>40</v>
      </c>
      <c r="S835" s="276">
        <v>43465</v>
      </c>
    </row>
    <row r="836" spans="1:34" s="1" customFormat="1" ht="31.5">
      <c r="A836" s="554">
        <f>A833+1</f>
        <v>1</v>
      </c>
      <c r="B836" s="691" t="s">
        <v>825</v>
      </c>
      <c r="C836" s="686">
        <v>1969</v>
      </c>
      <c r="D836" s="679"/>
      <c r="E836" s="534" t="s">
        <v>218</v>
      </c>
      <c r="F836" s="686">
        <v>4</v>
      </c>
      <c r="G836" s="686">
        <v>3</v>
      </c>
      <c r="H836" s="684">
        <v>1913.2</v>
      </c>
      <c r="I836" s="684">
        <v>1395.6</v>
      </c>
      <c r="J836" s="684">
        <f>I836-118.1</f>
        <v>1277.5</v>
      </c>
      <c r="K836" s="686">
        <v>84</v>
      </c>
      <c r="L836" s="690">
        <v>1058186</v>
      </c>
      <c r="M836" s="578">
        <v>0</v>
      </c>
      <c r="N836" s="92">
        <v>0</v>
      </c>
      <c r="O836" s="92">
        <f>L836</f>
        <v>1058186</v>
      </c>
      <c r="P836" s="92">
        <v>0</v>
      </c>
      <c r="Q836" s="93">
        <f>L836/I836</f>
        <v>758.23015190599028</v>
      </c>
      <c r="R836" s="93">
        <v>7920</v>
      </c>
      <c r="S836" s="276">
        <v>43465</v>
      </c>
    </row>
    <row r="837" spans="1:34" s="1" customFormat="1" ht="31.5">
      <c r="A837" s="554">
        <f>A836+1</f>
        <v>2</v>
      </c>
      <c r="B837" s="692" t="s">
        <v>826</v>
      </c>
      <c r="C837" s="686">
        <v>1957</v>
      </c>
      <c r="D837" s="679"/>
      <c r="E837" s="534" t="s">
        <v>830</v>
      </c>
      <c r="F837" s="686">
        <v>2</v>
      </c>
      <c r="G837" s="686">
        <v>2</v>
      </c>
      <c r="H837" s="684">
        <v>426.8</v>
      </c>
      <c r="I837" s="684">
        <v>395</v>
      </c>
      <c r="J837" s="684">
        <f>I837-95.1</f>
        <v>299.89999999999998</v>
      </c>
      <c r="K837" s="686">
        <v>20</v>
      </c>
      <c r="L837" s="690">
        <v>1264714</v>
      </c>
      <c r="M837" s="578">
        <v>0</v>
      </c>
      <c r="N837" s="92">
        <v>0</v>
      </c>
      <c r="O837" s="92">
        <f>L837</f>
        <v>1264714</v>
      </c>
      <c r="P837" s="92">
        <v>0</v>
      </c>
      <c r="Q837" s="93">
        <f>L837/I837</f>
        <v>3201.8075949367089</v>
      </c>
      <c r="R837" s="93">
        <v>7920</v>
      </c>
      <c r="S837" s="276">
        <v>43465</v>
      </c>
    </row>
    <row r="838" spans="1:34" s="1" customFormat="1" ht="31.5">
      <c r="A838" s="554">
        <f>A837+1</f>
        <v>3</v>
      </c>
      <c r="B838" s="691" t="s">
        <v>827</v>
      </c>
      <c r="C838" s="686">
        <v>1956</v>
      </c>
      <c r="D838" s="679"/>
      <c r="E838" s="534" t="s">
        <v>218</v>
      </c>
      <c r="F838" s="686">
        <v>2</v>
      </c>
      <c r="G838" s="686">
        <v>1</v>
      </c>
      <c r="H838" s="684">
        <v>960</v>
      </c>
      <c r="I838" s="684">
        <v>572.1</v>
      </c>
      <c r="J838" s="684">
        <f>I838-196.3</f>
        <v>375.8</v>
      </c>
      <c r="K838" s="686">
        <v>40</v>
      </c>
      <c r="L838" s="690">
        <v>3274864</v>
      </c>
      <c r="M838" s="578">
        <v>0</v>
      </c>
      <c r="N838" s="92">
        <v>0</v>
      </c>
      <c r="O838" s="92">
        <f>L838</f>
        <v>3274864</v>
      </c>
      <c r="P838" s="92">
        <v>0</v>
      </c>
      <c r="Q838" s="93">
        <f>L838/I838</f>
        <v>5724.285963992309</v>
      </c>
      <c r="R838" s="93">
        <v>7920</v>
      </c>
      <c r="S838" s="276">
        <v>43465</v>
      </c>
    </row>
    <row r="839" spans="1:34" s="1" customFormat="1" ht="31.5">
      <c r="A839" s="554">
        <f>A838+1</f>
        <v>4</v>
      </c>
      <c r="B839" s="691" t="s">
        <v>828</v>
      </c>
      <c r="C839" s="686">
        <v>1952</v>
      </c>
      <c r="D839" s="679"/>
      <c r="E839" s="534" t="s">
        <v>218</v>
      </c>
      <c r="F839" s="686">
        <v>2</v>
      </c>
      <c r="G839" s="686">
        <v>2</v>
      </c>
      <c r="H839" s="684">
        <v>715.8</v>
      </c>
      <c r="I839" s="684">
        <v>712</v>
      </c>
      <c r="J839" s="684">
        <f>I839-27.5</f>
        <v>684.5</v>
      </c>
      <c r="K839" s="686">
        <v>32</v>
      </c>
      <c r="L839" s="690">
        <v>2082655</v>
      </c>
      <c r="M839" s="578">
        <v>0</v>
      </c>
      <c r="N839" s="92">
        <v>0</v>
      </c>
      <c r="O839" s="92">
        <f>L839</f>
        <v>2082655</v>
      </c>
      <c r="P839" s="92">
        <v>0</v>
      </c>
      <c r="Q839" s="93">
        <f>L839/I839</f>
        <v>2925.0772471910113</v>
      </c>
      <c r="R839" s="93">
        <v>7920</v>
      </c>
      <c r="S839" s="276">
        <v>43465</v>
      </c>
    </row>
    <row r="840" spans="1:34" s="1" customFormat="1" ht="31.5">
      <c r="A840" s="554">
        <f>A839+1</f>
        <v>5</v>
      </c>
      <c r="B840" s="691" t="s">
        <v>829</v>
      </c>
      <c r="C840" s="686">
        <v>1949</v>
      </c>
      <c r="D840" s="679"/>
      <c r="E840" s="534" t="s">
        <v>218</v>
      </c>
      <c r="F840" s="686">
        <v>2</v>
      </c>
      <c r="G840" s="686">
        <v>1</v>
      </c>
      <c r="H840" s="684">
        <v>387.7</v>
      </c>
      <c r="I840" s="684">
        <v>370.1</v>
      </c>
      <c r="J840" s="684">
        <f>I840</f>
        <v>370.1</v>
      </c>
      <c r="K840" s="686">
        <v>15</v>
      </c>
      <c r="L840" s="690">
        <v>1609022</v>
      </c>
      <c r="M840" s="578">
        <v>0</v>
      </c>
      <c r="N840" s="92">
        <v>0</v>
      </c>
      <c r="O840" s="92">
        <f>L840</f>
        <v>1609022</v>
      </c>
      <c r="P840" s="92">
        <v>0</v>
      </c>
      <c r="Q840" s="93">
        <f>L840/I840</f>
        <v>4347.5330991623887</v>
      </c>
      <c r="R840" s="93">
        <v>7920</v>
      </c>
      <c r="S840" s="276">
        <v>43465</v>
      </c>
    </row>
    <row r="841" spans="1:34" s="1" customFormat="1" ht="15.75">
      <c r="A841" s="87"/>
      <c r="B841" s="1107" t="s">
        <v>68</v>
      </c>
      <c r="C841" s="1107"/>
      <c r="D841" s="1066"/>
      <c r="E841" s="1066"/>
      <c r="F841" s="1107"/>
      <c r="G841" s="1107"/>
      <c r="H841" s="682">
        <f>H842</f>
        <v>285.2</v>
      </c>
      <c r="I841" s="683">
        <f t="shared" ref="I841:P842" si="172">I842</f>
        <v>266</v>
      </c>
      <c r="J841" s="683">
        <f t="shared" si="172"/>
        <v>153.9</v>
      </c>
      <c r="K841" s="694">
        <f t="shared" si="172"/>
        <v>13</v>
      </c>
      <c r="L841" s="688">
        <f t="shared" si="172"/>
        <v>443001</v>
      </c>
      <c r="M841" s="92">
        <f t="shared" si="172"/>
        <v>0</v>
      </c>
      <c r="N841" s="92">
        <f t="shared" si="172"/>
        <v>0</v>
      </c>
      <c r="O841" s="92">
        <f t="shared" si="172"/>
        <v>443001</v>
      </c>
      <c r="P841" s="92">
        <f t="shared" si="172"/>
        <v>0</v>
      </c>
      <c r="Q841" s="86" t="s">
        <v>40</v>
      </c>
      <c r="R841" s="86" t="s">
        <v>40</v>
      </c>
      <c r="S841" s="276">
        <v>43465</v>
      </c>
    </row>
    <row r="842" spans="1:34" s="1" customFormat="1" ht="15.75" customHeight="1">
      <c r="A842" s="87"/>
      <c r="B842" s="1068" t="s">
        <v>97</v>
      </c>
      <c r="C842" s="1068"/>
      <c r="D842" s="1068"/>
      <c r="E842" s="1068"/>
      <c r="F842" s="1068"/>
      <c r="G842" s="1068"/>
      <c r="H842" s="107">
        <f>H843</f>
        <v>285.2</v>
      </c>
      <c r="I842" s="86">
        <f t="shared" si="172"/>
        <v>266</v>
      </c>
      <c r="J842" s="86">
        <f t="shared" si="172"/>
        <v>153.9</v>
      </c>
      <c r="K842" s="98">
        <f t="shared" si="172"/>
        <v>13</v>
      </c>
      <c r="L842" s="92">
        <f t="shared" si="172"/>
        <v>443001</v>
      </c>
      <c r="M842" s="92">
        <f t="shared" si="172"/>
        <v>0</v>
      </c>
      <c r="N842" s="92">
        <f t="shared" si="172"/>
        <v>0</v>
      </c>
      <c r="O842" s="92">
        <f t="shared" si="172"/>
        <v>443001</v>
      </c>
      <c r="P842" s="92">
        <f t="shared" si="172"/>
        <v>0</v>
      </c>
      <c r="Q842" s="86" t="s">
        <v>40</v>
      </c>
      <c r="R842" s="86" t="s">
        <v>40</v>
      </c>
      <c r="S842" s="276">
        <v>43465</v>
      </c>
    </row>
    <row r="843" spans="1:34" s="1" customFormat="1" ht="31.5">
      <c r="A843" s="268"/>
      <c r="B843" s="311" t="s">
        <v>769</v>
      </c>
      <c r="C843" s="290">
        <v>1930</v>
      </c>
      <c r="D843" s="290"/>
      <c r="E843" s="271" t="s">
        <v>218</v>
      </c>
      <c r="F843" s="290">
        <v>2</v>
      </c>
      <c r="G843" s="290">
        <v>1</v>
      </c>
      <c r="H843" s="291">
        <v>285.2</v>
      </c>
      <c r="I843" s="293">
        <v>266</v>
      </c>
      <c r="J843" s="293">
        <v>153.9</v>
      </c>
      <c r="K843" s="292">
        <v>13</v>
      </c>
      <c r="L843" s="274">
        <v>443001</v>
      </c>
      <c r="M843" s="274">
        <v>0</v>
      </c>
      <c r="N843" s="274">
        <v>0</v>
      </c>
      <c r="O843" s="274">
        <v>443001</v>
      </c>
      <c r="P843" s="274">
        <v>0</v>
      </c>
      <c r="Q843" s="275">
        <f>L843/I843</f>
        <v>1665.4172932330828</v>
      </c>
      <c r="R843" s="275">
        <v>7920</v>
      </c>
      <c r="S843" s="276">
        <v>43465</v>
      </c>
    </row>
    <row r="844" spans="1:34" s="13" customFormat="1" ht="15.75">
      <c r="A844" s="87"/>
      <c r="B844" s="1066" t="s">
        <v>43</v>
      </c>
      <c r="C844" s="1066"/>
      <c r="D844" s="1066"/>
      <c r="E844" s="1066"/>
      <c r="F844" s="1066"/>
      <c r="G844" s="1066"/>
      <c r="H844" s="86">
        <f t="shared" ref="H844:P844" si="173">H845+H860</f>
        <v>23164.559999999998</v>
      </c>
      <c r="I844" s="86">
        <f t="shared" si="173"/>
        <v>21134.959999999999</v>
      </c>
      <c r="J844" s="86">
        <f t="shared" si="173"/>
        <v>19251.09</v>
      </c>
      <c r="K844" s="98">
        <f t="shared" si="173"/>
        <v>853</v>
      </c>
      <c r="L844" s="92">
        <f t="shared" si="173"/>
        <v>23032470</v>
      </c>
      <c r="M844" s="92">
        <f t="shared" si="173"/>
        <v>0</v>
      </c>
      <c r="N844" s="92">
        <f t="shared" si="173"/>
        <v>1400000</v>
      </c>
      <c r="O844" s="92">
        <f t="shared" si="173"/>
        <v>21632470</v>
      </c>
      <c r="P844" s="92">
        <f t="shared" si="173"/>
        <v>0</v>
      </c>
      <c r="Q844" s="86" t="s">
        <v>40</v>
      </c>
      <c r="R844" s="86" t="s">
        <v>40</v>
      </c>
      <c r="S844" s="276">
        <v>43465</v>
      </c>
    </row>
    <row r="845" spans="1:34" s="1" customFormat="1" ht="15.75" customHeight="1">
      <c r="A845" s="87"/>
      <c r="B845" s="1068" t="s">
        <v>125</v>
      </c>
      <c r="C845" s="1068"/>
      <c r="D845" s="1068"/>
      <c r="E845" s="1068"/>
      <c r="F845" s="1068"/>
      <c r="G845" s="1068"/>
      <c r="H845" s="107">
        <f t="shared" ref="H845:M845" si="174">SUM(H846:H859)</f>
        <v>20106.559999999998</v>
      </c>
      <c r="I845" s="86">
        <f t="shared" si="174"/>
        <v>18426.259999999998</v>
      </c>
      <c r="J845" s="86">
        <f t="shared" si="174"/>
        <v>16665.189999999999</v>
      </c>
      <c r="K845" s="98">
        <f t="shared" si="174"/>
        <v>735</v>
      </c>
      <c r="L845" s="92">
        <f t="shared" si="174"/>
        <v>20696312</v>
      </c>
      <c r="M845" s="92">
        <f t="shared" si="174"/>
        <v>0</v>
      </c>
      <c r="N845" s="92">
        <f>SUM(N846:N859)</f>
        <v>0</v>
      </c>
      <c r="O845" s="92">
        <f>SUM(O846:O859)</f>
        <v>20696312</v>
      </c>
      <c r="P845" s="92">
        <f>SUM(P846:P862)</f>
        <v>0</v>
      </c>
      <c r="Q845" s="86" t="s">
        <v>40</v>
      </c>
      <c r="R845" s="86" t="s">
        <v>40</v>
      </c>
      <c r="S845" s="276">
        <v>43465</v>
      </c>
    </row>
    <row r="846" spans="1:34" s="32" customFormat="1" ht="15.75">
      <c r="A846" s="87">
        <f>A843+1</f>
        <v>1</v>
      </c>
      <c r="B846" s="109" t="s">
        <v>405</v>
      </c>
      <c r="C846" s="110">
        <v>1979</v>
      </c>
      <c r="D846" s="111"/>
      <c r="E846" s="89" t="s">
        <v>219</v>
      </c>
      <c r="F846" s="110">
        <v>5</v>
      </c>
      <c r="G846" s="110">
        <v>6</v>
      </c>
      <c r="H846" s="112">
        <v>4364.1000000000004</v>
      </c>
      <c r="I846" s="110">
        <v>3933.3</v>
      </c>
      <c r="J846" s="110">
        <v>3786.33</v>
      </c>
      <c r="K846" s="102">
        <v>163</v>
      </c>
      <c r="L846" s="92">
        <v>2301804</v>
      </c>
      <c r="M846" s="92">
        <v>0</v>
      </c>
      <c r="N846" s="92">
        <v>0</v>
      </c>
      <c r="O846" s="92">
        <f t="shared" ref="O846:O859" si="175">L846</f>
        <v>2301804</v>
      </c>
      <c r="P846" s="92">
        <v>0</v>
      </c>
      <c r="Q846" s="113">
        <f>L846/I846</f>
        <v>585.2093661810693</v>
      </c>
      <c r="R846" s="93">
        <v>6774</v>
      </c>
      <c r="S846" s="276">
        <v>43465</v>
      </c>
      <c r="T846" s="33"/>
      <c r="U846" s="33"/>
      <c r="V846" s="33"/>
      <c r="W846" s="33"/>
      <c r="X846" s="33"/>
      <c r="Y846" s="33"/>
      <c r="Z846" s="33"/>
      <c r="AA846" s="33"/>
      <c r="AB846" s="33"/>
      <c r="AC846" s="33"/>
      <c r="AD846" s="33"/>
      <c r="AE846" s="33"/>
      <c r="AF846" s="33"/>
      <c r="AG846" s="33"/>
      <c r="AH846" s="33"/>
    </row>
    <row r="847" spans="1:34" s="33" customFormat="1" ht="31.5">
      <c r="A847" s="87">
        <f t="shared" ref="A847:A859" si="176">A846+1</f>
        <v>2</v>
      </c>
      <c r="B847" s="99" t="s">
        <v>393</v>
      </c>
      <c r="C847" s="89">
        <v>1976</v>
      </c>
      <c r="D847" s="89"/>
      <c r="E847" s="89" t="s">
        <v>218</v>
      </c>
      <c r="F847" s="114">
        <v>5</v>
      </c>
      <c r="G847" s="89">
        <v>6</v>
      </c>
      <c r="H847" s="115">
        <v>4869.8</v>
      </c>
      <c r="I847" s="113">
        <v>4494.8</v>
      </c>
      <c r="J847" s="113">
        <v>3910.1</v>
      </c>
      <c r="K847" s="116">
        <v>161</v>
      </c>
      <c r="L847" s="92">
        <v>1743478</v>
      </c>
      <c r="M847" s="92">
        <v>0</v>
      </c>
      <c r="N847" s="92">
        <v>0</v>
      </c>
      <c r="O847" s="92">
        <f t="shared" si="175"/>
        <v>1743478</v>
      </c>
      <c r="P847" s="92">
        <v>0</v>
      </c>
      <c r="Q847" s="117">
        <f>L847/I847</f>
        <v>387.88778143632641</v>
      </c>
      <c r="R847" s="82">
        <v>6774</v>
      </c>
      <c r="S847" s="276">
        <v>43465</v>
      </c>
      <c r="T847" s="32"/>
      <c r="U847" s="32"/>
      <c r="V847" s="32"/>
      <c r="W847" s="32"/>
      <c r="X847" s="32"/>
      <c r="Y847" s="32"/>
      <c r="Z847" s="32"/>
      <c r="AA847" s="32"/>
      <c r="AB847" s="32"/>
      <c r="AC847" s="32"/>
      <c r="AD847" s="32"/>
      <c r="AE847" s="32"/>
      <c r="AF847" s="32"/>
      <c r="AG847" s="32"/>
      <c r="AH847" s="32"/>
    </row>
    <row r="848" spans="1:34" s="33" customFormat="1" ht="31.5">
      <c r="A848" s="87">
        <f t="shared" si="176"/>
        <v>3</v>
      </c>
      <c r="B848" s="118" t="s">
        <v>406</v>
      </c>
      <c r="C848" s="111">
        <v>2005</v>
      </c>
      <c r="D848" s="111"/>
      <c r="E848" s="89" t="s">
        <v>218</v>
      </c>
      <c r="F848" s="110">
        <v>2</v>
      </c>
      <c r="G848" s="110">
        <v>2</v>
      </c>
      <c r="H848" s="112">
        <v>2170.6999999999998</v>
      </c>
      <c r="I848" s="104">
        <v>1890.5</v>
      </c>
      <c r="J848" s="104">
        <v>1756.6</v>
      </c>
      <c r="K848" s="102">
        <v>72</v>
      </c>
      <c r="L848" s="92">
        <v>2485001</v>
      </c>
      <c r="M848" s="92">
        <v>0</v>
      </c>
      <c r="N848" s="92">
        <v>0</v>
      </c>
      <c r="O848" s="92">
        <f t="shared" si="175"/>
        <v>2485001</v>
      </c>
      <c r="P848" s="92">
        <v>0</v>
      </c>
      <c r="Q848" s="105">
        <f>L848/I848</f>
        <v>1314.4676011637132</v>
      </c>
      <c r="R848" s="93">
        <v>6774</v>
      </c>
      <c r="S848" s="276">
        <v>43465</v>
      </c>
    </row>
    <row r="849" spans="1:34" s="33" customFormat="1" ht="31.5">
      <c r="A849" s="87">
        <f t="shared" si="176"/>
        <v>4</v>
      </c>
      <c r="B849" s="109" t="s">
        <v>402</v>
      </c>
      <c r="C849" s="110">
        <v>1961</v>
      </c>
      <c r="D849" s="111"/>
      <c r="E849" s="89" t="s">
        <v>218</v>
      </c>
      <c r="F849" s="110">
        <v>2</v>
      </c>
      <c r="G849" s="111">
        <v>3</v>
      </c>
      <c r="H849" s="119">
        <v>662.8</v>
      </c>
      <c r="I849" s="104">
        <v>612.6</v>
      </c>
      <c r="J849" s="104">
        <v>517</v>
      </c>
      <c r="K849" s="120">
        <v>32</v>
      </c>
      <c r="L849" s="92">
        <v>1237591</v>
      </c>
      <c r="M849" s="92">
        <v>0</v>
      </c>
      <c r="N849" s="92">
        <v>0</v>
      </c>
      <c r="O849" s="92">
        <f t="shared" si="175"/>
        <v>1237591</v>
      </c>
      <c r="P849" s="92">
        <v>0</v>
      </c>
      <c r="Q849" s="121">
        <f>L849/I849</f>
        <v>2020.2269017303297</v>
      </c>
      <c r="R849" s="93">
        <v>6774</v>
      </c>
      <c r="S849" s="276">
        <v>43465</v>
      </c>
    </row>
    <row r="850" spans="1:34" s="33" customFormat="1" ht="31.5">
      <c r="A850" s="87">
        <f t="shared" si="176"/>
        <v>5</v>
      </c>
      <c r="B850" s="118" t="s">
        <v>397</v>
      </c>
      <c r="C850" s="110">
        <v>1953</v>
      </c>
      <c r="D850" s="111"/>
      <c r="E850" s="89" t="s">
        <v>218</v>
      </c>
      <c r="F850" s="110">
        <v>2</v>
      </c>
      <c r="G850" s="111">
        <v>2</v>
      </c>
      <c r="H850" s="122">
        <v>470.96</v>
      </c>
      <c r="I850" s="123">
        <v>417.36</v>
      </c>
      <c r="J850" s="123">
        <v>356.76</v>
      </c>
      <c r="K850" s="120">
        <v>10</v>
      </c>
      <c r="L850" s="92">
        <v>1448078</v>
      </c>
      <c r="M850" s="92">
        <v>0</v>
      </c>
      <c r="N850" s="92">
        <v>0</v>
      </c>
      <c r="O850" s="92">
        <f t="shared" si="175"/>
        <v>1448078</v>
      </c>
      <c r="P850" s="92">
        <v>0</v>
      </c>
      <c r="Q850" s="121">
        <f>L850/I850</f>
        <v>3469.6137626988689</v>
      </c>
      <c r="R850" s="93">
        <v>6774</v>
      </c>
      <c r="S850" s="276">
        <v>43465</v>
      </c>
    </row>
    <row r="851" spans="1:34" s="33" customFormat="1" ht="31.5">
      <c r="A851" s="87">
        <f t="shared" si="176"/>
        <v>6</v>
      </c>
      <c r="B851" s="118" t="s">
        <v>398</v>
      </c>
      <c r="C851" s="110">
        <v>1954</v>
      </c>
      <c r="D851" s="111"/>
      <c r="E851" s="89" t="s">
        <v>218</v>
      </c>
      <c r="F851" s="110">
        <v>2</v>
      </c>
      <c r="G851" s="111">
        <v>2</v>
      </c>
      <c r="H851" s="119">
        <v>922.3</v>
      </c>
      <c r="I851" s="104">
        <v>862.3</v>
      </c>
      <c r="J851" s="104">
        <v>862.3</v>
      </c>
      <c r="K851" s="102">
        <v>31</v>
      </c>
      <c r="L851" s="92">
        <v>1963797</v>
      </c>
      <c r="M851" s="92">
        <v>0</v>
      </c>
      <c r="N851" s="92">
        <v>0</v>
      </c>
      <c r="O851" s="92">
        <f t="shared" si="175"/>
        <v>1963797</v>
      </c>
      <c r="P851" s="92">
        <v>0</v>
      </c>
      <c r="Q851" s="121">
        <f xml:space="preserve"> L851/I851</f>
        <v>2277.3941783601995</v>
      </c>
      <c r="R851" s="93">
        <v>6774</v>
      </c>
      <c r="S851" s="276">
        <v>43465</v>
      </c>
    </row>
    <row r="852" spans="1:34" s="33" customFormat="1" ht="31.5">
      <c r="A852" s="87">
        <f t="shared" si="176"/>
        <v>7</v>
      </c>
      <c r="B852" s="118" t="s">
        <v>399</v>
      </c>
      <c r="C852" s="110">
        <v>1961</v>
      </c>
      <c r="D852" s="111"/>
      <c r="E852" s="89" t="s">
        <v>218</v>
      </c>
      <c r="F852" s="110">
        <v>4</v>
      </c>
      <c r="G852" s="111">
        <v>4</v>
      </c>
      <c r="H852" s="112">
        <v>2386.6</v>
      </c>
      <c r="I852" s="104">
        <v>2260.4</v>
      </c>
      <c r="J852" s="104">
        <v>2024.9</v>
      </c>
      <c r="K852" s="102">
        <v>66</v>
      </c>
      <c r="L852" s="92">
        <v>2119530</v>
      </c>
      <c r="M852" s="92">
        <v>0</v>
      </c>
      <c r="N852" s="92">
        <v>0</v>
      </c>
      <c r="O852" s="92">
        <f t="shared" si="175"/>
        <v>2119530</v>
      </c>
      <c r="P852" s="92">
        <v>0</v>
      </c>
      <c r="Q852" s="121">
        <f t="shared" ref="Q852:Q859" si="177">L852/I852</f>
        <v>937.67917182799499</v>
      </c>
      <c r="R852" s="93">
        <v>6774</v>
      </c>
      <c r="S852" s="276">
        <v>43465</v>
      </c>
    </row>
    <row r="853" spans="1:34" s="33" customFormat="1" ht="31.5">
      <c r="A853" s="87">
        <f t="shared" si="176"/>
        <v>8</v>
      </c>
      <c r="B853" s="109" t="s">
        <v>403</v>
      </c>
      <c r="C853" s="110">
        <v>1956</v>
      </c>
      <c r="D853" s="111"/>
      <c r="E853" s="89" t="s">
        <v>218</v>
      </c>
      <c r="F853" s="110">
        <v>2</v>
      </c>
      <c r="G853" s="111">
        <v>2</v>
      </c>
      <c r="H853" s="124">
        <v>833.9</v>
      </c>
      <c r="I853" s="104">
        <v>785.9</v>
      </c>
      <c r="J853" s="104">
        <v>675</v>
      </c>
      <c r="K853" s="120">
        <v>32</v>
      </c>
      <c r="L853" s="92">
        <v>1098163</v>
      </c>
      <c r="M853" s="92">
        <v>0</v>
      </c>
      <c r="N853" s="92">
        <v>0</v>
      </c>
      <c r="O853" s="92">
        <f t="shared" si="175"/>
        <v>1098163</v>
      </c>
      <c r="P853" s="92">
        <v>0</v>
      </c>
      <c r="Q853" s="121">
        <f t="shared" si="177"/>
        <v>1397.3317215930781</v>
      </c>
      <c r="R853" s="93">
        <v>6774</v>
      </c>
      <c r="S853" s="276">
        <v>43465</v>
      </c>
      <c r="T853" s="34"/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  <c r="AE853" s="34"/>
      <c r="AF853" s="34"/>
      <c r="AG853" s="34"/>
      <c r="AH853" s="34"/>
    </row>
    <row r="854" spans="1:34" s="33" customFormat="1" ht="31.5">
      <c r="A854" s="87">
        <f t="shared" si="176"/>
        <v>9</v>
      </c>
      <c r="B854" s="109" t="s">
        <v>404</v>
      </c>
      <c r="C854" s="110">
        <v>1959</v>
      </c>
      <c r="D854" s="111"/>
      <c r="E854" s="89" t="s">
        <v>218</v>
      </c>
      <c r="F854" s="110">
        <v>2</v>
      </c>
      <c r="G854" s="111">
        <v>3</v>
      </c>
      <c r="H854" s="125">
        <v>640.5</v>
      </c>
      <c r="I854" s="123">
        <v>621.79999999999995</v>
      </c>
      <c r="J854" s="123">
        <v>490.9</v>
      </c>
      <c r="K854" s="120">
        <v>35</v>
      </c>
      <c r="L854" s="92">
        <v>1241309</v>
      </c>
      <c r="M854" s="92">
        <v>0</v>
      </c>
      <c r="N854" s="92">
        <v>0</v>
      </c>
      <c r="O854" s="92">
        <f t="shared" si="175"/>
        <v>1241309</v>
      </c>
      <c r="P854" s="92">
        <v>0</v>
      </c>
      <c r="Q854" s="121">
        <f t="shared" si="177"/>
        <v>1996.3155355419751</v>
      </c>
      <c r="R854" s="93">
        <v>6774</v>
      </c>
      <c r="S854" s="276">
        <v>43465</v>
      </c>
    </row>
    <row r="855" spans="1:34" s="33" customFormat="1" ht="31.5">
      <c r="A855" s="87">
        <f t="shared" si="176"/>
        <v>10</v>
      </c>
      <c r="B855" s="109" t="s">
        <v>400</v>
      </c>
      <c r="C855" s="110">
        <v>1960</v>
      </c>
      <c r="D855" s="111"/>
      <c r="E855" s="89" t="s">
        <v>218</v>
      </c>
      <c r="F855" s="110">
        <v>2</v>
      </c>
      <c r="G855" s="111">
        <v>2</v>
      </c>
      <c r="H855" s="119">
        <v>504.1</v>
      </c>
      <c r="I855" s="104">
        <v>445.3</v>
      </c>
      <c r="J855" s="104">
        <v>373.3</v>
      </c>
      <c r="K855" s="120">
        <v>24</v>
      </c>
      <c r="L855" s="92">
        <v>1041360</v>
      </c>
      <c r="M855" s="92">
        <v>0</v>
      </c>
      <c r="N855" s="92">
        <v>0</v>
      </c>
      <c r="O855" s="92">
        <f t="shared" si="175"/>
        <v>1041360</v>
      </c>
      <c r="P855" s="92">
        <v>0</v>
      </c>
      <c r="Q855" s="121">
        <f t="shared" si="177"/>
        <v>2338.5582753200088</v>
      </c>
      <c r="R855" s="93">
        <v>6774</v>
      </c>
      <c r="S855" s="276">
        <v>43465</v>
      </c>
    </row>
    <row r="856" spans="1:34" s="34" customFormat="1" ht="31.5">
      <c r="A856" s="87">
        <f t="shared" si="176"/>
        <v>11</v>
      </c>
      <c r="B856" s="109" t="s">
        <v>401</v>
      </c>
      <c r="C856" s="110">
        <v>1961</v>
      </c>
      <c r="D856" s="111"/>
      <c r="E856" s="89" t="s">
        <v>218</v>
      </c>
      <c r="F856" s="110">
        <v>2</v>
      </c>
      <c r="G856" s="111">
        <v>2</v>
      </c>
      <c r="H856" s="119">
        <v>506.2</v>
      </c>
      <c r="I856" s="104">
        <v>447.4</v>
      </c>
      <c r="J856" s="104">
        <f>I856</f>
        <v>447.4</v>
      </c>
      <c r="K856" s="120">
        <v>18</v>
      </c>
      <c r="L856" s="92">
        <v>1138866</v>
      </c>
      <c r="M856" s="92">
        <v>0</v>
      </c>
      <c r="N856" s="92">
        <v>0</v>
      </c>
      <c r="O856" s="92">
        <f t="shared" si="175"/>
        <v>1138866</v>
      </c>
      <c r="P856" s="92">
        <v>0</v>
      </c>
      <c r="Q856" s="121">
        <f t="shared" si="177"/>
        <v>2545.5207867679928</v>
      </c>
      <c r="R856" s="93">
        <v>6774</v>
      </c>
      <c r="S856" s="276">
        <v>43465</v>
      </c>
      <c r="T856" s="33"/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  <c r="AE856" s="33"/>
      <c r="AF856" s="33"/>
      <c r="AG856" s="33"/>
      <c r="AH856" s="33"/>
    </row>
    <row r="857" spans="1:34" s="33" customFormat="1" ht="31.5">
      <c r="A857" s="87">
        <f t="shared" si="176"/>
        <v>12</v>
      </c>
      <c r="B857" s="118" t="s">
        <v>394</v>
      </c>
      <c r="C857" s="110">
        <v>1966</v>
      </c>
      <c r="D857" s="111"/>
      <c r="E857" s="89" t="s">
        <v>218</v>
      </c>
      <c r="F857" s="110">
        <v>2</v>
      </c>
      <c r="G857" s="111">
        <v>2</v>
      </c>
      <c r="H857" s="119">
        <v>482.5</v>
      </c>
      <c r="I857" s="104">
        <v>454.1</v>
      </c>
      <c r="J857" s="104">
        <v>370.7</v>
      </c>
      <c r="K857" s="102">
        <v>31</v>
      </c>
      <c r="L857" s="92">
        <v>848546</v>
      </c>
      <c r="M857" s="92">
        <v>0</v>
      </c>
      <c r="N857" s="92">
        <v>0</v>
      </c>
      <c r="O857" s="92">
        <f t="shared" si="175"/>
        <v>848546</v>
      </c>
      <c r="P857" s="92">
        <v>0</v>
      </c>
      <c r="Q857" s="121">
        <f t="shared" si="177"/>
        <v>1868.6324598106144</v>
      </c>
      <c r="R857" s="93">
        <v>6774</v>
      </c>
      <c r="S857" s="276">
        <v>43465</v>
      </c>
    </row>
    <row r="858" spans="1:34" s="33" customFormat="1" ht="31.5">
      <c r="A858" s="87">
        <f t="shared" si="176"/>
        <v>13</v>
      </c>
      <c r="B858" s="118" t="s">
        <v>395</v>
      </c>
      <c r="C858" s="110">
        <v>1969</v>
      </c>
      <c r="D858" s="111"/>
      <c r="E858" s="89" t="s">
        <v>218</v>
      </c>
      <c r="F858" s="110">
        <v>2</v>
      </c>
      <c r="G858" s="111">
        <v>2</v>
      </c>
      <c r="H858" s="119">
        <v>502.6</v>
      </c>
      <c r="I858" s="126">
        <v>471</v>
      </c>
      <c r="J858" s="104">
        <v>423.8</v>
      </c>
      <c r="K858" s="102">
        <v>21</v>
      </c>
      <c r="L858" s="92">
        <v>848706</v>
      </c>
      <c r="M858" s="92">
        <v>0</v>
      </c>
      <c r="N858" s="92">
        <v>0</v>
      </c>
      <c r="O858" s="92">
        <f t="shared" si="175"/>
        <v>848706</v>
      </c>
      <c r="P858" s="92">
        <v>0</v>
      </c>
      <c r="Q858" s="121">
        <f t="shared" si="177"/>
        <v>1801.9235668789809</v>
      </c>
      <c r="R858" s="93">
        <v>6774</v>
      </c>
      <c r="S858" s="276">
        <v>43465</v>
      </c>
    </row>
    <row r="859" spans="1:34" s="33" customFormat="1" ht="31.5">
      <c r="A859" s="87">
        <f t="shared" si="176"/>
        <v>14</v>
      </c>
      <c r="B859" s="118" t="s">
        <v>396</v>
      </c>
      <c r="C859" s="110">
        <v>1973</v>
      </c>
      <c r="D859" s="111"/>
      <c r="E859" s="89" t="s">
        <v>218</v>
      </c>
      <c r="F859" s="110">
        <v>2</v>
      </c>
      <c r="G859" s="111">
        <v>2</v>
      </c>
      <c r="H859" s="119">
        <v>789.5</v>
      </c>
      <c r="I859" s="104">
        <v>729.5</v>
      </c>
      <c r="J859" s="104">
        <v>670.1</v>
      </c>
      <c r="K859" s="102">
        <v>39</v>
      </c>
      <c r="L859" s="92">
        <v>1180083</v>
      </c>
      <c r="M859" s="92">
        <v>0</v>
      </c>
      <c r="N859" s="92">
        <v>0</v>
      </c>
      <c r="O859" s="92">
        <f t="shared" si="175"/>
        <v>1180083</v>
      </c>
      <c r="P859" s="92">
        <v>0</v>
      </c>
      <c r="Q859" s="121">
        <f t="shared" si="177"/>
        <v>1617.6600411240577</v>
      </c>
      <c r="R859" s="93">
        <v>6774</v>
      </c>
      <c r="S859" s="276">
        <v>43465</v>
      </c>
    </row>
    <row r="860" spans="1:34" s="33" customFormat="1" ht="15.75" customHeight="1">
      <c r="A860" s="87"/>
      <c r="B860" s="1068" t="s">
        <v>210</v>
      </c>
      <c r="C860" s="1068"/>
      <c r="D860" s="1068"/>
      <c r="E860" s="1068"/>
      <c r="F860" s="1068"/>
      <c r="G860" s="1068"/>
      <c r="H860" s="86">
        <f>H861+H862</f>
        <v>3058</v>
      </c>
      <c r="I860" s="86">
        <f t="shared" ref="I860:P860" si="178">I861+I862</f>
        <v>2708.7</v>
      </c>
      <c r="J860" s="86">
        <f t="shared" si="178"/>
        <v>2585.9</v>
      </c>
      <c r="K860" s="98">
        <f t="shared" si="178"/>
        <v>118</v>
      </c>
      <c r="L860" s="92">
        <f t="shared" si="178"/>
        <v>2336158</v>
      </c>
      <c r="M860" s="92">
        <f t="shared" si="178"/>
        <v>0</v>
      </c>
      <c r="N860" s="92">
        <f t="shared" si="178"/>
        <v>1400000</v>
      </c>
      <c r="O860" s="92">
        <f t="shared" si="178"/>
        <v>936158</v>
      </c>
      <c r="P860" s="92">
        <f t="shared" si="178"/>
        <v>0</v>
      </c>
      <c r="Q860" s="86" t="s">
        <v>40</v>
      </c>
      <c r="R860" s="86" t="s">
        <v>40</v>
      </c>
      <c r="S860" s="276">
        <v>43465</v>
      </c>
    </row>
    <row r="861" spans="1:34" s="33" customFormat="1" ht="16.5" customHeight="1">
      <c r="A861" s="87">
        <f>A859+1</f>
        <v>15</v>
      </c>
      <c r="B861" s="118" t="s">
        <v>407</v>
      </c>
      <c r="C861" s="111">
        <v>1986</v>
      </c>
      <c r="D861" s="111"/>
      <c r="E861" s="89" t="s">
        <v>222</v>
      </c>
      <c r="F861" s="110">
        <v>3</v>
      </c>
      <c r="G861" s="111">
        <v>3</v>
      </c>
      <c r="H861" s="127">
        <v>1529</v>
      </c>
      <c r="I861" s="103">
        <v>1345.2</v>
      </c>
      <c r="J861" s="103">
        <v>1345.2</v>
      </c>
      <c r="K861" s="120">
        <v>60</v>
      </c>
      <c r="L861" s="92">
        <f>O861+N861</f>
        <v>1168079</v>
      </c>
      <c r="M861" s="92">
        <v>0</v>
      </c>
      <c r="N861" s="92">
        <v>700000</v>
      </c>
      <c r="O861" s="92">
        <v>468079</v>
      </c>
      <c r="P861" s="92">
        <v>0</v>
      </c>
      <c r="Q861" s="121">
        <f>L861/I861</f>
        <v>868.33110318168303</v>
      </c>
      <c r="R861" s="93">
        <v>6774</v>
      </c>
      <c r="S861" s="276">
        <v>43465</v>
      </c>
    </row>
    <row r="862" spans="1:34" s="33" customFormat="1" ht="18" customHeight="1">
      <c r="A862" s="87">
        <f>A861+1</f>
        <v>16</v>
      </c>
      <c r="B862" s="118" t="s">
        <v>408</v>
      </c>
      <c r="C862" s="111">
        <v>1986</v>
      </c>
      <c r="D862" s="111"/>
      <c r="E862" s="89" t="s">
        <v>222</v>
      </c>
      <c r="F862" s="110">
        <v>3</v>
      </c>
      <c r="G862" s="111">
        <v>3</v>
      </c>
      <c r="H862" s="127">
        <v>1529</v>
      </c>
      <c r="I862" s="103">
        <v>1363.5</v>
      </c>
      <c r="J862" s="103">
        <v>1240.7</v>
      </c>
      <c r="K862" s="120">
        <v>58</v>
      </c>
      <c r="L862" s="92">
        <f>O862+N862</f>
        <v>1168079</v>
      </c>
      <c r="M862" s="92">
        <v>0</v>
      </c>
      <c r="N862" s="92">
        <v>700000</v>
      </c>
      <c r="O862" s="92">
        <v>468079</v>
      </c>
      <c r="P862" s="92">
        <v>0</v>
      </c>
      <c r="Q862" s="121">
        <f>L862/I862</f>
        <v>856.67693436010268</v>
      </c>
      <c r="R862" s="93">
        <v>6774</v>
      </c>
      <c r="S862" s="276">
        <v>43465</v>
      </c>
    </row>
    <row r="863" spans="1:34" s="1" customFormat="1" ht="15.75">
      <c r="A863" s="87"/>
      <c r="B863" s="1066" t="s">
        <v>44</v>
      </c>
      <c r="C863" s="1066"/>
      <c r="D863" s="1066"/>
      <c r="E863" s="1066"/>
      <c r="F863" s="1066"/>
      <c r="G863" s="1066"/>
      <c r="H863" s="107">
        <f>H864</f>
        <v>520.9</v>
      </c>
      <c r="I863" s="86">
        <f t="shared" ref="I863:P864" si="179">I864</f>
        <v>520.9</v>
      </c>
      <c r="J863" s="86">
        <f t="shared" si="179"/>
        <v>295.10000000000002</v>
      </c>
      <c r="K863" s="98">
        <f t="shared" si="179"/>
        <v>25</v>
      </c>
      <c r="L863" s="92">
        <f>L864</f>
        <v>922687</v>
      </c>
      <c r="M863" s="92">
        <f t="shared" si="179"/>
        <v>0</v>
      </c>
      <c r="N863" s="92">
        <f t="shared" si="179"/>
        <v>0</v>
      </c>
      <c r="O863" s="92">
        <f t="shared" si="179"/>
        <v>922687</v>
      </c>
      <c r="P863" s="92">
        <f t="shared" si="179"/>
        <v>0</v>
      </c>
      <c r="Q863" s="86" t="s">
        <v>40</v>
      </c>
      <c r="R863" s="93" t="s">
        <v>40</v>
      </c>
      <c r="S863" s="276">
        <v>43465</v>
      </c>
    </row>
    <row r="864" spans="1:34" s="1" customFormat="1" ht="15.75" customHeight="1">
      <c r="A864" s="87"/>
      <c r="B864" s="1068" t="s">
        <v>435</v>
      </c>
      <c r="C864" s="1068"/>
      <c r="D864" s="1068"/>
      <c r="E864" s="1068"/>
      <c r="F864" s="1068"/>
      <c r="G864" s="1068"/>
      <c r="H864" s="107">
        <f>H865</f>
        <v>520.9</v>
      </c>
      <c r="I864" s="107">
        <f t="shared" si="179"/>
        <v>520.9</v>
      </c>
      <c r="J864" s="107">
        <f t="shared" si="179"/>
        <v>295.10000000000002</v>
      </c>
      <c r="K864" s="107">
        <f t="shared" si="179"/>
        <v>25</v>
      </c>
      <c r="L864" s="496">
        <f t="shared" si="179"/>
        <v>922687</v>
      </c>
      <c r="M864" s="496">
        <f t="shared" si="179"/>
        <v>0</v>
      </c>
      <c r="N864" s="496">
        <f t="shared" si="179"/>
        <v>0</v>
      </c>
      <c r="O864" s="496">
        <f t="shared" si="179"/>
        <v>922687</v>
      </c>
      <c r="P864" s="496">
        <f t="shared" si="179"/>
        <v>0</v>
      </c>
      <c r="Q864" s="86" t="s">
        <v>40</v>
      </c>
      <c r="R864" s="86" t="s">
        <v>40</v>
      </c>
      <c r="S864" s="276">
        <v>43465</v>
      </c>
    </row>
    <row r="865" spans="1:19" s="1" customFormat="1" ht="31.5">
      <c r="A865" s="268"/>
      <c r="B865" s="286" t="s">
        <v>767</v>
      </c>
      <c r="C865" s="268">
        <v>1972</v>
      </c>
      <c r="D865" s="270"/>
      <c r="E865" s="271" t="s">
        <v>218</v>
      </c>
      <c r="F865" s="270">
        <v>2</v>
      </c>
      <c r="G865" s="270">
        <v>2</v>
      </c>
      <c r="H865" s="272">
        <v>520.9</v>
      </c>
      <c r="I865" s="270">
        <v>520.9</v>
      </c>
      <c r="J865" s="270">
        <v>295.10000000000002</v>
      </c>
      <c r="K865" s="273">
        <v>25</v>
      </c>
      <c r="L865" s="274">
        <v>922687</v>
      </c>
      <c r="M865" s="274">
        <v>0</v>
      </c>
      <c r="N865" s="274">
        <v>0</v>
      </c>
      <c r="O865" s="274">
        <v>922687</v>
      </c>
      <c r="P865" s="274">
        <v>0</v>
      </c>
      <c r="Q865" s="585">
        <f>L865/I865</f>
        <v>1771.3323094643886</v>
      </c>
      <c r="R865" s="275">
        <v>7920</v>
      </c>
      <c r="S865" s="276">
        <v>43465</v>
      </c>
    </row>
    <row r="866" spans="1:19" s="1" customFormat="1" ht="15.75">
      <c r="A866" s="268"/>
      <c r="B866" s="286"/>
      <c r="C866" s="270"/>
      <c r="D866" s="270"/>
      <c r="E866" s="271"/>
      <c r="F866" s="270"/>
      <c r="G866" s="270"/>
      <c r="H866" s="272"/>
      <c r="I866" s="270"/>
      <c r="J866" s="270"/>
      <c r="K866" s="273"/>
      <c r="L866" s="274"/>
      <c r="M866" s="274"/>
      <c r="N866" s="274"/>
      <c r="O866" s="274"/>
      <c r="P866" s="274"/>
      <c r="Q866" s="275"/>
      <c r="R866" s="275"/>
      <c r="S866" s="276">
        <v>43465</v>
      </c>
    </row>
    <row r="867" spans="1:19" s="1" customFormat="1" ht="22.9" customHeight="1">
      <c r="A867" s="87"/>
      <c r="B867" s="1066" t="s">
        <v>45</v>
      </c>
      <c r="C867" s="1066"/>
      <c r="D867" s="1066"/>
      <c r="E867" s="1066"/>
      <c r="F867" s="1066"/>
      <c r="G867" s="1066"/>
      <c r="H867" s="107">
        <f>H868+H872+H874+H876+H878+H880</f>
        <v>7577.5</v>
      </c>
      <c r="I867" s="107">
        <f t="shared" ref="I867:P867" si="180">I868+I872+I874+I876+I878+I880</f>
        <v>6511.2799999999988</v>
      </c>
      <c r="J867" s="107">
        <f t="shared" si="180"/>
        <v>5997.3799999999992</v>
      </c>
      <c r="K867" s="107">
        <f t="shared" si="180"/>
        <v>291</v>
      </c>
      <c r="L867" s="496">
        <f t="shared" si="180"/>
        <v>8577331</v>
      </c>
      <c r="M867" s="496">
        <f t="shared" si="180"/>
        <v>0</v>
      </c>
      <c r="N867" s="496">
        <f t="shared" si="180"/>
        <v>0</v>
      </c>
      <c r="O867" s="496">
        <f t="shared" si="180"/>
        <v>8577331</v>
      </c>
      <c r="P867" s="496">
        <f t="shared" si="180"/>
        <v>0</v>
      </c>
      <c r="Q867" s="86" t="s">
        <v>40</v>
      </c>
      <c r="R867" s="93" t="s">
        <v>40</v>
      </c>
      <c r="S867" s="276">
        <v>43465</v>
      </c>
    </row>
    <row r="868" spans="1:19" s="1" customFormat="1" ht="15.75">
      <c r="A868" s="268"/>
      <c r="B868" s="1120" t="s">
        <v>98</v>
      </c>
      <c r="C868" s="1120"/>
      <c r="D868" s="1120"/>
      <c r="E868" s="1120"/>
      <c r="F868" s="1120"/>
      <c r="G868" s="1120"/>
      <c r="H868" s="291">
        <f t="shared" ref="H868:P868" si="181">SUM(H869:H871)</f>
        <v>1910.1999999999998</v>
      </c>
      <c r="I868" s="291">
        <f t="shared" si="181"/>
        <v>1758.1799999999998</v>
      </c>
      <c r="J868" s="291">
        <f t="shared" si="181"/>
        <v>1545.98</v>
      </c>
      <c r="K868" s="292">
        <f t="shared" si="181"/>
        <v>85</v>
      </c>
      <c r="L868" s="274">
        <f t="shared" si="181"/>
        <v>3345596</v>
      </c>
      <c r="M868" s="274">
        <f t="shared" si="181"/>
        <v>0</v>
      </c>
      <c r="N868" s="274">
        <f t="shared" si="181"/>
        <v>0</v>
      </c>
      <c r="O868" s="274">
        <f t="shared" si="181"/>
        <v>3345596</v>
      </c>
      <c r="P868" s="274">
        <f t="shared" si="181"/>
        <v>0</v>
      </c>
      <c r="Q868" s="293" t="s">
        <v>40</v>
      </c>
      <c r="R868" s="293" t="s">
        <v>40</v>
      </c>
      <c r="S868" s="276">
        <v>43465</v>
      </c>
    </row>
    <row r="869" spans="1:19" s="1" customFormat="1" ht="15.75">
      <c r="A869" s="268">
        <f>A866+1</f>
        <v>1</v>
      </c>
      <c r="B869" s="518" t="s">
        <v>795</v>
      </c>
      <c r="C869" s="268">
        <v>1940</v>
      </c>
      <c r="D869" s="270"/>
      <c r="E869" s="271" t="s">
        <v>221</v>
      </c>
      <c r="F869" s="270">
        <v>2</v>
      </c>
      <c r="G869" s="270">
        <v>2</v>
      </c>
      <c r="H869" s="514">
        <v>549.29999999999995</v>
      </c>
      <c r="I869" s="515">
        <v>502.9</v>
      </c>
      <c r="J869" s="516">
        <v>334.4</v>
      </c>
      <c r="K869" s="517">
        <v>23</v>
      </c>
      <c r="L869" s="274">
        <v>1012287</v>
      </c>
      <c r="M869" s="274">
        <v>0</v>
      </c>
      <c r="N869" s="274">
        <v>0</v>
      </c>
      <c r="O869" s="274">
        <v>1012287</v>
      </c>
      <c r="P869" s="274">
        <f>SUM(P876:P876)</f>
        <v>0</v>
      </c>
      <c r="Q869" s="275">
        <f>L869/I869</f>
        <v>2012.8991847285743</v>
      </c>
      <c r="R869" s="275">
        <v>7920</v>
      </c>
      <c r="S869" s="276">
        <v>43465</v>
      </c>
    </row>
    <row r="870" spans="1:19" s="1" customFormat="1" ht="15.75">
      <c r="A870" s="268">
        <f>A869+1</f>
        <v>2</v>
      </c>
      <c r="B870" s="518" t="s">
        <v>796</v>
      </c>
      <c r="C870" s="268"/>
      <c r="D870" s="270"/>
      <c r="E870" s="271" t="s">
        <v>221</v>
      </c>
      <c r="F870" s="270">
        <v>2</v>
      </c>
      <c r="G870" s="270">
        <v>2</v>
      </c>
      <c r="H870" s="514">
        <v>366.9</v>
      </c>
      <c r="I870" s="515">
        <v>345.7</v>
      </c>
      <c r="J870" s="516">
        <v>302</v>
      </c>
      <c r="K870" s="517">
        <v>18</v>
      </c>
      <c r="L870" s="274">
        <v>710003</v>
      </c>
      <c r="M870" s="274">
        <v>0</v>
      </c>
      <c r="N870" s="274">
        <v>0</v>
      </c>
      <c r="O870" s="274">
        <f>L870</f>
        <v>710003</v>
      </c>
      <c r="P870" s="274">
        <f>SUM(P871:P874)</f>
        <v>0</v>
      </c>
      <c r="Q870" s="275">
        <f>L870/I870</f>
        <v>2053.8125542377784</v>
      </c>
      <c r="R870" s="275">
        <v>7920</v>
      </c>
      <c r="S870" s="276">
        <v>43465</v>
      </c>
    </row>
    <row r="871" spans="1:19" s="1" customFormat="1" ht="31.5">
      <c r="A871" s="268">
        <f>A870+1</f>
        <v>3</v>
      </c>
      <c r="B871" s="518" t="s">
        <v>797</v>
      </c>
      <c r="C871" s="268">
        <v>1974</v>
      </c>
      <c r="D871" s="270"/>
      <c r="E871" s="271" t="s">
        <v>218</v>
      </c>
      <c r="F871" s="270">
        <v>2</v>
      </c>
      <c r="G871" s="270">
        <v>3</v>
      </c>
      <c r="H871" s="514">
        <v>994</v>
      </c>
      <c r="I871" s="515">
        <v>909.58</v>
      </c>
      <c r="J871" s="516">
        <v>909.58</v>
      </c>
      <c r="K871" s="517">
        <v>44</v>
      </c>
      <c r="L871" s="274">
        <v>1623306</v>
      </c>
      <c r="M871" s="274">
        <v>0</v>
      </c>
      <c r="N871" s="274">
        <v>0</v>
      </c>
      <c r="O871" s="274">
        <f>L871</f>
        <v>1623306</v>
      </c>
      <c r="P871" s="274">
        <f>SUM(P874:P879)</f>
        <v>0</v>
      </c>
      <c r="Q871" s="275">
        <f>L871/I871</f>
        <v>1784.6764440730885</v>
      </c>
      <c r="R871" s="275">
        <v>7920</v>
      </c>
      <c r="S871" s="276">
        <v>43465</v>
      </c>
    </row>
    <row r="872" spans="1:19" s="1" customFormat="1" ht="24.6" customHeight="1">
      <c r="A872" s="268"/>
      <c r="B872" s="1120" t="s">
        <v>688</v>
      </c>
      <c r="C872" s="1120"/>
      <c r="D872" s="1120"/>
      <c r="E872" s="1120"/>
      <c r="F872" s="1120"/>
      <c r="G872" s="1120"/>
      <c r="H872" s="514">
        <f>H873</f>
        <v>484.1</v>
      </c>
      <c r="I872" s="514">
        <f t="shared" ref="I872:P872" si="182">I873</f>
        <v>484.1</v>
      </c>
      <c r="J872" s="514">
        <f t="shared" si="182"/>
        <v>307.8</v>
      </c>
      <c r="K872" s="514">
        <f t="shared" si="182"/>
        <v>31</v>
      </c>
      <c r="L872" s="819">
        <f t="shared" si="182"/>
        <v>908962</v>
      </c>
      <c r="M872" s="819">
        <f t="shared" si="182"/>
        <v>0</v>
      </c>
      <c r="N872" s="819">
        <f t="shared" si="182"/>
        <v>0</v>
      </c>
      <c r="O872" s="819">
        <f t="shared" si="182"/>
        <v>908962</v>
      </c>
      <c r="P872" s="819">
        <f t="shared" si="182"/>
        <v>0</v>
      </c>
      <c r="Q872" s="293" t="s">
        <v>40</v>
      </c>
      <c r="R872" s="275" t="s">
        <v>40</v>
      </c>
      <c r="S872" s="276">
        <v>43465</v>
      </c>
    </row>
    <row r="873" spans="1:19" s="1" customFormat="1" ht="31.5">
      <c r="A873" s="268"/>
      <c r="B873" s="518" t="s">
        <v>690</v>
      </c>
      <c r="C873" s="268">
        <v>1960</v>
      </c>
      <c r="D873" s="270"/>
      <c r="E873" s="271" t="s">
        <v>218</v>
      </c>
      <c r="F873" s="270">
        <v>2</v>
      </c>
      <c r="G873" s="270">
        <v>3</v>
      </c>
      <c r="H873" s="514">
        <v>484.1</v>
      </c>
      <c r="I873" s="515">
        <v>484.1</v>
      </c>
      <c r="J873" s="516">
        <v>307.8</v>
      </c>
      <c r="K873" s="517">
        <v>31</v>
      </c>
      <c r="L873" s="274">
        <v>908962</v>
      </c>
      <c r="M873" s="274">
        <v>0</v>
      </c>
      <c r="N873" s="274">
        <v>0</v>
      </c>
      <c r="O873" s="274">
        <v>908962</v>
      </c>
      <c r="P873" s="274">
        <v>0</v>
      </c>
      <c r="Q873" s="275">
        <f>L873/I873</f>
        <v>1877.6327205122907</v>
      </c>
      <c r="R873" s="275">
        <v>7920</v>
      </c>
      <c r="S873" s="276">
        <v>43465</v>
      </c>
    </row>
    <row r="874" spans="1:19" s="1" customFormat="1" ht="28.15" customHeight="1">
      <c r="A874" s="268"/>
      <c r="B874" s="1120" t="s">
        <v>99</v>
      </c>
      <c r="C874" s="1120"/>
      <c r="D874" s="1120"/>
      <c r="E874" s="1120"/>
      <c r="F874" s="1120"/>
      <c r="G874" s="1120"/>
      <c r="H874" s="291">
        <f>H875</f>
        <v>386.6</v>
      </c>
      <c r="I874" s="291">
        <f t="shared" ref="I874:P874" si="183">I875</f>
        <v>364.6</v>
      </c>
      <c r="J874" s="291">
        <f t="shared" si="183"/>
        <v>324.3</v>
      </c>
      <c r="K874" s="291">
        <f t="shared" si="183"/>
        <v>19</v>
      </c>
      <c r="L874" s="597">
        <f t="shared" si="183"/>
        <v>655569</v>
      </c>
      <c r="M874" s="597">
        <f t="shared" si="183"/>
        <v>0</v>
      </c>
      <c r="N874" s="597">
        <f t="shared" si="183"/>
        <v>0</v>
      </c>
      <c r="O874" s="597">
        <f t="shared" si="183"/>
        <v>655569</v>
      </c>
      <c r="P874" s="597">
        <f t="shared" si="183"/>
        <v>0</v>
      </c>
      <c r="Q874" s="293" t="s">
        <v>40</v>
      </c>
      <c r="R874" s="293" t="s">
        <v>40</v>
      </c>
      <c r="S874" s="276">
        <v>43465</v>
      </c>
    </row>
    <row r="875" spans="1:19" s="16" customFormat="1" ht="31.5">
      <c r="A875" s="268">
        <f>A871+1</f>
        <v>4</v>
      </c>
      <c r="B875" s="269" t="s">
        <v>800</v>
      </c>
      <c r="C875" s="322">
        <v>1955</v>
      </c>
      <c r="D875" s="322"/>
      <c r="E875" s="271" t="s">
        <v>218</v>
      </c>
      <c r="F875" s="322">
        <v>2</v>
      </c>
      <c r="G875" s="322">
        <v>2</v>
      </c>
      <c r="H875" s="616">
        <v>386.6</v>
      </c>
      <c r="I875" s="631">
        <v>364.6</v>
      </c>
      <c r="J875" s="631">
        <v>324.3</v>
      </c>
      <c r="K875" s="325">
        <v>19</v>
      </c>
      <c r="L875" s="274">
        <v>655569</v>
      </c>
      <c r="M875" s="274">
        <v>0</v>
      </c>
      <c r="N875" s="274">
        <v>0</v>
      </c>
      <c r="O875" s="274">
        <f>L875</f>
        <v>655569</v>
      </c>
      <c r="P875" s="274">
        <v>0</v>
      </c>
      <c r="Q875" s="326">
        <f>L875/I875</f>
        <v>1798.049917718047</v>
      </c>
      <c r="R875" s="275">
        <v>7920</v>
      </c>
      <c r="S875" s="276">
        <v>43465</v>
      </c>
    </row>
    <row r="876" spans="1:19" s="1" customFormat="1" ht="15.75" customHeight="1">
      <c r="A876" s="268"/>
      <c r="B876" s="1121" t="s">
        <v>100</v>
      </c>
      <c r="C876" s="1121"/>
      <c r="D876" s="1121"/>
      <c r="E876" s="1121"/>
      <c r="F876" s="1121"/>
      <c r="G876" s="1121"/>
      <c r="H876" s="514">
        <f>H877</f>
        <v>3324.5</v>
      </c>
      <c r="I876" s="362">
        <f t="shared" ref="I876:P876" si="184">I877</f>
        <v>3031.5</v>
      </c>
      <c r="J876" s="362">
        <f t="shared" si="184"/>
        <v>2946.4</v>
      </c>
      <c r="K876" s="522">
        <f t="shared" si="184"/>
        <v>127</v>
      </c>
      <c r="L876" s="274">
        <f t="shared" si="184"/>
        <v>2020412</v>
      </c>
      <c r="M876" s="274">
        <f t="shared" si="184"/>
        <v>0</v>
      </c>
      <c r="N876" s="274">
        <f>N877</f>
        <v>0</v>
      </c>
      <c r="O876" s="274">
        <f t="shared" si="184"/>
        <v>2020412</v>
      </c>
      <c r="P876" s="274">
        <f t="shared" si="184"/>
        <v>0</v>
      </c>
      <c r="Q876" s="275" t="s">
        <v>40</v>
      </c>
      <c r="R876" s="275" t="s">
        <v>40</v>
      </c>
      <c r="S876" s="276">
        <v>43465</v>
      </c>
    </row>
    <row r="877" spans="1:19" s="1" customFormat="1" ht="31.5">
      <c r="A877" s="268" t="e">
        <f>#REF!+1</f>
        <v>#REF!</v>
      </c>
      <c r="B877" s="518" t="s">
        <v>694</v>
      </c>
      <c r="C877" s="268">
        <v>1983</v>
      </c>
      <c r="D877" s="270"/>
      <c r="E877" s="271" t="s">
        <v>219</v>
      </c>
      <c r="F877" s="270">
        <v>5</v>
      </c>
      <c r="G877" s="270">
        <v>4</v>
      </c>
      <c r="H877" s="514">
        <v>3324.5</v>
      </c>
      <c r="I877" s="515">
        <v>3031.5</v>
      </c>
      <c r="J877" s="516">
        <v>2946.4</v>
      </c>
      <c r="K877" s="517">
        <v>127</v>
      </c>
      <c r="L877" s="274">
        <v>2020412</v>
      </c>
      <c r="M877" s="274">
        <v>0</v>
      </c>
      <c r="N877" s="274">
        <v>0</v>
      </c>
      <c r="O877" s="274">
        <v>2020412</v>
      </c>
      <c r="P877" s="274">
        <v>0</v>
      </c>
      <c r="Q877" s="275">
        <f>L877/I877</f>
        <v>666.4727032822035</v>
      </c>
      <c r="R877" s="275">
        <v>7920</v>
      </c>
      <c r="S877" s="276">
        <v>43465</v>
      </c>
    </row>
    <row r="878" spans="1:19" s="1" customFormat="1" ht="15.75" customHeight="1">
      <c r="A878" s="271"/>
      <c r="B878" s="1122" t="s">
        <v>101</v>
      </c>
      <c r="C878" s="1122"/>
      <c r="D878" s="1122"/>
      <c r="E878" s="1122"/>
      <c r="F878" s="1122"/>
      <c r="G878" s="1122"/>
      <c r="H878" s="514">
        <f>H879</f>
        <v>1472.1</v>
      </c>
      <c r="I878" s="514">
        <f t="shared" ref="I878:P878" si="185">I879</f>
        <v>872.9</v>
      </c>
      <c r="J878" s="514">
        <f t="shared" si="185"/>
        <v>872.9</v>
      </c>
      <c r="K878" s="514">
        <f t="shared" si="185"/>
        <v>29</v>
      </c>
      <c r="L878" s="819">
        <f t="shared" si="185"/>
        <v>1646792</v>
      </c>
      <c r="M878" s="819">
        <f t="shared" si="185"/>
        <v>0</v>
      </c>
      <c r="N878" s="819">
        <f t="shared" si="185"/>
        <v>0</v>
      </c>
      <c r="O878" s="819">
        <f t="shared" si="185"/>
        <v>1646792</v>
      </c>
      <c r="P878" s="819">
        <f t="shared" si="185"/>
        <v>0</v>
      </c>
      <c r="Q878" s="362" t="s">
        <v>40</v>
      </c>
      <c r="R878" s="362" t="s">
        <v>40</v>
      </c>
      <c r="S878" s="276">
        <v>43465</v>
      </c>
    </row>
    <row r="879" spans="1:19" s="16" customFormat="1" ht="31.5">
      <c r="A879" s="271" t="e">
        <f>A877+1</f>
        <v>#REF!</v>
      </c>
      <c r="B879" s="754" t="s">
        <v>924</v>
      </c>
      <c r="C879" s="271">
        <v>1984</v>
      </c>
      <c r="D879" s="271"/>
      <c r="E879" s="271" t="s">
        <v>218</v>
      </c>
      <c r="F879" s="271">
        <v>2</v>
      </c>
      <c r="G879" s="271">
        <v>2</v>
      </c>
      <c r="H879" s="776">
        <v>1472.1</v>
      </c>
      <c r="I879" s="515">
        <v>872.9</v>
      </c>
      <c r="J879" s="515">
        <v>872.9</v>
      </c>
      <c r="K879" s="364">
        <v>29</v>
      </c>
      <c r="L879" s="274">
        <v>1646792</v>
      </c>
      <c r="M879" s="274">
        <v>0</v>
      </c>
      <c r="N879" s="274">
        <v>0</v>
      </c>
      <c r="O879" s="274">
        <f>L879</f>
        <v>1646792</v>
      </c>
      <c r="P879" s="274">
        <v>0</v>
      </c>
      <c r="Q879" s="515">
        <f>L879/I879</f>
        <v>1886.5757818765037</v>
      </c>
      <c r="R879" s="362">
        <v>7920</v>
      </c>
      <c r="S879" s="276">
        <v>43465</v>
      </c>
    </row>
    <row r="880" spans="1:19" s="16" customFormat="1" ht="15.75" customHeight="1">
      <c r="A880" s="268"/>
      <c r="B880" s="1123" t="s">
        <v>126</v>
      </c>
      <c r="C880" s="1123"/>
      <c r="D880" s="1123"/>
      <c r="E880" s="1123"/>
      <c r="F880" s="1123"/>
      <c r="G880" s="1123"/>
      <c r="H880" s="616">
        <f>H881</f>
        <v>0</v>
      </c>
      <c r="I880" s="322">
        <f t="shared" ref="I880:P880" si="186">I881</f>
        <v>0</v>
      </c>
      <c r="J880" s="322">
        <f t="shared" si="186"/>
        <v>0</v>
      </c>
      <c r="K880" s="325">
        <f t="shared" si="186"/>
        <v>0</v>
      </c>
      <c r="L880" s="274">
        <f t="shared" si="186"/>
        <v>0</v>
      </c>
      <c r="M880" s="274">
        <f t="shared" si="186"/>
        <v>0</v>
      </c>
      <c r="N880" s="274">
        <f t="shared" si="186"/>
        <v>0</v>
      </c>
      <c r="O880" s="274">
        <f t="shared" si="186"/>
        <v>0</v>
      </c>
      <c r="P880" s="274">
        <f t="shared" si="186"/>
        <v>0</v>
      </c>
      <c r="Q880" s="326" t="s">
        <v>40</v>
      </c>
      <c r="R880" s="322" t="s">
        <v>40</v>
      </c>
      <c r="S880" s="276">
        <v>43465</v>
      </c>
    </row>
    <row r="881" spans="1:19" s="1" customFormat="1" ht="15.75">
      <c r="A881" s="268"/>
      <c r="B881" s="541"/>
      <c r="C881" s="268"/>
      <c r="D881" s="268"/>
      <c r="E881" s="271"/>
      <c r="F881" s="268"/>
      <c r="G881" s="268"/>
      <c r="H881" s="678"/>
      <c r="I881" s="268"/>
      <c r="J881" s="268"/>
      <c r="K881" s="517"/>
      <c r="L881" s="274"/>
      <c r="M881" s="274"/>
      <c r="N881" s="274"/>
      <c r="O881" s="274"/>
      <c r="P881" s="274"/>
      <c r="Q881" s="326"/>
      <c r="R881" s="275"/>
      <c r="S881" s="276"/>
    </row>
    <row r="882" spans="1:19" s="1" customFormat="1" ht="15.75">
      <c r="A882" s="87"/>
      <c r="B882" s="1066" t="s">
        <v>46</v>
      </c>
      <c r="C882" s="1066"/>
      <c r="D882" s="1066"/>
      <c r="E882" s="1066"/>
      <c r="F882" s="1066"/>
      <c r="G882" s="1066"/>
      <c r="H882" s="107">
        <f>H883</f>
        <v>459.1</v>
      </c>
      <c r="I882" s="86">
        <f t="shared" ref="I882:P882" si="187">I883</f>
        <v>410.7</v>
      </c>
      <c r="J882" s="86">
        <f t="shared" si="187"/>
        <v>353.4</v>
      </c>
      <c r="K882" s="98">
        <f t="shared" si="187"/>
        <v>18</v>
      </c>
      <c r="L882" s="92">
        <f t="shared" si="187"/>
        <v>674133</v>
      </c>
      <c r="M882" s="92">
        <f t="shared" si="187"/>
        <v>0</v>
      </c>
      <c r="N882" s="92">
        <f t="shared" si="187"/>
        <v>0</v>
      </c>
      <c r="O882" s="92">
        <f t="shared" si="187"/>
        <v>674133</v>
      </c>
      <c r="P882" s="92">
        <f t="shared" si="187"/>
        <v>0</v>
      </c>
      <c r="Q882" s="86" t="s">
        <v>40</v>
      </c>
      <c r="R882" s="86" t="s">
        <v>40</v>
      </c>
      <c r="S882" s="276">
        <v>43465</v>
      </c>
    </row>
    <row r="883" spans="1:19" s="1" customFormat="1" ht="15.75">
      <c r="A883" s="87"/>
      <c r="B883" s="1066" t="s">
        <v>102</v>
      </c>
      <c r="C883" s="1066"/>
      <c r="D883" s="1066"/>
      <c r="E883" s="1066"/>
      <c r="F883" s="1066"/>
      <c r="G883" s="1066"/>
      <c r="H883" s="107">
        <f>H884+H885</f>
        <v>459.1</v>
      </c>
      <c r="I883" s="86">
        <f t="shared" ref="I883:N883" si="188">I884+I885</f>
        <v>410.7</v>
      </c>
      <c r="J883" s="86">
        <f t="shared" si="188"/>
        <v>353.4</v>
      </c>
      <c r="K883" s="98">
        <f t="shared" si="188"/>
        <v>18</v>
      </c>
      <c r="L883" s="92">
        <f t="shared" si="188"/>
        <v>674133</v>
      </c>
      <c r="M883" s="92">
        <f t="shared" si="188"/>
        <v>0</v>
      </c>
      <c r="N883" s="92">
        <f t="shared" si="188"/>
        <v>0</v>
      </c>
      <c r="O883" s="92">
        <f>O884+O885</f>
        <v>674133</v>
      </c>
      <c r="P883" s="92">
        <f>P884+P885</f>
        <v>0</v>
      </c>
      <c r="Q883" s="86" t="s">
        <v>40</v>
      </c>
      <c r="R883" s="86" t="s">
        <v>40</v>
      </c>
      <c r="S883" s="276">
        <v>43465</v>
      </c>
    </row>
    <row r="884" spans="1:19" s="1" customFormat="1" ht="15.75">
      <c r="A884" s="268">
        <f>A881+1</f>
        <v>1</v>
      </c>
      <c r="B884" s="269" t="s">
        <v>484</v>
      </c>
      <c r="C884" s="270">
        <v>1958</v>
      </c>
      <c r="D884" s="306"/>
      <c r="E884" s="271" t="s">
        <v>222</v>
      </c>
      <c r="F884" s="270">
        <v>2</v>
      </c>
      <c r="G884" s="270">
        <v>2</v>
      </c>
      <c r="H884" s="272">
        <v>459.1</v>
      </c>
      <c r="I884" s="307">
        <v>410.7</v>
      </c>
      <c r="J884" s="270">
        <v>353.4</v>
      </c>
      <c r="K884" s="273">
        <v>18</v>
      </c>
      <c r="L884" s="274">
        <v>674133</v>
      </c>
      <c r="M884" s="274">
        <v>0</v>
      </c>
      <c r="N884" s="274">
        <v>0</v>
      </c>
      <c r="O884" s="274">
        <v>674133</v>
      </c>
      <c r="P884" s="274">
        <v>0</v>
      </c>
      <c r="Q884" s="275">
        <f>L884/I884</f>
        <v>1641.4243973703433</v>
      </c>
      <c r="R884" s="275">
        <v>7920</v>
      </c>
      <c r="S884" s="276">
        <v>43465</v>
      </c>
    </row>
    <row r="885" spans="1:19" s="1" customFormat="1" ht="15.75">
      <c r="A885" s="87"/>
      <c r="B885" s="225"/>
      <c r="C885" s="88"/>
      <c r="D885" s="130"/>
      <c r="E885" s="89"/>
      <c r="F885" s="88"/>
      <c r="G885" s="88"/>
      <c r="H885" s="90"/>
      <c r="I885" s="88"/>
      <c r="J885" s="88"/>
      <c r="K885" s="91"/>
      <c r="L885" s="92"/>
      <c r="M885" s="92"/>
      <c r="N885" s="92"/>
      <c r="O885" s="92"/>
      <c r="P885" s="92"/>
      <c r="Q885" s="93"/>
      <c r="R885" s="93"/>
      <c r="S885" s="276"/>
    </row>
    <row r="886" spans="1:19" s="1" customFormat="1" ht="15.75">
      <c r="A886" s="87"/>
      <c r="B886" s="1066" t="s">
        <v>47</v>
      </c>
      <c r="C886" s="1066"/>
      <c r="D886" s="1066"/>
      <c r="E886" s="1066"/>
      <c r="F886" s="1066"/>
      <c r="G886" s="1066"/>
      <c r="H886" s="107">
        <f>H887</f>
        <v>597</v>
      </c>
      <c r="I886" s="86">
        <f t="shared" ref="I886:P887" si="189">I887</f>
        <v>553.20000000000005</v>
      </c>
      <c r="J886" s="86">
        <f t="shared" si="189"/>
        <v>553.20000000000005</v>
      </c>
      <c r="K886" s="98">
        <f t="shared" si="189"/>
        <v>22</v>
      </c>
      <c r="L886" s="92">
        <f t="shared" si="189"/>
        <v>1786109</v>
      </c>
      <c r="M886" s="92">
        <f>M887</f>
        <v>0</v>
      </c>
      <c r="N886" s="92">
        <f t="shared" si="189"/>
        <v>0</v>
      </c>
      <c r="O886" s="92">
        <f t="shared" si="189"/>
        <v>1786109</v>
      </c>
      <c r="P886" s="92">
        <f t="shared" si="189"/>
        <v>0</v>
      </c>
      <c r="Q886" s="86" t="s">
        <v>40</v>
      </c>
      <c r="R886" s="93" t="s">
        <v>40</v>
      </c>
      <c r="S886" s="276">
        <v>43465</v>
      </c>
    </row>
    <row r="887" spans="1:19" s="1" customFormat="1" ht="15.75">
      <c r="A887" s="268"/>
      <c r="B887" s="1120" t="s">
        <v>103</v>
      </c>
      <c r="C887" s="1120"/>
      <c r="D887" s="1120"/>
      <c r="E887" s="1120"/>
      <c r="F887" s="1120"/>
      <c r="G887" s="1120"/>
      <c r="H887" s="291">
        <f>H888</f>
        <v>597</v>
      </c>
      <c r="I887" s="291">
        <f t="shared" si="189"/>
        <v>553.20000000000005</v>
      </c>
      <c r="J887" s="291">
        <f t="shared" si="189"/>
        <v>553.20000000000005</v>
      </c>
      <c r="K887" s="291">
        <f t="shared" si="189"/>
        <v>22</v>
      </c>
      <c r="L887" s="597">
        <f t="shared" si="189"/>
        <v>1786109</v>
      </c>
      <c r="M887" s="597">
        <f t="shared" si="189"/>
        <v>0</v>
      </c>
      <c r="N887" s="597">
        <f t="shared" si="189"/>
        <v>0</v>
      </c>
      <c r="O887" s="597">
        <f t="shared" si="189"/>
        <v>1786109</v>
      </c>
      <c r="P887" s="597">
        <f t="shared" si="189"/>
        <v>0</v>
      </c>
      <c r="Q887" s="293" t="s">
        <v>40</v>
      </c>
      <c r="R887" s="293" t="s">
        <v>40</v>
      </c>
      <c r="S887" s="276">
        <v>43465</v>
      </c>
    </row>
    <row r="888" spans="1:19" s="1" customFormat="1" ht="31.5">
      <c r="A888" s="268">
        <f>A885+1</f>
        <v>1</v>
      </c>
      <c r="B888" s="286" t="s">
        <v>878</v>
      </c>
      <c r="C888" s="487" t="s">
        <v>879</v>
      </c>
      <c r="D888" s="487"/>
      <c r="E888" s="271" t="s">
        <v>218</v>
      </c>
      <c r="F888" s="270">
        <v>2</v>
      </c>
      <c r="G888" s="270">
        <v>2</v>
      </c>
      <c r="H888" s="514">
        <v>597</v>
      </c>
      <c r="I888" s="362">
        <v>553.20000000000005</v>
      </c>
      <c r="J888" s="362">
        <v>553.20000000000005</v>
      </c>
      <c r="K888" s="273">
        <v>22</v>
      </c>
      <c r="L888" s="274">
        <v>1786109</v>
      </c>
      <c r="M888" s="274">
        <v>0</v>
      </c>
      <c r="N888" s="274">
        <v>0</v>
      </c>
      <c r="O888" s="274">
        <v>1786109</v>
      </c>
      <c r="P888" s="274">
        <v>0</v>
      </c>
      <c r="Q888" s="362">
        <f>L888/I888</f>
        <v>3228.6858279103394</v>
      </c>
      <c r="R888" s="275">
        <v>7920</v>
      </c>
      <c r="S888" s="276">
        <v>43465</v>
      </c>
    </row>
    <row r="889" spans="1:19" s="1" customFormat="1" ht="15.75">
      <c r="A889" s="87"/>
      <c r="B889" s="1066" t="s">
        <v>48</v>
      </c>
      <c r="C889" s="1066"/>
      <c r="D889" s="1066"/>
      <c r="E889" s="1066"/>
      <c r="F889" s="1066"/>
      <c r="G889" s="1066"/>
      <c r="H889" s="107">
        <f t="shared" ref="H889:P889" si="190">H890+H894</f>
        <v>1595.8000000000002</v>
      </c>
      <c r="I889" s="86">
        <f t="shared" si="190"/>
        <v>1449</v>
      </c>
      <c r="J889" s="86">
        <f t="shared" si="190"/>
        <v>1359.9</v>
      </c>
      <c r="K889" s="98">
        <f t="shared" si="190"/>
        <v>74</v>
      </c>
      <c r="L889" s="92">
        <f t="shared" si="190"/>
        <v>2857043</v>
      </c>
      <c r="M889" s="92">
        <f t="shared" si="190"/>
        <v>0</v>
      </c>
      <c r="N889" s="92">
        <f t="shared" si="190"/>
        <v>414501.02</v>
      </c>
      <c r="O889" s="92">
        <f t="shared" si="190"/>
        <v>2442541.98</v>
      </c>
      <c r="P889" s="92">
        <f t="shared" si="190"/>
        <v>0</v>
      </c>
      <c r="Q889" s="86" t="s">
        <v>40</v>
      </c>
      <c r="R889" s="93" t="s">
        <v>40</v>
      </c>
      <c r="S889" s="276">
        <v>43465</v>
      </c>
    </row>
    <row r="890" spans="1:19" s="1" customFormat="1" ht="15.75">
      <c r="A890" s="268"/>
      <c r="B890" s="1120" t="s">
        <v>107</v>
      </c>
      <c r="C890" s="1120"/>
      <c r="D890" s="1120"/>
      <c r="E890" s="1120"/>
      <c r="F890" s="1120"/>
      <c r="G890" s="1120"/>
      <c r="H890" s="291">
        <f>SUM(H891:H892)</f>
        <v>1330.3000000000002</v>
      </c>
      <c r="I890" s="291">
        <f t="shared" ref="I890:P890" si="191">SUM(I891:I892)</f>
        <v>1206.0999999999999</v>
      </c>
      <c r="J890" s="291">
        <f t="shared" si="191"/>
        <v>1117</v>
      </c>
      <c r="K890" s="291">
        <f t="shared" si="191"/>
        <v>72</v>
      </c>
      <c r="L890" s="597">
        <f t="shared" si="191"/>
        <v>2303204</v>
      </c>
      <c r="M890" s="597">
        <f t="shared" si="191"/>
        <v>0</v>
      </c>
      <c r="N890" s="597">
        <f t="shared" si="191"/>
        <v>0</v>
      </c>
      <c r="O890" s="597">
        <f t="shared" si="191"/>
        <v>2303204</v>
      </c>
      <c r="P890" s="597">
        <f t="shared" si="191"/>
        <v>0</v>
      </c>
      <c r="Q890" s="293" t="s">
        <v>40</v>
      </c>
      <c r="R890" s="293" t="s">
        <v>40</v>
      </c>
      <c r="S890" s="276">
        <v>43465</v>
      </c>
    </row>
    <row r="891" spans="1:19" s="1" customFormat="1" ht="31.5">
      <c r="A891" s="268" t="e">
        <f>#REF!+1</f>
        <v>#REF!</v>
      </c>
      <c r="B891" s="518" t="s">
        <v>772</v>
      </c>
      <c r="C891" s="593">
        <v>1968</v>
      </c>
      <c r="D891" s="593"/>
      <c r="E891" s="271" t="s">
        <v>218</v>
      </c>
      <c r="F891" s="593">
        <v>5</v>
      </c>
      <c r="G891" s="593">
        <v>4</v>
      </c>
      <c r="H891" s="594">
        <v>541.20000000000005</v>
      </c>
      <c r="I891" s="595">
        <v>476.4</v>
      </c>
      <c r="J891" s="595">
        <v>387.3</v>
      </c>
      <c r="K891" s="596">
        <v>39</v>
      </c>
      <c r="L891" s="274">
        <v>1572372</v>
      </c>
      <c r="M891" s="274">
        <v>0</v>
      </c>
      <c r="N891" s="274">
        <v>0</v>
      </c>
      <c r="O891" s="274">
        <f>L891</f>
        <v>1572372</v>
      </c>
      <c r="P891" s="274">
        <v>0</v>
      </c>
      <c r="Q891" s="293">
        <f>L891/I891</f>
        <v>3300.5289672544081</v>
      </c>
      <c r="R891" s="275">
        <v>7920</v>
      </c>
      <c r="S891" s="276">
        <v>43465</v>
      </c>
    </row>
    <row r="892" spans="1:19" s="22" customFormat="1" ht="31.5">
      <c r="A892" s="268" t="e">
        <f>A891+1</f>
        <v>#REF!</v>
      </c>
      <c r="B892" s="518" t="s">
        <v>773</v>
      </c>
      <c r="C892" s="290">
        <v>1980</v>
      </c>
      <c r="D892" s="290"/>
      <c r="E892" s="271" t="s">
        <v>218</v>
      </c>
      <c r="F892" s="290">
        <v>2</v>
      </c>
      <c r="G892" s="290">
        <v>2</v>
      </c>
      <c r="H892" s="291">
        <v>789.1</v>
      </c>
      <c r="I892" s="293">
        <v>729.7</v>
      </c>
      <c r="J892" s="293">
        <v>729.7</v>
      </c>
      <c r="K892" s="292">
        <v>33</v>
      </c>
      <c r="L892" s="274">
        <v>730832</v>
      </c>
      <c r="M892" s="274">
        <v>0</v>
      </c>
      <c r="N892" s="274">
        <v>0</v>
      </c>
      <c r="O892" s="274">
        <f>L892</f>
        <v>730832</v>
      </c>
      <c r="P892" s="274">
        <v>0</v>
      </c>
      <c r="Q892" s="293">
        <f>L892/I892</f>
        <v>1001.5513224612854</v>
      </c>
      <c r="R892" s="275">
        <v>7920</v>
      </c>
      <c r="S892" s="276">
        <v>43465</v>
      </c>
    </row>
    <row r="893" spans="1:19" s="22" customFormat="1" ht="15.75">
      <c r="A893" s="87"/>
      <c r="B893" s="135"/>
      <c r="C893" s="132"/>
      <c r="D893" s="132"/>
      <c r="E893" s="89"/>
      <c r="F893" s="132"/>
      <c r="G893" s="132"/>
      <c r="H893" s="133"/>
      <c r="I893" s="131"/>
      <c r="J893" s="131"/>
      <c r="K893" s="134"/>
      <c r="L893" s="92"/>
      <c r="M893" s="92"/>
      <c r="N893" s="92"/>
      <c r="O893" s="92"/>
      <c r="P893" s="92"/>
      <c r="Q893" s="86"/>
      <c r="R893" s="93"/>
      <c r="S893" s="276"/>
    </row>
    <row r="894" spans="1:19" s="1" customFormat="1" ht="15.75" customHeight="1">
      <c r="A894" s="87"/>
      <c r="B894" s="1068" t="s">
        <v>104</v>
      </c>
      <c r="C894" s="1068"/>
      <c r="D894" s="1068"/>
      <c r="E894" s="1068"/>
      <c r="F894" s="1068"/>
      <c r="G894" s="1068"/>
      <c r="H894" s="107">
        <f>H895</f>
        <v>265.5</v>
      </c>
      <c r="I894" s="86">
        <f t="shared" ref="I894:P894" si="192">I895</f>
        <v>242.9</v>
      </c>
      <c r="J894" s="86">
        <f t="shared" si="192"/>
        <v>242.9</v>
      </c>
      <c r="K894" s="98">
        <f t="shared" si="192"/>
        <v>2</v>
      </c>
      <c r="L894" s="92">
        <f t="shared" si="192"/>
        <v>553839</v>
      </c>
      <c r="M894" s="92">
        <f t="shared" si="192"/>
        <v>0</v>
      </c>
      <c r="N894" s="92">
        <f t="shared" si="192"/>
        <v>414501.02</v>
      </c>
      <c r="O894" s="92">
        <f t="shared" si="192"/>
        <v>139337.98000000001</v>
      </c>
      <c r="P894" s="92">
        <f t="shared" si="192"/>
        <v>0</v>
      </c>
      <c r="Q894" s="86" t="s">
        <v>40</v>
      </c>
      <c r="R894" s="93" t="s">
        <v>40</v>
      </c>
      <c r="S894" s="276">
        <v>43465</v>
      </c>
    </row>
    <row r="895" spans="1:19" s="1" customFormat="1" ht="31.5">
      <c r="A895" s="87">
        <f>A893+1</f>
        <v>1</v>
      </c>
      <c r="B895" s="225" t="s">
        <v>458</v>
      </c>
      <c r="C895" s="88">
        <v>1953</v>
      </c>
      <c r="D895" s="88"/>
      <c r="E895" s="89" t="s">
        <v>218</v>
      </c>
      <c r="F895" s="88">
        <v>2</v>
      </c>
      <c r="G895" s="88">
        <v>1</v>
      </c>
      <c r="H895" s="90">
        <v>265.5</v>
      </c>
      <c r="I895" s="88">
        <v>242.9</v>
      </c>
      <c r="J895" s="88">
        <v>242.9</v>
      </c>
      <c r="K895" s="91">
        <v>2</v>
      </c>
      <c r="L895" s="92">
        <f>N895+O895</f>
        <v>553839</v>
      </c>
      <c r="M895" s="92">
        <v>0</v>
      </c>
      <c r="N895" s="92">
        <v>414501.02</v>
      </c>
      <c r="O895" s="92">
        <v>139337.98000000001</v>
      </c>
      <c r="P895" s="92">
        <v>0</v>
      </c>
      <c r="Q895" s="93">
        <f>L895/I895</f>
        <v>2280.1111568546726</v>
      </c>
      <c r="R895" s="93">
        <v>6774</v>
      </c>
      <c r="S895" s="276">
        <v>43465</v>
      </c>
    </row>
    <row r="896" spans="1:19" s="1" customFormat="1" ht="15.75">
      <c r="A896" s="87"/>
      <c r="B896" s="1124" t="s">
        <v>49</v>
      </c>
      <c r="C896" s="1124"/>
      <c r="D896" s="1124"/>
      <c r="E896" s="1124"/>
      <c r="F896" s="1124"/>
      <c r="G896" s="1124"/>
      <c r="H896" s="107">
        <f>H897+H900+H903+H905</f>
        <v>3572.5</v>
      </c>
      <c r="I896" s="107">
        <f t="shared" ref="I896:P896" si="193">I897+I900+I903+I905</f>
        <v>3050.2000000000003</v>
      </c>
      <c r="J896" s="107">
        <f t="shared" si="193"/>
        <v>3006.9</v>
      </c>
      <c r="K896" s="97">
        <f t="shared" si="193"/>
        <v>171</v>
      </c>
      <c r="L896" s="92">
        <f t="shared" si="193"/>
        <v>6285922.7999999998</v>
      </c>
      <c r="M896" s="92">
        <f t="shared" si="193"/>
        <v>0</v>
      </c>
      <c r="N896" s="92">
        <f t="shared" si="193"/>
        <v>59804</v>
      </c>
      <c r="O896" s="92">
        <f t="shared" si="193"/>
        <v>6226118.7999999998</v>
      </c>
      <c r="P896" s="92">
        <f t="shared" si="193"/>
        <v>0</v>
      </c>
      <c r="Q896" s="86" t="s">
        <v>40</v>
      </c>
      <c r="R896" s="93" t="s">
        <v>40</v>
      </c>
      <c r="S896" s="276">
        <v>43465</v>
      </c>
    </row>
    <row r="897" spans="1:34" s="1" customFormat="1" ht="15.75">
      <c r="A897" s="87"/>
      <c r="B897" s="1066" t="s">
        <v>105</v>
      </c>
      <c r="C897" s="1066"/>
      <c r="D897" s="1066"/>
      <c r="E897" s="1066"/>
      <c r="F897" s="1066"/>
      <c r="G897" s="1066"/>
      <c r="H897" s="107">
        <f t="shared" ref="H897:P897" si="194">H898+H899</f>
        <v>722</v>
      </c>
      <c r="I897" s="97">
        <f t="shared" si="194"/>
        <v>475.1</v>
      </c>
      <c r="J897" s="97">
        <f t="shared" si="194"/>
        <v>431.8</v>
      </c>
      <c r="K897" s="98">
        <f t="shared" si="194"/>
        <v>39</v>
      </c>
      <c r="L897" s="92">
        <f t="shared" si="194"/>
        <v>1753559</v>
      </c>
      <c r="M897" s="92">
        <f t="shared" si="194"/>
        <v>0</v>
      </c>
      <c r="N897" s="92">
        <f t="shared" si="194"/>
        <v>0</v>
      </c>
      <c r="O897" s="92">
        <f t="shared" si="194"/>
        <v>1753559</v>
      </c>
      <c r="P897" s="92">
        <f t="shared" si="194"/>
        <v>0</v>
      </c>
      <c r="Q897" s="86" t="s">
        <v>40</v>
      </c>
      <c r="R897" s="86" t="s">
        <v>40</v>
      </c>
      <c r="S897" s="276">
        <v>43465</v>
      </c>
    </row>
    <row r="898" spans="1:34" s="1" customFormat="1" ht="31.5">
      <c r="A898" s="268">
        <f>A895+1</f>
        <v>2</v>
      </c>
      <c r="B898" s="289" t="s">
        <v>482</v>
      </c>
      <c r="C898" s="290">
        <v>1968</v>
      </c>
      <c r="D898" s="290"/>
      <c r="E898" s="271" t="s">
        <v>218</v>
      </c>
      <c r="F898" s="290">
        <v>2</v>
      </c>
      <c r="G898" s="290">
        <v>2</v>
      </c>
      <c r="H898" s="291">
        <v>722</v>
      </c>
      <c r="I898" s="290">
        <v>475.1</v>
      </c>
      <c r="J898" s="290">
        <v>431.8</v>
      </c>
      <c r="K898" s="292">
        <v>39</v>
      </c>
      <c r="L898" s="274">
        <v>1753559</v>
      </c>
      <c r="M898" s="274">
        <v>0</v>
      </c>
      <c r="N898" s="274">
        <v>0</v>
      </c>
      <c r="O898" s="274">
        <f>L898</f>
        <v>1753559</v>
      </c>
      <c r="P898" s="274">
        <v>0</v>
      </c>
      <c r="Q898" s="293">
        <f>L898/I898</f>
        <v>3690.9261208166699</v>
      </c>
      <c r="R898" s="275">
        <v>7920</v>
      </c>
      <c r="S898" s="276">
        <v>43465</v>
      </c>
    </row>
    <row r="899" spans="1:34" s="1" customFormat="1" ht="15.75">
      <c r="A899" s="87"/>
      <c r="B899" s="226"/>
      <c r="C899" s="97"/>
      <c r="D899" s="97"/>
      <c r="E899" s="89"/>
      <c r="F899" s="97"/>
      <c r="G899" s="97"/>
      <c r="H899" s="107"/>
      <c r="I899" s="86"/>
      <c r="J899" s="97"/>
      <c r="K899" s="98"/>
      <c r="L899" s="92"/>
      <c r="M899" s="92"/>
      <c r="N899" s="92"/>
      <c r="O899" s="92"/>
      <c r="P899" s="92"/>
      <c r="Q899" s="86"/>
      <c r="R899" s="93"/>
      <c r="S899" s="276"/>
    </row>
    <row r="900" spans="1:34" s="1" customFormat="1" ht="15.75" customHeight="1">
      <c r="A900" s="87"/>
      <c r="B900" s="1068" t="s">
        <v>188</v>
      </c>
      <c r="C900" s="1068"/>
      <c r="D900" s="1068"/>
      <c r="E900" s="1068"/>
      <c r="F900" s="1068"/>
      <c r="G900" s="1068"/>
      <c r="H900" s="107">
        <f t="shared" ref="H900:P900" si="195">H901+H902</f>
        <v>1595.1</v>
      </c>
      <c r="I900" s="107">
        <f t="shared" si="195"/>
        <v>1431.3</v>
      </c>
      <c r="J900" s="107">
        <f t="shared" si="195"/>
        <v>1431.3</v>
      </c>
      <c r="K900" s="97">
        <f t="shared" si="195"/>
        <v>87</v>
      </c>
      <c r="L900" s="92">
        <f t="shared" si="195"/>
        <v>1905804</v>
      </c>
      <c r="M900" s="92">
        <f t="shared" si="195"/>
        <v>0</v>
      </c>
      <c r="N900" s="92">
        <f t="shared" si="195"/>
        <v>59804</v>
      </c>
      <c r="O900" s="92">
        <f t="shared" si="195"/>
        <v>1846000</v>
      </c>
      <c r="P900" s="92">
        <f t="shared" si="195"/>
        <v>0</v>
      </c>
      <c r="Q900" s="86" t="s">
        <v>40</v>
      </c>
      <c r="R900" s="93" t="s">
        <v>40</v>
      </c>
      <c r="S900" s="276">
        <v>43465</v>
      </c>
    </row>
    <row r="901" spans="1:34" s="1" customFormat="1" ht="15.75">
      <c r="A901" s="87">
        <f>A899+1</f>
        <v>1</v>
      </c>
      <c r="B901" s="227" t="s">
        <v>410</v>
      </c>
      <c r="C901" s="232">
        <v>1968</v>
      </c>
      <c r="D901" s="97"/>
      <c r="E901" s="89" t="s">
        <v>219</v>
      </c>
      <c r="F901" s="97">
        <v>2</v>
      </c>
      <c r="G901" s="97">
        <v>3</v>
      </c>
      <c r="H901" s="107">
        <v>798.1</v>
      </c>
      <c r="I901" s="86">
        <v>714.4</v>
      </c>
      <c r="J901" s="97">
        <v>714.4</v>
      </c>
      <c r="K901" s="98">
        <v>42</v>
      </c>
      <c r="L901" s="92">
        <v>958459</v>
      </c>
      <c r="M901" s="92">
        <v>0</v>
      </c>
      <c r="N901" s="92">
        <v>35459</v>
      </c>
      <c r="O901" s="92">
        <v>923000</v>
      </c>
      <c r="P901" s="92">
        <v>0</v>
      </c>
      <c r="Q901" s="86">
        <f>L901/I901</f>
        <v>1341.6279395296754</v>
      </c>
      <c r="R901" s="93">
        <v>6774</v>
      </c>
      <c r="S901" s="276">
        <v>43465</v>
      </c>
    </row>
    <row r="902" spans="1:34" s="1" customFormat="1" ht="15.75">
      <c r="A902" s="87">
        <f>A901+1</f>
        <v>2</v>
      </c>
      <c r="B902" s="226" t="s">
        <v>411</v>
      </c>
      <c r="C902" s="97">
        <v>1970</v>
      </c>
      <c r="D902" s="97"/>
      <c r="E902" s="89" t="s">
        <v>219</v>
      </c>
      <c r="F902" s="97">
        <v>2</v>
      </c>
      <c r="G902" s="97">
        <v>3</v>
      </c>
      <c r="H902" s="107">
        <v>797</v>
      </c>
      <c r="I902" s="86">
        <v>716.9</v>
      </c>
      <c r="J902" s="97">
        <v>716.9</v>
      </c>
      <c r="K902" s="98">
        <v>45</v>
      </c>
      <c r="L902" s="92">
        <v>947345</v>
      </c>
      <c r="M902" s="92">
        <v>0</v>
      </c>
      <c r="N902" s="92">
        <v>24345</v>
      </c>
      <c r="O902" s="92">
        <v>923000</v>
      </c>
      <c r="P902" s="92">
        <v>0</v>
      </c>
      <c r="Q902" s="86">
        <f>L902/I902</f>
        <v>1321.4465057888131</v>
      </c>
      <c r="R902" s="93">
        <v>6774</v>
      </c>
      <c r="S902" s="276">
        <v>43465</v>
      </c>
    </row>
    <row r="903" spans="1:34" s="1" customFormat="1" ht="15.75">
      <c r="A903" s="87"/>
      <c r="B903" s="1066" t="s">
        <v>189</v>
      </c>
      <c r="C903" s="1066"/>
      <c r="D903" s="1066"/>
      <c r="E903" s="1066"/>
      <c r="F903" s="1066"/>
      <c r="G903" s="1066"/>
      <c r="H903" s="107">
        <f>H904</f>
        <v>506.9</v>
      </c>
      <c r="I903" s="107">
        <f t="shared" ref="I903:P903" si="196">I904</f>
        <v>402.3</v>
      </c>
      <c r="J903" s="107">
        <f t="shared" si="196"/>
        <v>402.3</v>
      </c>
      <c r="K903" s="97">
        <f t="shared" si="196"/>
        <v>7</v>
      </c>
      <c r="L903" s="92">
        <f t="shared" si="196"/>
        <v>820660</v>
      </c>
      <c r="M903" s="92">
        <f t="shared" si="196"/>
        <v>0</v>
      </c>
      <c r="N903" s="92">
        <f t="shared" si="196"/>
        <v>0</v>
      </c>
      <c r="O903" s="92">
        <f t="shared" si="196"/>
        <v>820660</v>
      </c>
      <c r="P903" s="92">
        <f t="shared" si="196"/>
        <v>0</v>
      </c>
      <c r="Q903" s="86" t="s">
        <v>40</v>
      </c>
      <c r="R903" s="93" t="s">
        <v>40</v>
      </c>
      <c r="S903" s="276">
        <v>43465</v>
      </c>
    </row>
    <row r="904" spans="1:34" s="1" customFormat="1" ht="31.5">
      <c r="A904" s="87">
        <f>A902+1</f>
        <v>3</v>
      </c>
      <c r="B904" s="226" t="s">
        <v>412</v>
      </c>
      <c r="C904" s="97">
        <v>1958</v>
      </c>
      <c r="D904" s="97"/>
      <c r="E904" s="89" t="s">
        <v>218</v>
      </c>
      <c r="F904" s="97">
        <v>2</v>
      </c>
      <c r="G904" s="97">
        <v>1</v>
      </c>
      <c r="H904" s="107">
        <v>506.9</v>
      </c>
      <c r="I904" s="86">
        <v>402.3</v>
      </c>
      <c r="J904" s="97">
        <v>402.3</v>
      </c>
      <c r="K904" s="98">
        <v>7</v>
      </c>
      <c r="L904" s="92">
        <v>820660</v>
      </c>
      <c r="M904" s="92">
        <v>0</v>
      </c>
      <c r="N904" s="92">
        <v>0</v>
      </c>
      <c r="O904" s="92">
        <f>L904</f>
        <v>820660</v>
      </c>
      <c r="P904" s="92">
        <v>0</v>
      </c>
      <c r="Q904" s="86">
        <f>L904/I904</f>
        <v>2039.9204573701218</v>
      </c>
      <c r="R904" s="93">
        <v>6774</v>
      </c>
      <c r="S904" s="276">
        <v>43465</v>
      </c>
    </row>
    <row r="905" spans="1:34" s="1" customFormat="1" ht="15.75">
      <c r="A905" s="87"/>
      <c r="B905" s="1066" t="s">
        <v>131</v>
      </c>
      <c r="C905" s="1066"/>
      <c r="D905" s="1066"/>
      <c r="E905" s="1066"/>
      <c r="F905" s="1066"/>
      <c r="G905" s="1066"/>
      <c r="H905" s="107">
        <f>H906</f>
        <v>748.5</v>
      </c>
      <c r="I905" s="107">
        <f t="shared" ref="I905:P905" si="197">I906</f>
        <v>741.5</v>
      </c>
      <c r="J905" s="107">
        <f t="shared" si="197"/>
        <v>741.5</v>
      </c>
      <c r="K905" s="107">
        <f t="shared" si="197"/>
        <v>38</v>
      </c>
      <c r="L905" s="313">
        <f t="shared" si="197"/>
        <v>1805899.8</v>
      </c>
      <c r="M905" s="313">
        <f t="shared" si="197"/>
        <v>0</v>
      </c>
      <c r="N905" s="313">
        <f t="shared" si="197"/>
        <v>0</v>
      </c>
      <c r="O905" s="313">
        <f t="shared" si="197"/>
        <v>1805899.8</v>
      </c>
      <c r="P905" s="313">
        <f t="shared" si="197"/>
        <v>0</v>
      </c>
      <c r="Q905" s="86" t="s">
        <v>40</v>
      </c>
      <c r="R905" s="93" t="s">
        <v>40</v>
      </c>
      <c r="S905" s="276">
        <v>43465</v>
      </c>
    </row>
    <row r="906" spans="1:34" s="48" customFormat="1">
      <c r="A906" s="87">
        <f>A904+1</f>
        <v>4</v>
      </c>
      <c r="B906" s="136" t="s">
        <v>660</v>
      </c>
      <c r="C906" s="110">
        <v>1969</v>
      </c>
      <c r="D906" s="110"/>
      <c r="E906" s="89" t="s">
        <v>661</v>
      </c>
      <c r="F906" s="110">
        <v>2</v>
      </c>
      <c r="G906" s="110">
        <v>1</v>
      </c>
      <c r="H906" s="110">
        <v>748.5</v>
      </c>
      <c r="I906" s="110">
        <v>741.5</v>
      </c>
      <c r="J906" s="110">
        <v>741.5</v>
      </c>
      <c r="K906" s="110">
        <v>38</v>
      </c>
      <c r="L906" s="92">
        <v>1805899.8</v>
      </c>
      <c r="M906" s="92">
        <v>0</v>
      </c>
      <c r="N906" s="92">
        <v>0</v>
      </c>
      <c r="O906" s="92">
        <v>1805899.8</v>
      </c>
      <c r="P906" s="92">
        <v>0</v>
      </c>
      <c r="Q906" s="103">
        <f>L906/I906</f>
        <v>2435.4683749157116</v>
      </c>
      <c r="R906" s="93">
        <v>7920</v>
      </c>
      <c r="S906" s="276">
        <v>43465</v>
      </c>
    </row>
    <row r="907" spans="1:34" s="48" customFormat="1">
      <c r="A907" s="87"/>
      <c r="B907" s="118"/>
      <c r="C907" s="110"/>
      <c r="D907" s="110"/>
      <c r="E907" s="89"/>
      <c r="F907" s="110"/>
      <c r="G907" s="110"/>
      <c r="H907" s="110"/>
      <c r="I907" s="110"/>
      <c r="J907" s="110"/>
      <c r="K907" s="110"/>
      <c r="L907" s="92"/>
      <c r="M907" s="92"/>
      <c r="N907" s="92"/>
      <c r="O907" s="92"/>
      <c r="P907" s="92"/>
      <c r="Q907" s="103"/>
      <c r="R907" s="93"/>
      <c r="S907" s="276"/>
    </row>
    <row r="908" spans="1:34" s="1" customFormat="1" ht="15.75">
      <c r="A908" s="87"/>
      <c r="B908" s="1066" t="s">
        <v>50</v>
      </c>
      <c r="C908" s="1066"/>
      <c r="D908" s="1066"/>
      <c r="E908" s="1066"/>
      <c r="F908" s="1066"/>
      <c r="G908" s="1066"/>
      <c r="H908" s="86">
        <f>H909</f>
        <v>10972.3</v>
      </c>
      <c r="I908" s="86">
        <f t="shared" ref="I908:P908" si="198">I909</f>
        <v>9982.5</v>
      </c>
      <c r="J908" s="86">
        <f t="shared" si="198"/>
        <v>8768.7999999999993</v>
      </c>
      <c r="K908" s="98">
        <f t="shared" si="198"/>
        <v>402</v>
      </c>
      <c r="L908" s="92">
        <f t="shared" si="198"/>
        <v>13535827</v>
      </c>
      <c r="M908" s="92">
        <f t="shared" si="198"/>
        <v>0</v>
      </c>
      <c r="N908" s="92">
        <f t="shared" si="198"/>
        <v>0</v>
      </c>
      <c r="O908" s="92">
        <f t="shared" si="198"/>
        <v>13535827</v>
      </c>
      <c r="P908" s="92">
        <f t="shared" si="198"/>
        <v>0</v>
      </c>
      <c r="Q908" s="86" t="s">
        <v>40</v>
      </c>
      <c r="R908" s="93" t="s">
        <v>40</v>
      </c>
      <c r="S908" s="276">
        <v>43465</v>
      </c>
    </row>
    <row r="909" spans="1:34" s="14" customFormat="1" ht="15.75">
      <c r="A909" s="87"/>
      <c r="B909" s="1066" t="s">
        <v>106</v>
      </c>
      <c r="C909" s="1066"/>
      <c r="D909" s="1066"/>
      <c r="E909" s="1066"/>
      <c r="F909" s="1066"/>
      <c r="G909" s="1066"/>
      <c r="H909" s="353">
        <f t="shared" ref="H909:P909" si="199">SUM(H910:H915)</f>
        <v>10972.3</v>
      </c>
      <c r="I909" s="353">
        <f t="shared" si="199"/>
        <v>9982.5</v>
      </c>
      <c r="J909" s="353">
        <f t="shared" si="199"/>
        <v>8768.7999999999993</v>
      </c>
      <c r="K909" s="579">
        <f t="shared" si="199"/>
        <v>402</v>
      </c>
      <c r="L909" s="92">
        <f t="shared" si="199"/>
        <v>13535827</v>
      </c>
      <c r="M909" s="92">
        <f t="shared" si="199"/>
        <v>0</v>
      </c>
      <c r="N909" s="92">
        <f t="shared" si="199"/>
        <v>0</v>
      </c>
      <c r="O909" s="92">
        <f t="shared" si="199"/>
        <v>13535827</v>
      </c>
      <c r="P909" s="92">
        <f t="shared" si="199"/>
        <v>0</v>
      </c>
      <c r="Q909" s="86" t="s">
        <v>40</v>
      </c>
      <c r="R909" s="93" t="s">
        <v>40</v>
      </c>
      <c r="S909" s="276">
        <v>43465</v>
      </c>
    </row>
    <row r="910" spans="1:34" s="51" customFormat="1" ht="31.5">
      <c r="A910" s="87">
        <f>A907+1</f>
        <v>1</v>
      </c>
      <c r="B910" s="137" t="s">
        <v>843</v>
      </c>
      <c r="C910" s="138">
        <v>1978</v>
      </c>
      <c r="D910" s="139"/>
      <c r="E910" s="89" t="s">
        <v>218</v>
      </c>
      <c r="F910" s="139">
        <v>5</v>
      </c>
      <c r="G910" s="710">
        <v>4</v>
      </c>
      <c r="H910" s="712">
        <v>3329.3</v>
      </c>
      <c r="I910" s="711">
        <v>3057.4</v>
      </c>
      <c r="J910" s="711">
        <v>2858</v>
      </c>
      <c r="K910" s="711">
        <v>111</v>
      </c>
      <c r="L910" s="578">
        <v>2331667</v>
      </c>
      <c r="M910" s="92">
        <f>SUM(M911:M915)</f>
        <v>0</v>
      </c>
      <c r="N910" s="92">
        <f>SUM(N911:N915)</f>
        <v>0</v>
      </c>
      <c r="O910" s="92">
        <f t="shared" ref="O910:O915" si="200">L910</f>
        <v>2331667</v>
      </c>
      <c r="P910" s="92">
        <f>SUM(P911:P915)</f>
        <v>0</v>
      </c>
      <c r="Q910" s="140">
        <f t="shared" ref="Q910:Q915" si="201">L910/I910</f>
        <v>762.6306665794466</v>
      </c>
      <c r="R910" s="93">
        <v>7920</v>
      </c>
      <c r="S910" s="276">
        <v>43465</v>
      </c>
      <c r="T910" s="38"/>
      <c r="U910" s="38"/>
      <c r="V910" s="38"/>
      <c r="W910" s="38"/>
      <c r="X910" s="38"/>
      <c r="Y910" s="38"/>
      <c r="Z910" s="38"/>
      <c r="AA910" s="38"/>
      <c r="AB910" s="38"/>
      <c r="AC910" s="38"/>
      <c r="AD910" s="38"/>
      <c r="AE910" s="38"/>
      <c r="AF910" s="38"/>
      <c r="AG910" s="38"/>
      <c r="AH910" s="38"/>
    </row>
    <row r="911" spans="1:34" s="38" customFormat="1" ht="31.5">
      <c r="A911" s="87">
        <f>A910+1</f>
        <v>2</v>
      </c>
      <c r="B911" s="137" t="s">
        <v>847</v>
      </c>
      <c r="C911" s="138">
        <v>1975</v>
      </c>
      <c r="D911" s="139"/>
      <c r="E911" s="89" t="s">
        <v>218</v>
      </c>
      <c r="F911" s="139">
        <v>2</v>
      </c>
      <c r="G911" s="710">
        <v>2</v>
      </c>
      <c r="H911" s="712">
        <v>834.4</v>
      </c>
      <c r="I911" s="711">
        <v>769.7</v>
      </c>
      <c r="J911" s="711">
        <v>396.1</v>
      </c>
      <c r="K911" s="711">
        <v>56</v>
      </c>
      <c r="L911" s="578">
        <v>2406324</v>
      </c>
      <c r="M911" s="92">
        <f>SUM(M912:M917)</f>
        <v>0</v>
      </c>
      <c r="N911" s="92">
        <f>SUM(N912:N917)</f>
        <v>0</v>
      </c>
      <c r="O911" s="92">
        <f t="shared" si="200"/>
        <v>2406324</v>
      </c>
      <c r="P911" s="92">
        <f>SUM(P912:P917)</f>
        <v>0</v>
      </c>
      <c r="Q911" s="140">
        <f t="shared" si="201"/>
        <v>3126.3141483694944</v>
      </c>
      <c r="R911" s="93">
        <v>7920</v>
      </c>
      <c r="S911" s="276">
        <v>43465</v>
      </c>
    </row>
    <row r="912" spans="1:34" s="38" customFormat="1" ht="31.5">
      <c r="A912" s="87">
        <f>A911+1</f>
        <v>3</v>
      </c>
      <c r="B912" s="137" t="s">
        <v>848</v>
      </c>
      <c r="C912" s="138">
        <v>1971</v>
      </c>
      <c r="D912" s="139"/>
      <c r="E912" s="89" t="s">
        <v>218</v>
      </c>
      <c r="F912" s="139">
        <v>2</v>
      </c>
      <c r="G912" s="710">
        <v>2</v>
      </c>
      <c r="H912" s="712">
        <v>575.70000000000005</v>
      </c>
      <c r="I912" s="711">
        <v>528.20000000000005</v>
      </c>
      <c r="J912" s="711">
        <v>496.5</v>
      </c>
      <c r="K912" s="711">
        <v>13</v>
      </c>
      <c r="L912" s="578">
        <v>1559913</v>
      </c>
      <c r="M912" s="92">
        <f>SUM(M913:M916)</f>
        <v>0</v>
      </c>
      <c r="N912" s="92">
        <f>SUM(N913:N916)</f>
        <v>0</v>
      </c>
      <c r="O912" s="92">
        <f t="shared" si="200"/>
        <v>1559913</v>
      </c>
      <c r="P912" s="92">
        <f>SUM(P913:P916)</f>
        <v>0</v>
      </c>
      <c r="Q912" s="140">
        <f t="shared" si="201"/>
        <v>2953.2620219613782</v>
      </c>
      <c r="R912" s="93">
        <v>7920</v>
      </c>
      <c r="S912" s="276">
        <v>43465</v>
      </c>
    </row>
    <row r="913" spans="1:19" s="38" customFormat="1" ht="31.5">
      <c r="A913" s="87">
        <f>A912+1</f>
        <v>4</v>
      </c>
      <c r="B913" s="137" t="s">
        <v>849</v>
      </c>
      <c r="C913" s="138">
        <v>1961</v>
      </c>
      <c r="D913" s="139"/>
      <c r="E913" s="89" t="s">
        <v>218</v>
      </c>
      <c r="F913" s="139">
        <v>2</v>
      </c>
      <c r="G913" s="710">
        <v>2</v>
      </c>
      <c r="H913" s="712">
        <v>502.8</v>
      </c>
      <c r="I913" s="711">
        <v>459</v>
      </c>
      <c r="J913" s="711">
        <v>348</v>
      </c>
      <c r="K913" s="711">
        <v>27</v>
      </c>
      <c r="L913" s="578">
        <v>1511041</v>
      </c>
      <c r="M913" s="92">
        <f>SUM(M914:M915)</f>
        <v>0</v>
      </c>
      <c r="N913" s="92">
        <f>SUM(N914:N915)</f>
        <v>0</v>
      </c>
      <c r="O913" s="92">
        <f t="shared" si="200"/>
        <v>1511041</v>
      </c>
      <c r="P913" s="92">
        <f>SUM(P914:P915)</f>
        <v>0</v>
      </c>
      <c r="Q913" s="140">
        <f t="shared" si="201"/>
        <v>3292.0283224400873</v>
      </c>
      <c r="R913" s="93">
        <v>7920</v>
      </c>
      <c r="S913" s="276">
        <v>43465</v>
      </c>
    </row>
    <row r="914" spans="1:19" s="38" customFormat="1" ht="31.5">
      <c r="A914" s="87">
        <v>5</v>
      </c>
      <c r="B914" s="137" t="s">
        <v>851</v>
      </c>
      <c r="C914" s="138">
        <v>1961</v>
      </c>
      <c r="D914" s="139"/>
      <c r="E914" s="89" t="s">
        <v>218</v>
      </c>
      <c r="F914" s="139">
        <v>2</v>
      </c>
      <c r="G914" s="710">
        <v>1</v>
      </c>
      <c r="H914" s="712">
        <v>339.4</v>
      </c>
      <c r="I914" s="711">
        <v>305.2</v>
      </c>
      <c r="J914" s="711">
        <v>222.7</v>
      </c>
      <c r="K914" s="711">
        <v>12</v>
      </c>
      <c r="L914" s="578">
        <v>936676</v>
      </c>
      <c r="M914" s="92">
        <f>SUM(M915:M919)</f>
        <v>0</v>
      </c>
      <c r="N914" s="92">
        <f>SUM(N915:N919)</f>
        <v>0</v>
      </c>
      <c r="O914" s="92">
        <f t="shared" si="200"/>
        <v>936676</v>
      </c>
      <c r="P914" s="92">
        <f>SUM(P915:P919)</f>
        <v>0</v>
      </c>
      <c r="Q914" s="140">
        <f t="shared" si="201"/>
        <v>3069.0563564875492</v>
      </c>
      <c r="R914" s="93">
        <v>7920</v>
      </c>
      <c r="S914" s="276">
        <v>43465</v>
      </c>
    </row>
    <row r="915" spans="1:19" s="38" customFormat="1" ht="31.5">
      <c r="A915" s="87">
        <v>6</v>
      </c>
      <c r="B915" s="137" t="s">
        <v>844</v>
      </c>
      <c r="C915" s="138">
        <v>1980</v>
      </c>
      <c r="D915" s="139"/>
      <c r="E915" s="89" t="s">
        <v>218</v>
      </c>
      <c r="F915" s="139">
        <v>5</v>
      </c>
      <c r="G915" s="710">
        <v>7</v>
      </c>
      <c r="H915" s="712">
        <v>5390.7</v>
      </c>
      <c r="I915" s="711">
        <v>4863</v>
      </c>
      <c r="J915" s="711">
        <v>4447.5</v>
      </c>
      <c r="K915" s="711">
        <v>183</v>
      </c>
      <c r="L915" s="578">
        <v>4790206</v>
      </c>
      <c r="M915" s="92">
        <f>SUM(M916:M920)</f>
        <v>0</v>
      </c>
      <c r="N915" s="92">
        <f>SUM(N916:N920)</f>
        <v>0</v>
      </c>
      <c r="O915" s="92">
        <f t="shared" si="200"/>
        <v>4790206</v>
      </c>
      <c r="P915" s="92">
        <f>SUM(P916:P920)</f>
        <v>0</v>
      </c>
      <c r="Q915" s="140">
        <f t="shared" si="201"/>
        <v>985.03105079169234</v>
      </c>
      <c r="R915" s="93">
        <v>7920</v>
      </c>
      <c r="S915" s="276">
        <v>43465</v>
      </c>
    </row>
    <row r="916" spans="1:19" s="1" customFormat="1" ht="15.75">
      <c r="A916" s="87"/>
      <c r="B916" s="1066" t="s">
        <v>51</v>
      </c>
      <c r="C916" s="1066"/>
      <c r="D916" s="1066"/>
      <c r="E916" s="1066"/>
      <c r="F916" s="1066"/>
      <c r="G916" s="1066"/>
      <c r="H916" s="682">
        <f>H917</f>
        <v>8644.4000000000015</v>
      </c>
      <c r="I916" s="708">
        <f t="shared" ref="I916:P916" si="202">I917</f>
        <v>8644.4000000000015</v>
      </c>
      <c r="J916" s="708">
        <f t="shared" si="202"/>
        <v>5920.9</v>
      </c>
      <c r="K916" s="694">
        <f t="shared" si="202"/>
        <v>283</v>
      </c>
      <c r="L916" s="92">
        <f t="shared" si="202"/>
        <v>11085155</v>
      </c>
      <c r="M916" s="92">
        <f t="shared" si="202"/>
        <v>0</v>
      </c>
      <c r="N916" s="92">
        <f t="shared" si="202"/>
        <v>0</v>
      </c>
      <c r="O916" s="92">
        <f t="shared" si="202"/>
        <v>11085155</v>
      </c>
      <c r="P916" s="92">
        <f t="shared" si="202"/>
        <v>0</v>
      </c>
      <c r="Q916" s="86" t="s">
        <v>40</v>
      </c>
      <c r="R916" s="86" t="s">
        <v>40</v>
      </c>
      <c r="S916" s="276">
        <v>43465</v>
      </c>
    </row>
    <row r="917" spans="1:19" s="1" customFormat="1" ht="27" customHeight="1">
      <c r="A917" s="87"/>
      <c r="B917" s="1066" t="s">
        <v>108</v>
      </c>
      <c r="C917" s="1066"/>
      <c r="D917" s="1066"/>
      <c r="E917" s="1066"/>
      <c r="F917" s="1109"/>
      <c r="G917" s="1109"/>
      <c r="H917" s="536">
        <f t="shared" ref="H917:P917" si="203">SUM(H918:H925)</f>
        <v>8644.4000000000015</v>
      </c>
      <c r="I917" s="823">
        <f t="shared" si="203"/>
        <v>8644.4000000000015</v>
      </c>
      <c r="J917" s="823">
        <f t="shared" si="203"/>
        <v>5920.9</v>
      </c>
      <c r="K917" s="579">
        <f t="shared" si="203"/>
        <v>283</v>
      </c>
      <c r="L917" s="92">
        <f t="shared" si="203"/>
        <v>11085155</v>
      </c>
      <c r="M917" s="92">
        <f t="shared" si="203"/>
        <v>0</v>
      </c>
      <c r="N917" s="92">
        <f t="shared" si="203"/>
        <v>0</v>
      </c>
      <c r="O917" s="92">
        <f t="shared" si="203"/>
        <v>11085155</v>
      </c>
      <c r="P917" s="92">
        <f t="shared" si="203"/>
        <v>0</v>
      </c>
      <c r="Q917" s="86" t="s">
        <v>40</v>
      </c>
      <c r="R917" s="86" t="s">
        <v>40</v>
      </c>
      <c r="S917" s="276">
        <v>43465</v>
      </c>
    </row>
    <row r="918" spans="1:19" s="39" customFormat="1" ht="31.5">
      <c r="A918" s="87">
        <v>1</v>
      </c>
      <c r="B918" s="223" t="s">
        <v>1006</v>
      </c>
      <c r="C918" s="97">
        <v>1974</v>
      </c>
      <c r="D918" s="97"/>
      <c r="E918" s="534" t="s">
        <v>218</v>
      </c>
      <c r="F918" s="147">
        <v>5</v>
      </c>
      <c r="G918" s="147">
        <v>4</v>
      </c>
      <c r="H918" s="829">
        <v>3702</v>
      </c>
      <c r="I918" s="829">
        <v>3702</v>
      </c>
      <c r="J918" s="829">
        <v>3117.7</v>
      </c>
      <c r="K918" s="147">
        <v>109</v>
      </c>
      <c r="L918" s="578">
        <f>O918</f>
        <v>2338689</v>
      </c>
      <c r="M918" s="92">
        <v>0</v>
      </c>
      <c r="N918" s="92">
        <v>0</v>
      </c>
      <c r="O918" s="92">
        <v>2338689</v>
      </c>
      <c r="P918" s="92">
        <v>0</v>
      </c>
      <c r="Q918" s="142">
        <f t="shared" ref="Q918:Q928" si="204">L918/I918</f>
        <v>631.73662884927069</v>
      </c>
      <c r="R918" s="93">
        <v>7920</v>
      </c>
      <c r="S918" s="276">
        <v>43465</v>
      </c>
    </row>
    <row r="919" spans="1:19" s="39" customFormat="1" ht="31.5">
      <c r="A919" s="87">
        <f t="shared" ref="A919:A925" si="205">A918+1</f>
        <v>2</v>
      </c>
      <c r="B919" s="223" t="s">
        <v>1007</v>
      </c>
      <c r="C919" s="97" t="s">
        <v>190</v>
      </c>
      <c r="D919" s="97"/>
      <c r="E919" s="534" t="s">
        <v>218</v>
      </c>
      <c r="F919" s="147">
        <v>2</v>
      </c>
      <c r="G919" s="147">
        <v>2</v>
      </c>
      <c r="H919" s="829">
        <v>172.5</v>
      </c>
      <c r="I919" s="829">
        <v>172.5</v>
      </c>
      <c r="J919" s="829">
        <v>128.19999999999999</v>
      </c>
      <c r="K919" s="147">
        <v>7</v>
      </c>
      <c r="L919" s="578">
        <f t="shared" ref="L919:L925" si="206">O919</f>
        <v>533628</v>
      </c>
      <c r="M919" s="92">
        <v>0</v>
      </c>
      <c r="N919" s="92">
        <v>0</v>
      </c>
      <c r="O919" s="92">
        <v>533628</v>
      </c>
      <c r="P919" s="92">
        <v>0</v>
      </c>
      <c r="Q919" s="142">
        <f t="shared" si="204"/>
        <v>3093.4956521739132</v>
      </c>
      <c r="R919" s="93">
        <v>7920</v>
      </c>
      <c r="S919" s="276">
        <v>43465</v>
      </c>
    </row>
    <row r="920" spans="1:19" s="39" customFormat="1" ht="31.5">
      <c r="A920" s="87">
        <f t="shared" si="205"/>
        <v>3</v>
      </c>
      <c r="B920" s="223" t="s">
        <v>1008</v>
      </c>
      <c r="C920" s="97">
        <v>1938</v>
      </c>
      <c r="D920" s="97"/>
      <c r="E920" s="534" t="s">
        <v>218</v>
      </c>
      <c r="F920" s="147">
        <v>2</v>
      </c>
      <c r="G920" s="147">
        <v>2</v>
      </c>
      <c r="H920" s="829">
        <v>256.60000000000002</v>
      </c>
      <c r="I920" s="829">
        <v>256.60000000000002</v>
      </c>
      <c r="J920" s="829">
        <v>165.1</v>
      </c>
      <c r="K920" s="147">
        <v>12</v>
      </c>
      <c r="L920" s="578">
        <f t="shared" si="206"/>
        <v>966865</v>
      </c>
      <c r="M920" s="92">
        <v>0</v>
      </c>
      <c r="N920" s="92">
        <v>0</v>
      </c>
      <c r="O920" s="92">
        <v>966865</v>
      </c>
      <c r="P920" s="92">
        <v>0</v>
      </c>
      <c r="Q920" s="142">
        <f t="shared" si="204"/>
        <v>3767.9851909586901</v>
      </c>
      <c r="R920" s="93">
        <v>7920</v>
      </c>
      <c r="S920" s="276">
        <v>43465</v>
      </c>
    </row>
    <row r="921" spans="1:19" s="1" customFormat="1" ht="30.6" customHeight="1">
      <c r="A921" s="87">
        <f t="shared" si="205"/>
        <v>4</v>
      </c>
      <c r="B921" s="223" t="s">
        <v>1009</v>
      </c>
      <c r="C921" s="144">
        <v>1960</v>
      </c>
      <c r="D921" s="143"/>
      <c r="E921" s="534" t="s">
        <v>218</v>
      </c>
      <c r="F921" s="147">
        <v>2</v>
      </c>
      <c r="G921" s="147">
        <v>1</v>
      </c>
      <c r="H921" s="829">
        <v>302.2</v>
      </c>
      <c r="I921" s="829">
        <v>302.2</v>
      </c>
      <c r="J921" s="829">
        <v>205.3</v>
      </c>
      <c r="K921" s="147">
        <v>12</v>
      </c>
      <c r="L921" s="578">
        <f t="shared" si="206"/>
        <v>947700</v>
      </c>
      <c r="M921" s="92">
        <v>0</v>
      </c>
      <c r="N921" s="92">
        <v>0</v>
      </c>
      <c r="O921" s="92">
        <v>947700</v>
      </c>
      <c r="P921" s="92">
        <v>0</v>
      </c>
      <c r="Q921" s="142">
        <f t="shared" si="204"/>
        <v>3136.0026472534746</v>
      </c>
      <c r="R921" s="93">
        <v>7920</v>
      </c>
      <c r="S921" s="276">
        <v>43465</v>
      </c>
    </row>
    <row r="922" spans="1:19" s="1" customFormat="1" ht="31.5">
      <c r="A922" s="87">
        <f t="shared" si="205"/>
        <v>5</v>
      </c>
      <c r="B922" s="223" t="s">
        <v>1010</v>
      </c>
      <c r="C922" s="97">
        <v>1959</v>
      </c>
      <c r="D922" s="97"/>
      <c r="E922" s="534" t="s">
        <v>218</v>
      </c>
      <c r="F922" s="147">
        <v>2</v>
      </c>
      <c r="G922" s="147">
        <v>1</v>
      </c>
      <c r="H922" s="829">
        <v>281.60000000000002</v>
      </c>
      <c r="I922" s="829">
        <v>281.60000000000002</v>
      </c>
      <c r="J922" s="829">
        <v>198.5</v>
      </c>
      <c r="K922" s="147">
        <v>13</v>
      </c>
      <c r="L922" s="578">
        <f t="shared" si="206"/>
        <v>853104</v>
      </c>
      <c r="M922" s="92">
        <v>0</v>
      </c>
      <c r="N922" s="92">
        <v>0</v>
      </c>
      <c r="O922" s="92">
        <v>853104</v>
      </c>
      <c r="P922" s="92">
        <v>0</v>
      </c>
      <c r="Q922" s="142">
        <f t="shared" si="204"/>
        <v>3029.488636363636</v>
      </c>
      <c r="R922" s="93">
        <v>7920</v>
      </c>
      <c r="S922" s="276">
        <v>43465</v>
      </c>
    </row>
    <row r="923" spans="1:19" s="18" customFormat="1" ht="31.5">
      <c r="A923" s="87">
        <f t="shared" si="205"/>
        <v>6</v>
      </c>
      <c r="B923" s="226" t="s">
        <v>1011</v>
      </c>
      <c r="C923" s="97" t="s">
        <v>190</v>
      </c>
      <c r="D923" s="97"/>
      <c r="E923" s="534" t="s">
        <v>218</v>
      </c>
      <c r="F923" s="147">
        <v>2</v>
      </c>
      <c r="G923" s="147">
        <v>2</v>
      </c>
      <c r="H923" s="829">
        <v>245</v>
      </c>
      <c r="I923" s="829">
        <v>245</v>
      </c>
      <c r="J923" s="829">
        <v>126</v>
      </c>
      <c r="K923" s="147">
        <v>7</v>
      </c>
      <c r="L923" s="578">
        <f t="shared" si="206"/>
        <v>789420</v>
      </c>
      <c r="M923" s="92">
        <v>0</v>
      </c>
      <c r="N923" s="92">
        <v>0</v>
      </c>
      <c r="O923" s="92">
        <v>789420</v>
      </c>
      <c r="P923" s="92">
        <v>0</v>
      </c>
      <c r="Q923" s="142">
        <f t="shared" si="204"/>
        <v>3222.1224489795918</v>
      </c>
      <c r="R923" s="93">
        <v>7920</v>
      </c>
      <c r="S923" s="276">
        <v>43465</v>
      </c>
    </row>
    <row r="924" spans="1:19" s="1" customFormat="1" ht="31.5">
      <c r="A924" s="87">
        <f t="shared" si="205"/>
        <v>7</v>
      </c>
      <c r="B924" s="223" t="s">
        <v>1012</v>
      </c>
      <c r="C924" s="97">
        <v>1963</v>
      </c>
      <c r="D924" s="97"/>
      <c r="E924" s="534" t="s">
        <v>218</v>
      </c>
      <c r="F924" s="147">
        <v>4</v>
      </c>
      <c r="G924" s="147">
        <v>3</v>
      </c>
      <c r="H924" s="829">
        <v>2536</v>
      </c>
      <c r="I924" s="829">
        <v>2536</v>
      </c>
      <c r="J924" s="829">
        <v>1398</v>
      </c>
      <c r="K924" s="147">
        <v>60</v>
      </c>
      <c r="L924" s="578">
        <f t="shared" si="206"/>
        <v>3688049</v>
      </c>
      <c r="M924" s="92">
        <v>0</v>
      </c>
      <c r="N924" s="92">
        <v>0</v>
      </c>
      <c r="O924" s="92">
        <v>3688049</v>
      </c>
      <c r="P924" s="92">
        <v>0</v>
      </c>
      <c r="Q924" s="142">
        <f t="shared" si="204"/>
        <v>1454.2779968454258</v>
      </c>
      <c r="R924" s="93">
        <v>7920</v>
      </c>
      <c r="S924" s="276">
        <v>43465</v>
      </c>
    </row>
    <row r="925" spans="1:19" s="1" customFormat="1" ht="31.5">
      <c r="A925" s="87">
        <f t="shared" si="205"/>
        <v>8</v>
      </c>
      <c r="B925" s="223" t="s">
        <v>1013</v>
      </c>
      <c r="C925" s="97">
        <v>1969</v>
      </c>
      <c r="D925" s="97"/>
      <c r="E925" s="534" t="s">
        <v>218</v>
      </c>
      <c r="F925" s="147">
        <v>3</v>
      </c>
      <c r="G925" s="147">
        <v>2</v>
      </c>
      <c r="H925" s="829">
        <v>1148.5</v>
      </c>
      <c r="I925" s="829">
        <v>1148.5</v>
      </c>
      <c r="J925" s="829">
        <v>582.1</v>
      </c>
      <c r="K925" s="147">
        <v>63</v>
      </c>
      <c r="L925" s="578">
        <f t="shared" si="206"/>
        <v>967700</v>
      </c>
      <c r="M925" s="92">
        <v>0</v>
      </c>
      <c r="N925" s="92">
        <v>0</v>
      </c>
      <c r="O925" s="92">
        <v>967700</v>
      </c>
      <c r="P925" s="92">
        <v>0</v>
      </c>
      <c r="Q925" s="142">
        <f t="shared" si="204"/>
        <v>842.5772747061385</v>
      </c>
      <c r="R925" s="93">
        <v>7920</v>
      </c>
      <c r="S925" s="276">
        <v>43465</v>
      </c>
    </row>
    <row r="926" spans="1:19" s="1" customFormat="1" ht="24.6" customHeight="1">
      <c r="A926" s="268"/>
      <c r="B926" s="1120" t="s">
        <v>882</v>
      </c>
      <c r="C926" s="1120"/>
      <c r="D926" s="1120"/>
      <c r="E926" s="1120"/>
      <c r="F926" s="1125"/>
      <c r="G926" s="1125"/>
      <c r="H926" s="837">
        <f>H927+H928</f>
        <v>1005.2</v>
      </c>
      <c r="I926" s="837">
        <f t="shared" ref="I926:P926" si="207">I927+I928</f>
        <v>1005.2</v>
      </c>
      <c r="J926" s="837">
        <f t="shared" si="207"/>
        <v>669.6</v>
      </c>
      <c r="K926" s="837">
        <f t="shared" si="207"/>
        <v>37</v>
      </c>
      <c r="L926" s="838">
        <f t="shared" si="207"/>
        <v>1029285</v>
      </c>
      <c r="M926" s="838">
        <f t="shared" si="207"/>
        <v>0</v>
      </c>
      <c r="N926" s="838">
        <f t="shared" si="207"/>
        <v>0</v>
      </c>
      <c r="O926" s="838">
        <f t="shared" si="207"/>
        <v>1029285</v>
      </c>
      <c r="P926" s="838">
        <f t="shared" si="207"/>
        <v>0</v>
      </c>
      <c r="Q926" s="293" t="s">
        <v>40</v>
      </c>
      <c r="R926" s="293" t="s">
        <v>40</v>
      </c>
      <c r="S926" s="276">
        <v>43465</v>
      </c>
    </row>
    <row r="927" spans="1:19" s="1" customFormat="1" ht="23.45" customHeight="1">
      <c r="A927" s="268"/>
      <c r="B927" s="839" t="s">
        <v>884</v>
      </c>
      <c r="C927" s="840">
        <v>1948</v>
      </c>
      <c r="D927" s="839"/>
      <c r="E927" s="271" t="s">
        <v>221</v>
      </c>
      <c r="F927" s="840">
        <v>2</v>
      </c>
      <c r="G927" s="840">
        <v>2</v>
      </c>
      <c r="H927" s="841">
        <v>516.5</v>
      </c>
      <c r="I927" s="841">
        <v>516.5</v>
      </c>
      <c r="J927" s="840">
        <v>316</v>
      </c>
      <c r="K927" s="842">
        <v>22</v>
      </c>
      <c r="L927" s="274">
        <v>781716</v>
      </c>
      <c r="M927" s="274">
        <v>0</v>
      </c>
      <c r="N927" s="274">
        <v>0</v>
      </c>
      <c r="O927" s="274">
        <v>781716</v>
      </c>
      <c r="P927" s="274">
        <v>0</v>
      </c>
      <c r="Q927" s="843">
        <f t="shared" si="204"/>
        <v>1513.486931268151</v>
      </c>
      <c r="R927" s="275">
        <v>7920</v>
      </c>
      <c r="S927" s="276">
        <v>43465</v>
      </c>
    </row>
    <row r="928" spans="1:19" s="1" customFormat="1" ht="22.9" customHeight="1">
      <c r="A928" s="268"/>
      <c r="B928" s="839" t="s">
        <v>885</v>
      </c>
      <c r="C928" s="840">
        <v>1938</v>
      </c>
      <c r="D928" s="839"/>
      <c r="E928" s="271" t="s">
        <v>221</v>
      </c>
      <c r="F928" s="840">
        <v>2</v>
      </c>
      <c r="G928" s="840">
        <v>1</v>
      </c>
      <c r="H928" s="841">
        <v>488.7</v>
      </c>
      <c r="I928" s="841">
        <v>488.7</v>
      </c>
      <c r="J928" s="840">
        <v>353.6</v>
      </c>
      <c r="K928" s="842">
        <v>15</v>
      </c>
      <c r="L928" s="274">
        <v>247569</v>
      </c>
      <c r="M928" s="274">
        <v>0</v>
      </c>
      <c r="N928" s="274">
        <v>0</v>
      </c>
      <c r="O928" s="274">
        <v>247569</v>
      </c>
      <c r="P928" s="274">
        <v>0</v>
      </c>
      <c r="Q928" s="843">
        <f t="shared" si="204"/>
        <v>506.58686310620016</v>
      </c>
      <c r="R928" s="275">
        <v>7920</v>
      </c>
      <c r="S928" s="276">
        <v>43465</v>
      </c>
    </row>
    <row r="929" spans="1:34" s="1" customFormat="1" ht="15.75">
      <c r="A929" s="87"/>
      <c r="B929" s="1066" t="s">
        <v>52</v>
      </c>
      <c r="C929" s="1066"/>
      <c r="D929" s="1066"/>
      <c r="E929" s="1066"/>
      <c r="F929" s="1066"/>
      <c r="G929" s="1066"/>
      <c r="H929" s="107">
        <f t="shared" ref="H929:P929" si="208">H933+H930+H935</f>
        <v>2360.4</v>
      </c>
      <c r="I929" s="107">
        <f t="shared" si="208"/>
        <v>2297</v>
      </c>
      <c r="J929" s="107">
        <f t="shared" si="208"/>
        <v>1649.1</v>
      </c>
      <c r="K929" s="97">
        <f t="shared" si="208"/>
        <v>89</v>
      </c>
      <c r="L929" s="92">
        <f t="shared" si="208"/>
        <v>3143655</v>
      </c>
      <c r="M929" s="92">
        <f t="shared" si="208"/>
        <v>0</v>
      </c>
      <c r="N929" s="92">
        <f t="shared" si="208"/>
        <v>92056</v>
      </c>
      <c r="O929" s="92">
        <f t="shared" si="208"/>
        <v>3051599</v>
      </c>
      <c r="P929" s="92">
        <f t="shared" si="208"/>
        <v>0</v>
      </c>
      <c r="Q929" s="86" t="s">
        <v>40</v>
      </c>
      <c r="R929" s="86" t="s">
        <v>40</v>
      </c>
      <c r="S929" s="276">
        <v>43465</v>
      </c>
    </row>
    <row r="930" spans="1:34" s="1" customFormat="1" ht="15.75">
      <c r="A930" s="268"/>
      <c r="B930" s="1120" t="s">
        <v>130</v>
      </c>
      <c r="C930" s="1120"/>
      <c r="D930" s="1120"/>
      <c r="E930" s="1120"/>
      <c r="F930" s="1120"/>
      <c r="G930" s="1120"/>
      <c r="H930" s="291">
        <f>H931</f>
        <v>704.6</v>
      </c>
      <c r="I930" s="291">
        <f t="shared" ref="I930:P930" si="209">I931</f>
        <v>704.6</v>
      </c>
      <c r="J930" s="291">
        <f t="shared" si="209"/>
        <v>455.3</v>
      </c>
      <c r="K930" s="291">
        <f t="shared" si="209"/>
        <v>24</v>
      </c>
      <c r="L930" s="597">
        <f t="shared" si="209"/>
        <v>1851309</v>
      </c>
      <c r="M930" s="597">
        <f t="shared" si="209"/>
        <v>0</v>
      </c>
      <c r="N930" s="597">
        <f t="shared" si="209"/>
        <v>0</v>
      </c>
      <c r="O930" s="597">
        <f t="shared" si="209"/>
        <v>1851309</v>
      </c>
      <c r="P930" s="597">
        <f t="shared" si="209"/>
        <v>0</v>
      </c>
      <c r="Q930" s="293" t="s">
        <v>40</v>
      </c>
      <c r="R930" s="293" t="s">
        <v>40</v>
      </c>
      <c r="S930" s="276">
        <v>43465</v>
      </c>
    </row>
    <row r="931" spans="1:34" s="33" customFormat="1" ht="31.5">
      <c r="A931" s="268" t="e">
        <f>#REF!+1</f>
        <v>#REF!</v>
      </c>
      <c r="B931" s="269" t="s">
        <v>673</v>
      </c>
      <c r="C931" s="322">
        <v>1960</v>
      </c>
      <c r="D931" s="322"/>
      <c r="E931" s="271" t="s">
        <v>218</v>
      </c>
      <c r="F931" s="322">
        <v>2</v>
      </c>
      <c r="G931" s="322">
        <v>2</v>
      </c>
      <c r="H931" s="322">
        <v>704.6</v>
      </c>
      <c r="I931" s="322">
        <v>704.6</v>
      </c>
      <c r="J931" s="322">
        <v>455.3</v>
      </c>
      <c r="K931" s="322">
        <v>24</v>
      </c>
      <c r="L931" s="274">
        <v>1851309</v>
      </c>
      <c r="M931" s="274">
        <v>0</v>
      </c>
      <c r="N931" s="274">
        <v>0</v>
      </c>
      <c r="O931" s="274">
        <f>L931</f>
        <v>1851309</v>
      </c>
      <c r="P931" s="274">
        <v>0</v>
      </c>
      <c r="Q931" s="275">
        <f>L931/I931</f>
        <v>2627.4609707635536</v>
      </c>
      <c r="R931" s="540">
        <v>7920</v>
      </c>
      <c r="S931" s="276">
        <v>43465</v>
      </c>
    </row>
    <row r="932" spans="1:34" s="33" customFormat="1" ht="15.75">
      <c r="A932" s="87"/>
      <c r="B932" s="118"/>
      <c r="C932" s="111"/>
      <c r="D932" s="111"/>
      <c r="E932" s="89"/>
      <c r="F932" s="111"/>
      <c r="G932" s="111"/>
      <c r="H932" s="123"/>
      <c r="I932" s="123"/>
      <c r="J932" s="87"/>
      <c r="K932" s="87"/>
      <c r="L932" s="92"/>
      <c r="M932" s="92"/>
      <c r="N932" s="92"/>
      <c r="O932" s="92"/>
      <c r="P932" s="92"/>
      <c r="Q932" s="93"/>
      <c r="R932" s="94"/>
      <c r="S932" s="276"/>
    </row>
    <row r="933" spans="1:34" s="1" customFormat="1" ht="15.75" customHeight="1">
      <c r="A933" s="87"/>
      <c r="B933" s="1068" t="s">
        <v>109</v>
      </c>
      <c r="C933" s="1068"/>
      <c r="D933" s="1068"/>
      <c r="E933" s="1068"/>
      <c r="F933" s="1068"/>
      <c r="G933" s="1068"/>
      <c r="H933" s="107">
        <f>H934</f>
        <v>799.3</v>
      </c>
      <c r="I933" s="86">
        <f t="shared" ref="I933:P933" si="210">I934</f>
        <v>735.9</v>
      </c>
      <c r="J933" s="86">
        <f t="shared" si="210"/>
        <v>693.8</v>
      </c>
      <c r="K933" s="98">
        <f t="shared" si="210"/>
        <v>32</v>
      </c>
      <c r="L933" s="92">
        <v>201010</v>
      </c>
      <c r="M933" s="92">
        <f t="shared" si="210"/>
        <v>0</v>
      </c>
      <c r="N933" s="92">
        <f t="shared" si="210"/>
        <v>92056</v>
      </c>
      <c r="O933" s="92">
        <f t="shared" si="210"/>
        <v>108954</v>
      </c>
      <c r="P933" s="92">
        <f t="shared" si="210"/>
        <v>0</v>
      </c>
      <c r="Q933" s="86" t="s">
        <v>40</v>
      </c>
      <c r="R933" s="86" t="s">
        <v>40</v>
      </c>
      <c r="S933" s="276">
        <v>43465</v>
      </c>
    </row>
    <row r="934" spans="1:34" s="1" customFormat="1" ht="15.75">
      <c r="A934" s="87">
        <f>A932+1</f>
        <v>1</v>
      </c>
      <c r="B934" s="224" t="s">
        <v>414</v>
      </c>
      <c r="C934" s="232">
        <v>1977</v>
      </c>
      <c r="D934" s="97"/>
      <c r="E934" s="89" t="s">
        <v>219</v>
      </c>
      <c r="F934" s="97">
        <v>2</v>
      </c>
      <c r="G934" s="97">
        <v>2</v>
      </c>
      <c r="H934" s="107">
        <v>799.3</v>
      </c>
      <c r="I934" s="86">
        <v>735.9</v>
      </c>
      <c r="J934" s="86">
        <v>693.8</v>
      </c>
      <c r="K934" s="98">
        <v>32</v>
      </c>
      <c r="L934" s="92">
        <v>201010</v>
      </c>
      <c r="M934" s="92">
        <v>0</v>
      </c>
      <c r="N934" s="92">
        <v>92056</v>
      </c>
      <c r="O934" s="92">
        <v>108954</v>
      </c>
      <c r="P934" s="92">
        <v>0</v>
      </c>
      <c r="Q934" s="86">
        <f>L934/I934</f>
        <v>273.14852561489334</v>
      </c>
      <c r="R934" s="93">
        <v>6774</v>
      </c>
      <c r="S934" s="276">
        <v>43465</v>
      </c>
    </row>
    <row r="935" spans="1:34" s="18" customFormat="1" ht="15.75" customHeight="1">
      <c r="A935" s="87"/>
      <c r="B935" s="1102" t="s">
        <v>198</v>
      </c>
      <c r="C935" s="1102"/>
      <c r="D935" s="1102"/>
      <c r="E935" s="1102"/>
      <c r="F935" s="1102"/>
      <c r="G935" s="1102"/>
      <c r="H935" s="107">
        <f>H936</f>
        <v>856.5</v>
      </c>
      <c r="I935" s="107">
        <f t="shared" ref="I935:P935" si="211">I936</f>
        <v>856.5</v>
      </c>
      <c r="J935" s="107">
        <f t="shared" si="211"/>
        <v>500</v>
      </c>
      <c r="K935" s="146">
        <f t="shared" si="211"/>
        <v>33</v>
      </c>
      <c r="L935" s="92">
        <f t="shared" si="211"/>
        <v>1091336</v>
      </c>
      <c r="M935" s="92">
        <f t="shared" si="211"/>
        <v>0</v>
      </c>
      <c r="N935" s="92">
        <f t="shared" si="211"/>
        <v>0</v>
      </c>
      <c r="O935" s="92">
        <f t="shared" si="211"/>
        <v>1091336</v>
      </c>
      <c r="P935" s="92">
        <f t="shared" si="211"/>
        <v>0</v>
      </c>
      <c r="Q935" s="86" t="s">
        <v>40</v>
      </c>
      <c r="R935" s="93" t="s">
        <v>40</v>
      </c>
      <c r="S935" s="276">
        <v>43465</v>
      </c>
    </row>
    <row r="936" spans="1:34" s="18" customFormat="1" ht="31.5">
      <c r="A936" s="87">
        <f>A934+1</f>
        <v>2</v>
      </c>
      <c r="B936" s="227" t="s">
        <v>415</v>
      </c>
      <c r="C936" s="232">
        <v>1982</v>
      </c>
      <c r="D936" s="97"/>
      <c r="E936" s="89" t="s">
        <v>218</v>
      </c>
      <c r="F936" s="97">
        <v>2</v>
      </c>
      <c r="G936" s="97">
        <v>3</v>
      </c>
      <c r="H936" s="107">
        <v>856.5</v>
      </c>
      <c r="I936" s="86">
        <v>856.5</v>
      </c>
      <c r="J936" s="86">
        <v>500</v>
      </c>
      <c r="K936" s="98">
        <v>33</v>
      </c>
      <c r="L936" s="92">
        <v>1091336</v>
      </c>
      <c r="M936" s="92">
        <v>0</v>
      </c>
      <c r="N936" s="92">
        <v>0</v>
      </c>
      <c r="O936" s="92">
        <f>L936</f>
        <v>1091336</v>
      </c>
      <c r="P936" s="92">
        <v>0</v>
      </c>
      <c r="Q936" s="86">
        <f>L936/I936</f>
        <v>1274.1809690601285</v>
      </c>
      <c r="R936" s="93">
        <v>6774</v>
      </c>
      <c r="S936" s="276">
        <v>43465</v>
      </c>
    </row>
    <row r="937" spans="1:34" s="1" customFormat="1" ht="15.75">
      <c r="A937" s="87"/>
      <c r="B937" s="1066" t="s">
        <v>53</v>
      </c>
      <c r="C937" s="1066"/>
      <c r="D937" s="1066"/>
      <c r="E937" s="1066"/>
      <c r="F937" s="1066"/>
      <c r="G937" s="1066"/>
      <c r="H937" s="86">
        <f t="shared" ref="H937:P937" si="212">H938+H945+H947+H949+H958+H961+H963+H956</f>
        <v>60427.200000000012</v>
      </c>
      <c r="I937" s="86">
        <f t="shared" si="212"/>
        <v>45396.3</v>
      </c>
      <c r="J937" s="86">
        <f t="shared" si="212"/>
        <v>43423.3</v>
      </c>
      <c r="K937" s="86">
        <f t="shared" si="212"/>
        <v>1907</v>
      </c>
      <c r="L937" s="496">
        <f t="shared" si="212"/>
        <v>46439075.920000002</v>
      </c>
      <c r="M937" s="496">
        <f t="shared" si="212"/>
        <v>0</v>
      </c>
      <c r="N937" s="496">
        <f t="shared" si="212"/>
        <v>146321.84</v>
      </c>
      <c r="O937" s="496">
        <f t="shared" si="212"/>
        <v>46292754.079999998</v>
      </c>
      <c r="P937" s="496">
        <f t="shared" si="212"/>
        <v>0</v>
      </c>
      <c r="Q937" s="86" t="s">
        <v>40</v>
      </c>
      <c r="R937" s="86" t="s">
        <v>40</v>
      </c>
      <c r="S937" s="276">
        <v>43465</v>
      </c>
    </row>
    <row r="938" spans="1:34" s="1" customFormat="1" ht="15.75">
      <c r="A938" s="87"/>
      <c r="B938" s="1066" t="s">
        <v>88</v>
      </c>
      <c r="C938" s="1066"/>
      <c r="D938" s="1066"/>
      <c r="E938" s="1066"/>
      <c r="F938" s="1066"/>
      <c r="G938" s="1066"/>
      <c r="H938" s="107">
        <f>SUM(H939:H944)</f>
        <v>44029.100000000006</v>
      </c>
      <c r="I938" s="107">
        <f t="shared" ref="I938:P938" si="213">SUM(I939:I944)</f>
        <v>30480.100000000002</v>
      </c>
      <c r="J938" s="107">
        <f t="shared" si="213"/>
        <v>29442.800000000003</v>
      </c>
      <c r="K938" s="107">
        <f t="shared" si="213"/>
        <v>1255</v>
      </c>
      <c r="L938" s="496">
        <f t="shared" si="213"/>
        <v>29383642</v>
      </c>
      <c r="M938" s="496">
        <f t="shared" si="213"/>
        <v>0</v>
      </c>
      <c r="N938" s="496">
        <f t="shared" si="213"/>
        <v>0</v>
      </c>
      <c r="O938" s="496">
        <f t="shared" si="213"/>
        <v>29383642</v>
      </c>
      <c r="P938" s="496">
        <f t="shared" si="213"/>
        <v>0</v>
      </c>
      <c r="Q938" s="86" t="s">
        <v>40</v>
      </c>
      <c r="R938" s="86" t="s">
        <v>40</v>
      </c>
      <c r="S938" s="276">
        <v>43465</v>
      </c>
    </row>
    <row r="939" spans="1:34" s="17" customFormat="1" ht="28.15" customHeight="1">
      <c r="A939" s="268">
        <v>1</v>
      </c>
      <c r="B939" s="761" t="s">
        <v>748</v>
      </c>
      <c r="C939" s="361">
        <v>1990</v>
      </c>
      <c r="D939" s="361"/>
      <c r="E939" s="271" t="s">
        <v>219</v>
      </c>
      <c r="F939" s="361">
        <v>9</v>
      </c>
      <c r="G939" s="762">
        <v>3</v>
      </c>
      <c r="H939" s="767">
        <v>8571.2000000000007</v>
      </c>
      <c r="I939" s="767">
        <v>5968.9</v>
      </c>
      <c r="J939" s="767">
        <f>I939-135.6</f>
        <v>5833.2999999999993</v>
      </c>
      <c r="K939" s="767">
        <v>237</v>
      </c>
      <c r="L939" s="275">
        <v>5877687</v>
      </c>
      <c r="M939" s="764">
        <v>0</v>
      </c>
      <c r="N939" s="274">
        <v>0</v>
      </c>
      <c r="O939" s="274">
        <f t="shared" ref="O939:O944" si="214">L939</f>
        <v>5877687</v>
      </c>
      <c r="P939" s="274">
        <v>0</v>
      </c>
      <c r="Q939" s="275">
        <f t="shared" ref="Q939:Q944" si="215">L939/I939</f>
        <v>984.71862487225462</v>
      </c>
      <c r="R939" s="275">
        <v>7920</v>
      </c>
      <c r="S939" s="276">
        <v>43465</v>
      </c>
    </row>
    <row r="940" spans="1:34" s="17" customFormat="1" ht="19.149999999999999" customHeight="1">
      <c r="A940" s="268">
        <f>A939+1</f>
        <v>2</v>
      </c>
      <c r="B940" s="761" t="s">
        <v>749</v>
      </c>
      <c r="C940" s="361">
        <v>1990</v>
      </c>
      <c r="D940" s="361"/>
      <c r="E940" s="271" t="s">
        <v>219</v>
      </c>
      <c r="F940" s="361">
        <v>9</v>
      </c>
      <c r="G940" s="762">
        <v>2</v>
      </c>
      <c r="H940" s="275">
        <v>5349</v>
      </c>
      <c r="I940" s="275">
        <v>3785.4</v>
      </c>
      <c r="J940" s="275">
        <f>I940-189.7</f>
        <v>3595.7000000000003</v>
      </c>
      <c r="K940" s="275">
        <v>153</v>
      </c>
      <c r="L940" s="275">
        <v>3911300</v>
      </c>
      <c r="M940" s="764">
        <v>0</v>
      </c>
      <c r="N940" s="274">
        <v>0</v>
      </c>
      <c r="O940" s="274">
        <f t="shared" si="214"/>
        <v>3911300</v>
      </c>
      <c r="P940" s="274">
        <v>0</v>
      </c>
      <c r="Q940" s="275">
        <f t="shared" si="215"/>
        <v>1033.259364928409</v>
      </c>
      <c r="R940" s="275">
        <v>7920</v>
      </c>
      <c r="S940" s="276">
        <v>43465</v>
      </c>
    </row>
    <row r="941" spans="1:34" s="17" customFormat="1" ht="20.45" customHeight="1">
      <c r="A941" s="268">
        <f>A940+1</f>
        <v>3</v>
      </c>
      <c r="B941" s="761" t="s">
        <v>750</v>
      </c>
      <c r="C941" s="361">
        <v>1989</v>
      </c>
      <c r="D941" s="361"/>
      <c r="E941" s="271" t="s">
        <v>219</v>
      </c>
      <c r="F941" s="361">
        <v>9</v>
      </c>
      <c r="G941" s="762">
        <v>3</v>
      </c>
      <c r="H941" s="765">
        <v>7783.6</v>
      </c>
      <c r="I941" s="765">
        <v>5580.6</v>
      </c>
      <c r="J941" s="765">
        <f>I941</f>
        <v>5580.6</v>
      </c>
      <c r="K941" s="275">
        <v>241</v>
      </c>
      <c r="L941" s="275">
        <v>5873712</v>
      </c>
      <c r="M941" s="764">
        <v>0</v>
      </c>
      <c r="N941" s="274">
        <v>0</v>
      </c>
      <c r="O941" s="274">
        <f t="shared" si="214"/>
        <v>5873712</v>
      </c>
      <c r="P941" s="274">
        <v>0</v>
      </c>
      <c r="Q941" s="275">
        <f t="shared" si="215"/>
        <v>1052.5233845823029</v>
      </c>
      <c r="R941" s="275">
        <v>7920</v>
      </c>
      <c r="S941" s="276">
        <v>43465</v>
      </c>
    </row>
    <row r="942" spans="1:34" s="17" customFormat="1" ht="27" customHeight="1">
      <c r="A942" s="268">
        <f>A941+1</f>
        <v>4</v>
      </c>
      <c r="B942" s="761" t="s">
        <v>751</v>
      </c>
      <c r="C942" s="361">
        <v>1988</v>
      </c>
      <c r="D942" s="361"/>
      <c r="E942" s="271" t="s">
        <v>219</v>
      </c>
      <c r="F942" s="361">
        <v>9</v>
      </c>
      <c r="G942" s="762">
        <v>3</v>
      </c>
      <c r="H942" s="763">
        <v>8105.9</v>
      </c>
      <c r="I942" s="763">
        <v>5431.3</v>
      </c>
      <c r="J942" s="763">
        <v>5098.1000000000004</v>
      </c>
      <c r="K942" s="763">
        <v>226</v>
      </c>
      <c r="L942" s="275">
        <v>5872977</v>
      </c>
      <c r="M942" s="764">
        <v>0</v>
      </c>
      <c r="N942" s="274">
        <v>0</v>
      </c>
      <c r="O942" s="274">
        <f t="shared" si="214"/>
        <v>5872977</v>
      </c>
      <c r="P942" s="274">
        <v>0</v>
      </c>
      <c r="Q942" s="275">
        <f t="shared" si="215"/>
        <v>1081.3206782906486</v>
      </c>
      <c r="R942" s="275">
        <v>7920</v>
      </c>
      <c r="S942" s="276">
        <v>43465</v>
      </c>
      <c r="T942" s="40"/>
      <c r="U942" s="40"/>
      <c r="V942" s="40"/>
      <c r="W942" s="40"/>
      <c r="X942" s="40"/>
      <c r="Y942" s="40"/>
      <c r="Z942" s="40"/>
      <c r="AA942" s="40"/>
      <c r="AB942" s="40"/>
      <c r="AC942" s="40"/>
      <c r="AD942" s="40"/>
      <c r="AE942" s="40"/>
      <c r="AF942" s="40"/>
      <c r="AG942" s="40"/>
      <c r="AH942" s="40"/>
    </row>
    <row r="943" spans="1:34" s="40" customFormat="1" ht="23.45" customHeight="1">
      <c r="A943" s="268">
        <f>A942+1</f>
        <v>5</v>
      </c>
      <c r="B943" s="761" t="s">
        <v>752</v>
      </c>
      <c r="C943" s="361">
        <v>1992</v>
      </c>
      <c r="D943" s="361"/>
      <c r="E943" s="271" t="s">
        <v>219</v>
      </c>
      <c r="F943" s="361">
        <v>9</v>
      </c>
      <c r="G943" s="762">
        <v>3</v>
      </c>
      <c r="H943" s="766">
        <v>9508.2000000000007</v>
      </c>
      <c r="I943" s="766">
        <v>6412.6</v>
      </c>
      <c r="J943" s="766">
        <f>I943-255.7</f>
        <v>6156.9000000000005</v>
      </c>
      <c r="K943" s="767">
        <v>267</v>
      </c>
      <c r="L943" s="767">
        <v>5882933</v>
      </c>
      <c r="M943" s="764">
        <v>0</v>
      </c>
      <c r="N943" s="274">
        <v>0</v>
      </c>
      <c r="O943" s="274">
        <f t="shared" si="214"/>
        <v>5882933</v>
      </c>
      <c r="P943" s="274">
        <v>0</v>
      </c>
      <c r="Q943" s="275">
        <f t="shared" si="215"/>
        <v>917.40214577550444</v>
      </c>
      <c r="R943" s="275">
        <v>7920</v>
      </c>
      <c r="S943" s="276">
        <v>43465</v>
      </c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</row>
    <row r="944" spans="1:34" s="17" customFormat="1" ht="31.5">
      <c r="A944" s="268">
        <f>A943+1</f>
        <v>6</v>
      </c>
      <c r="B944" s="754" t="s">
        <v>753</v>
      </c>
      <c r="C944" s="361">
        <v>1993</v>
      </c>
      <c r="D944" s="361"/>
      <c r="E944" s="271" t="s">
        <v>218</v>
      </c>
      <c r="F944" s="361">
        <v>9</v>
      </c>
      <c r="G944" s="762">
        <v>1</v>
      </c>
      <c r="H944" s="766">
        <v>4711.2</v>
      </c>
      <c r="I944" s="766">
        <v>3301.3</v>
      </c>
      <c r="J944" s="766">
        <f>I944-123.1</f>
        <v>3178.2000000000003</v>
      </c>
      <c r="K944" s="767">
        <v>131</v>
      </c>
      <c r="L944" s="767">
        <v>1965033</v>
      </c>
      <c r="M944" s="764">
        <v>0</v>
      </c>
      <c r="N944" s="274">
        <v>0</v>
      </c>
      <c r="O944" s="274">
        <f t="shared" si="214"/>
        <v>1965033</v>
      </c>
      <c r="P944" s="274">
        <v>0</v>
      </c>
      <c r="Q944" s="275">
        <f t="shared" si="215"/>
        <v>595.23006088510579</v>
      </c>
      <c r="R944" s="275">
        <v>7920</v>
      </c>
      <c r="S944" s="276">
        <v>43465</v>
      </c>
    </row>
    <row r="945" spans="1:19" s="17" customFormat="1" ht="15.75" customHeight="1">
      <c r="A945" s="87"/>
      <c r="B945" s="1078" t="s">
        <v>132</v>
      </c>
      <c r="C945" s="1078"/>
      <c r="D945" s="1078"/>
      <c r="E945" s="1078"/>
      <c r="F945" s="1078"/>
      <c r="G945" s="1078"/>
      <c r="H945" s="96">
        <f>H946</f>
        <v>781</v>
      </c>
      <c r="I945" s="96">
        <f t="shared" ref="I945:P945" si="216">I946</f>
        <v>720.8</v>
      </c>
      <c r="J945" s="96">
        <f t="shared" si="216"/>
        <v>637.4</v>
      </c>
      <c r="K945" s="129">
        <f t="shared" si="216"/>
        <v>22</v>
      </c>
      <c r="L945" s="92">
        <f t="shared" si="216"/>
        <v>1107622</v>
      </c>
      <c r="M945" s="92">
        <f t="shared" si="216"/>
        <v>0</v>
      </c>
      <c r="N945" s="92">
        <f t="shared" si="216"/>
        <v>0</v>
      </c>
      <c r="O945" s="92">
        <f t="shared" si="216"/>
        <v>1107622</v>
      </c>
      <c r="P945" s="92">
        <f t="shared" si="216"/>
        <v>0</v>
      </c>
      <c r="Q945" s="93" t="s">
        <v>40</v>
      </c>
      <c r="R945" s="93" t="s">
        <v>40</v>
      </c>
      <c r="S945" s="276">
        <v>43465</v>
      </c>
    </row>
    <row r="946" spans="1:19" s="17" customFormat="1" ht="41.45" customHeight="1">
      <c r="A946" s="268" t="e">
        <f>#REF!+1</f>
        <v>#REF!</v>
      </c>
      <c r="B946" s="754" t="s">
        <v>701</v>
      </c>
      <c r="C946" s="361">
        <v>1972</v>
      </c>
      <c r="D946" s="361"/>
      <c r="E946" s="271" t="s">
        <v>218</v>
      </c>
      <c r="F946" s="361">
        <v>2</v>
      </c>
      <c r="G946" s="361">
        <v>2</v>
      </c>
      <c r="H946" s="514">
        <v>781</v>
      </c>
      <c r="I946" s="514">
        <v>720.8</v>
      </c>
      <c r="J946" s="514">
        <v>637.4</v>
      </c>
      <c r="K946" s="522">
        <v>22</v>
      </c>
      <c r="L946" s="274">
        <v>1107622</v>
      </c>
      <c r="M946" s="274">
        <v>0</v>
      </c>
      <c r="N946" s="274">
        <v>0</v>
      </c>
      <c r="O946" s="274">
        <f>L946</f>
        <v>1107622</v>
      </c>
      <c r="P946" s="274">
        <v>0</v>
      </c>
      <c r="Q946" s="275">
        <f>L946/I946</f>
        <v>1536.6564927857937</v>
      </c>
      <c r="R946" s="275">
        <v>7920</v>
      </c>
      <c r="S946" s="276">
        <v>43465</v>
      </c>
    </row>
    <row r="947" spans="1:19" s="1" customFormat="1" ht="15.75" customHeight="1">
      <c r="A947" s="87"/>
      <c r="B947" s="1068" t="s">
        <v>110</v>
      </c>
      <c r="C947" s="1068"/>
      <c r="D947" s="1068"/>
      <c r="E947" s="1068"/>
      <c r="F947" s="1068"/>
      <c r="G947" s="1068"/>
      <c r="H947" s="107">
        <f t="shared" ref="H947:O947" si="217">SUM(H948:H948)</f>
        <v>894.6</v>
      </c>
      <c r="I947" s="86">
        <f t="shared" si="217"/>
        <v>565.1</v>
      </c>
      <c r="J947" s="86">
        <f t="shared" si="217"/>
        <v>565.1</v>
      </c>
      <c r="K947" s="98">
        <f t="shared" si="217"/>
        <v>57</v>
      </c>
      <c r="L947" s="92">
        <f t="shared" si="217"/>
        <v>2348226</v>
      </c>
      <c r="M947" s="92">
        <f t="shared" si="217"/>
        <v>0</v>
      </c>
      <c r="N947" s="92">
        <f t="shared" si="217"/>
        <v>0</v>
      </c>
      <c r="O947" s="92">
        <f t="shared" si="217"/>
        <v>2348226</v>
      </c>
      <c r="P947" s="92">
        <v>0</v>
      </c>
      <c r="Q947" s="86" t="s">
        <v>40</v>
      </c>
      <c r="R947" s="86" t="s">
        <v>40</v>
      </c>
      <c r="S947" s="276">
        <v>43465</v>
      </c>
    </row>
    <row r="948" spans="1:19" s="1" customFormat="1" ht="15.75">
      <c r="A948" s="268" t="e">
        <f>A946+1</f>
        <v>#REF!</v>
      </c>
      <c r="B948" s="269" t="s">
        <v>475</v>
      </c>
      <c r="C948" s="268">
        <v>1972</v>
      </c>
      <c r="D948" s="270"/>
      <c r="E948" s="271" t="s">
        <v>473</v>
      </c>
      <c r="F948" s="270">
        <v>2</v>
      </c>
      <c r="G948" s="270">
        <v>3</v>
      </c>
      <c r="H948" s="272">
        <v>894.6</v>
      </c>
      <c r="I948" s="270">
        <v>565.1</v>
      </c>
      <c r="J948" s="270">
        <v>565.1</v>
      </c>
      <c r="K948" s="273">
        <v>57</v>
      </c>
      <c r="L948" s="274">
        <v>2348226</v>
      </c>
      <c r="M948" s="274">
        <v>0</v>
      </c>
      <c r="N948" s="274">
        <v>0</v>
      </c>
      <c r="O948" s="274">
        <v>2348226</v>
      </c>
      <c r="P948" s="274">
        <v>0</v>
      </c>
      <c r="Q948" s="275">
        <f>L948/I948</f>
        <v>4155.416740399929</v>
      </c>
      <c r="R948" s="275">
        <v>7920</v>
      </c>
      <c r="S948" s="276">
        <v>43465</v>
      </c>
    </row>
    <row r="949" spans="1:19" s="1" customFormat="1" ht="19.149999999999999" customHeight="1">
      <c r="A949" s="268"/>
      <c r="B949" s="1126" t="s">
        <v>128</v>
      </c>
      <c r="C949" s="1126"/>
      <c r="D949" s="1115"/>
      <c r="E949" s="1115"/>
      <c r="F949" s="1126"/>
      <c r="G949" s="1126"/>
      <c r="H949" s="717">
        <f>SUM(H950:H953)</f>
        <v>11540.800000000001</v>
      </c>
      <c r="I949" s="717">
        <f t="shared" ref="I949:P949" si="218">SUM(I950:I953)</f>
        <v>10578.000000000002</v>
      </c>
      <c r="J949" s="717">
        <f t="shared" si="218"/>
        <v>10228.1</v>
      </c>
      <c r="K949" s="717">
        <f t="shared" si="218"/>
        <v>394</v>
      </c>
      <c r="L949" s="717">
        <f t="shared" si="218"/>
        <v>9209860</v>
      </c>
      <c r="M949" s="718">
        <f t="shared" si="218"/>
        <v>0</v>
      </c>
      <c r="N949" s="718">
        <f t="shared" si="218"/>
        <v>0</v>
      </c>
      <c r="O949" s="718">
        <f t="shared" si="218"/>
        <v>9209860</v>
      </c>
      <c r="P949" s="718">
        <f t="shared" si="218"/>
        <v>0</v>
      </c>
      <c r="Q949" s="717" t="s">
        <v>40</v>
      </c>
      <c r="R949" s="655" t="s">
        <v>40</v>
      </c>
      <c r="S949" s="276">
        <v>43465</v>
      </c>
    </row>
    <row r="950" spans="1:19" customFormat="1" ht="21.6" customHeight="1">
      <c r="A950" s="719"/>
      <c r="B950" s="720" t="s">
        <v>725</v>
      </c>
      <c r="C950" s="572">
        <v>1991</v>
      </c>
      <c r="D950" s="721"/>
      <c r="E950" s="656" t="s">
        <v>219</v>
      </c>
      <c r="F950" s="572">
        <v>5</v>
      </c>
      <c r="G950" s="572">
        <v>5</v>
      </c>
      <c r="H950" s="722">
        <v>4237.8999999999996</v>
      </c>
      <c r="I950" s="723">
        <v>3869.7</v>
      </c>
      <c r="J950" s="722">
        <v>3564.5</v>
      </c>
      <c r="K950" s="572">
        <v>155</v>
      </c>
      <c r="L950" s="573">
        <v>2620143</v>
      </c>
      <c r="M950" s="724">
        <v>0</v>
      </c>
      <c r="N950" s="724">
        <v>0</v>
      </c>
      <c r="O950" s="724">
        <f>L950</f>
        <v>2620143</v>
      </c>
      <c r="P950" s="724">
        <v>0</v>
      </c>
      <c r="Q950" s="725">
        <f>L950/I950</f>
        <v>677.09202263741383</v>
      </c>
      <c r="R950" s="725">
        <v>7920</v>
      </c>
      <c r="S950" s="545">
        <v>43465</v>
      </c>
    </row>
    <row r="951" spans="1:19" customFormat="1" ht="22.9" customHeight="1">
      <c r="A951" s="719"/>
      <c r="B951" s="720" t="s">
        <v>726</v>
      </c>
      <c r="C951" s="572">
        <v>1995</v>
      </c>
      <c r="D951" s="721"/>
      <c r="E951" s="656" t="s">
        <v>219</v>
      </c>
      <c r="F951" s="572">
        <v>5</v>
      </c>
      <c r="G951" s="572">
        <v>6</v>
      </c>
      <c r="H951" s="722">
        <v>4861.6000000000004</v>
      </c>
      <c r="I951" s="723">
        <v>4465</v>
      </c>
      <c r="J951" s="722">
        <v>4465</v>
      </c>
      <c r="K951" s="572">
        <v>158</v>
      </c>
      <c r="L951" s="573">
        <v>3158092</v>
      </c>
      <c r="M951" s="724">
        <v>0</v>
      </c>
      <c r="N951" s="724">
        <v>0</v>
      </c>
      <c r="O951" s="724">
        <f>L951</f>
        <v>3158092</v>
      </c>
      <c r="P951" s="724">
        <v>0</v>
      </c>
      <c r="Q951" s="725">
        <f>L951/I951</f>
        <v>707.29944008958569</v>
      </c>
      <c r="R951" s="725">
        <v>7920</v>
      </c>
      <c r="S951" s="545">
        <v>43465</v>
      </c>
    </row>
    <row r="952" spans="1:19" customFormat="1" ht="33" customHeight="1">
      <c r="A952" s="719"/>
      <c r="B952" s="720" t="s">
        <v>727</v>
      </c>
      <c r="C952" s="572">
        <v>1983</v>
      </c>
      <c r="D952" s="721"/>
      <c r="E952" s="656" t="s">
        <v>219</v>
      </c>
      <c r="F952" s="572">
        <v>3</v>
      </c>
      <c r="G952" s="572">
        <v>3</v>
      </c>
      <c r="H952" s="722">
        <v>1514.1</v>
      </c>
      <c r="I952" s="722">
        <v>1403.1</v>
      </c>
      <c r="J952" s="722">
        <v>1403.1</v>
      </c>
      <c r="K952" s="572">
        <v>46</v>
      </c>
      <c r="L952" s="573">
        <v>1623752</v>
      </c>
      <c r="M952" s="724">
        <v>0</v>
      </c>
      <c r="N952" s="724">
        <v>0</v>
      </c>
      <c r="O952" s="724">
        <f>L952</f>
        <v>1623752</v>
      </c>
      <c r="P952" s="724">
        <v>0</v>
      </c>
      <c r="Q952" s="725">
        <f>L952/I952</f>
        <v>1157.2603520775426</v>
      </c>
      <c r="R952" s="725">
        <v>7920</v>
      </c>
      <c r="S952" s="545">
        <v>43465</v>
      </c>
    </row>
    <row r="953" spans="1:19" customFormat="1" ht="31.5">
      <c r="A953" s="719"/>
      <c r="B953" s="720" t="s">
        <v>728</v>
      </c>
      <c r="C953" s="572">
        <v>1975</v>
      </c>
      <c r="D953" s="721"/>
      <c r="E953" s="656" t="s">
        <v>218</v>
      </c>
      <c r="F953" s="572">
        <v>2</v>
      </c>
      <c r="G953" s="572">
        <v>3</v>
      </c>
      <c r="H953" s="722">
        <v>927.2</v>
      </c>
      <c r="I953" s="723">
        <v>840.2</v>
      </c>
      <c r="J953" s="722">
        <v>795.5</v>
      </c>
      <c r="K953" s="572">
        <v>35</v>
      </c>
      <c r="L953" s="573">
        <v>1807873</v>
      </c>
      <c r="M953" s="724">
        <v>0</v>
      </c>
      <c r="N953" s="724">
        <v>0</v>
      </c>
      <c r="O953" s="724">
        <f>L953</f>
        <v>1807873</v>
      </c>
      <c r="P953" s="724">
        <v>0</v>
      </c>
      <c r="Q953" s="725">
        <f>L953/I953</f>
        <v>2151.7174482266128</v>
      </c>
      <c r="R953" s="725">
        <v>7920</v>
      </c>
      <c r="S953" s="545">
        <v>43465</v>
      </c>
    </row>
    <row r="954" spans="1:19" customFormat="1" ht="15.75">
      <c r="A954" s="268"/>
      <c r="B954" s="555"/>
      <c r="C954" s="328"/>
      <c r="D954" s="270"/>
      <c r="E954" s="271"/>
      <c r="F954" s="556"/>
      <c r="G954" s="556"/>
      <c r="H954" s="556"/>
      <c r="I954" s="557"/>
      <c r="J954" s="556"/>
      <c r="K954" s="556"/>
      <c r="L954" s="370"/>
      <c r="M954" s="370"/>
      <c r="N954" s="370"/>
      <c r="O954" s="370"/>
      <c r="P954" s="370"/>
      <c r="Q954" s="546"/>
      <c r="R954" s="546"/>
      <c r="S954" s="276"/>
    </row>
    <row r="955" spans="1:19" customFormat="1" ht="15.75">
      <c r="A955" s="268"/>
      <c r="B955" s="286"/>
      <c r="C955" s="268"/>
      <c r="D955" s="270"/>
      <c r="E955" s="271"/>
      <c r="F955" s="270"/>
      <c r="G955" s="270"/>
      <c r="H955" s="270"/>
      <c r="I955" s="290"/>
      <c r="J955" s="270"/>
      <c r="K955" s="270"/>
      <c r="L955" s="274"/>
      <c r="M955" s="274"/>
      <c r="N955" s="274"/>
      <c r="O955" s="274"/>
      <c r="P955" s="274"/>
      <c r="Q955" s="275"/>
      <c r="R955" s="275"/>
      <c r="S955" s="276"/>
    </row>
    <row r="956" spans="1:19" customFormat="1" ht="24" customHeight="1">
      <c r="A956" s="87"/>
      <c r="B956" s="1127" t="s">
        <v>668</v>
      </c>
      <c r="C956" s="1128"/>
      <c r="D956" s="1128"/>
      <c r="E956" s="1128"/>
      <c r="F956" s="1128"/>
      <c r="G956" s="1129"/>
      <c r="H956" s="110">
        <f>H957</f>
        <v>687.8</v>
      </c>
      <c r="I956" s="110">
        <f t="shared" ref="I956:P956" si="219">I957</f>
        <v>639.4</v>
      </c>
      <c r="J956" s="110">
        <f t="shared" si="219"/>
        <v>639.4</v>
      </c>
      <c r="K956" s="110">
        <f t="shared" si="219"/>
        <v>23</v>
      </c>
      <c r="L956" s="499">
        <f t="shared" si="219"/>
        <v>1720569</v>
      </c>
      <c r="M956" s="499">
        <f t="shared" si="219"/>
        <v>0</v>
      </c>
      <c r="N956" s="499">
        <f t="shared" si="219"/>
        <v>0</v>
      </c>
      <c r="O956" s="499">
        <f t="shared" si="219"/>
        <v>1720569</v>
      </c>
      <c r="P956" s="499">
        <f t="shared" si="219"/>
        <v>0</v>
      </c>
      <c r="Q956" s="86" t="s">
        <v>40</v>
      </c>
      <c r="R956" s="93" t="s">
        <v>40</v>
      </c>
      <c r="S956" s="276">
        <v>43465</v>
      </c>
    </row>
    <row r="957" spans="1:19" customFormat="1" ht="35.450000000000003" customHeight="1">
      <c r="A957" s="87"/>
      <c r="B957" s="118" t="s">
        <v>671</v>
      </c>
      <c r="C957" s="111">
        <v>1960</v>
      </c>
      <c r="D957" s="110"/>
      <c r="E957" s="89" t="s">
        <v>218</v>
      </c>
      <c r="F957" s="110">
        <v>2</v>
      </c>
      <c r="G957" s="110">
        <v>2</v>
      </c>
      <c r="H957" s="110">
        <v>687.8</v>
      </c>
      <c r="I957" s="147">
        <v>639.4</v>
      </c>
      <c r="J957" s="110">
        <v>639.4</v>
      </c>
      <c r="K957" s="110">
        <v>23</v>
      </c>
      <c r="L957" s="92">
        <v>1720569</v>
      </c>
      <c r="M957" s="92">
        <v>0</v>
      </c>
      <c r="N957" s="92">
        <v>0</v>
      </c>
      <c r="O957" s="92">
        <v>1720569</v>
      </c>
      <c r="P957" s="92">
        <v>0</v>
      </c>
      <c r="Q957" s="103">
        <f>L957/I957</f>
        <v>2690.9117923052863</v>
      </c>
      <c r="R957" s="93">
        <v>7920</v>
      </c>
      <c r="S957" s="276">
        <v>43465</v>
      </c>
    </row>
    <row r="958" spans="1:19" s="1" customFormat="1" ht="22.9" customHeight="1">
      <c r="A958" s="87"/>
      <c r="B958" s="1066" t="s">
        <v>994</v>
      </c>
      <c r="C958" s="1066"/>
      <c r="D958" s="1066"/>
      <c r="E958" s="1066"/>
      <c r="F958" s="1066"/>
      <c r="G958" s="1066"/>
      <c r="H958" s="107">
        <f>H959+H960</f>
        <v>932.40000000000009</v>
      </c>
      <c r="I958" s="107">
        <f t="shared" ref="I958:P958" si="220">I959+I960</f>
        <v>932.40000000000009</v>
      </c>
      <c r="J958" s="107">
        <f t="shared" si="220"/>
        <v>661.40000000000009</v>
      </c>
      <c r="K958" s="107">
        <f t="shared" si="220"/>
        <v>55</v>
      </c>
      <c r="L958" s="496">
        <f t="shared" si="220"/>
        <v>580386</v>
      </c>
      <c r="M958" s="496">
        <f t="shared" si="220"/>
        <v>0</v>
      </c>
      <c r="N958" s="496">
        <f t="shared" si="220"/>
        <v>0</v>
      </c>
      <c r="O958" s="496">
        <f t="shared" si="220"/>
        <v>580386</v>
      </c>
      <c r="P958" s="496">
        <f t="shared" si="220"/>
        <v>0</v>
      </c>
      <c r="Q958" s="86" t="s">
        <v>40</v>
      </c>
      <c r="R958" s="93" t="s">
        <v>40</v>
      </c>
      <c r="S958" s="276">
        <v>43465</v>
      </c>
    </row>
    <row r="959" spans="1:19" s="1" customFormat="1" ht="40.9" customHeight="1">
      <c r="A959" s="87"/>
      <c r="B959" s="223" t="s">
        <v>996</v>
      </c>
      <c r="C959" s="97">
        <v>1965</v>
      </c>
      <c r="D959" s="223"/>
      <c r="E959" s="232" t="s">
        <v>218</v>
      </c>
      <c r="F959" s="223">
        <v>2</v>
      </c>
      <c r="G959" s="223">
        <v>3</v>
      </c>
      <c r="H959" s="107">
        <v>445.8</v>
      </c>
      <c r="I959" s="86">
        <v>445.8</v>
      </c>
      <c r="J959" s="86">
        <v>316.60000000000002</v>
      </c>
      <c r="K959" s="98">
        <v>13</v>
      </c>
      <c r="L959" s="92">
        <v>290233</v>
      </c>
      <c r="M959" s="92">
        <v>0</v>
      </c>
      <c r="N959" s="92">
        <v>0</v>
      </c>
      <c r="O959" s="92">
        <v>290233</v>
      </c>
      <c r="P959" s="92">
        <v>0</v>
      </c>
      <c r="Q959" s="86">
        <f>L959/I959</f>
        <v>651.03858232391201</v>
      </c>
      <c r="R959" s="93">
        <v>7920</v>
      </c>
      <c r="S959" s="276">
        <v>43465</v>
      </c>
    </row>
    <row r="960" spans="1:19" s="1" customFormat="1" ht="31.5">
      <c r="A960" s="87"/>
      <c r="B960" s="223" t="s">
        <v>997</v>
      </c>
      <c r="C960" s="97">
        <v>1965</v>
      </c>
      <c r="D960" s="223"/>
      <c r="E960" s="89" t="s">
        <v>218</v>
      </c>
      <c r="F960" s="97">
        <v>2</v>
      </c>
      <c r="G960" s="97">
        <v>3</v>
      </c>
      <c r="H960" s="107">
        <v>486.6</v>
      </c>
      <c r="I960" s="86">
        <v>486.6</v>
      </c>
      <c r="J960" s="86">
        <v>344.8</v>
      </c>
      <c r="K960" s="98">
        <v>42</v>
      </c>
      <c r="L960" s="92">
        <v>290153</v>
      </c>
      <c r="M960" s="92">
        <v>0</v>
      </c>
      <c r="N960" s="92">
        <v>0</v>
      </c>
      <c r="O960" s="92">
        <v>290153</v>
      </c>
      <c r="P960" s="92">
        <v>0</v>
      </c>
      <c r="Q960" s="86">
        <f>L960/I960</f>
        <v>596.28647759967112</v>
      </c>
      <c r="R960" s="93">
        <v>7920</v>
      </c>
      <c r="S960" s="276">
        <v>43465</v>
      </c>
    </row>
    <row r="961" spans="1:19" s="1" customFormat="1" ht="15.75" customHeight="1">
      <c r="A961" s="87"/>
      <c r="B961" s="1068" t="s">
        <v>111</v>
      </c>
      <c r="C961" s="1068"/>
      <c r="D961" s="1068"/>
      <c r="E961" s="1068"/>
      <c r="F961" s="1068"/>
      <c r="G961" s="1068"/>
      <c r="H961" s="107">
        <f t="shared" ref="H961:P961" si="221">H962</f>
        <v>533.5</v>
      </c>
      <c r="I961" s="107">
        <f t="shared" si="221"/>
        <v>525.5</v>
      </c>
      <c r="J961" s="107">
        <f t="shared" si="221"/>
        <v>294.10000000000002</v>
      </c>
      <c r="K961" s="98">
        <f t="shared" si="221"/>
        <v>54</v>
      </c>
      <c r="L961" s="92">
        <f t="shared" si="221"/>
        <v>657835.92000000004</v>
      </c>
      <c r="M961" s="92">
        <f t="shared" si="221"/>
        <v>0</v>
      </c>
      <c r="N961" s="92">
        <f t="shared" si="221"/>
        <v>146321.84</v>
      </c>
      <c r="O961" s="92">
        <f t="shared" si="221"/>
        <v>511514.08</v>
      </c>
      <c r="P961" s="92">
        <f t="shared" si="221"/>
        <v>0</v>
      </c>
      <c r="Q961" s="86" t="s">
        <v>40</v>
      </c>
      <c r="R961" s="86" t="s">
        <v>40</v>
      </c>
      <c r="S961" s="276">
        <v>43465</v>
      </c>
    </row>
    <row r="962" spans="1:19" s="1" customFormat="1" ht="31.5">
      <c r="A962" s="87"/>
      <c r="B962" s="224" t="s">
        <v>420</v>
      </c>
      <c r="C962" s="232">
        <v>1967</v>
      </c>
      <c r="D962" s="223"/>
      <c r="E962" s="89" t="s">
        <v>218</v>
      </c>
      <c r="F962" s="97">
        <v>2</v>
      </c>
      <c r="G962" s="97">
        <v>2</v>
      </c>
      <c r="H962" s="107">
        <v>533.5</v>
      </c>
      <c r="I962" s="86">
        <v>525.5</v>
      </c>
      <c r="J962" s="86">
        <v>294.10000000000002</v>
      </c>
      <c r="K962" s="98">
        <v>54</v>
      </c>
      <c r="L962" s="92">
        <v>657835.92000000004</v>
      </c>
      <c r="M962" s="92">
        <v>0</v>
      </c>
      <c r="N962" s="92">
        <v>146321.84</v>
      </c>
      <c r="O962" s="92">
        <v>511514.08</v>
      </c>
      <c r="P962" s="92">
        <v>0</v>
      </c>
      <c r="Q962" s="86">
        <f>L961/I962</f>
        <v>1251.828582302569</v>
      </c>
      <c r="R962" s="93">
        <v>6774</v>
      </c>
      <c r="S962" s="276">
        <v>43465</v>
      </c>
    </row>
    <row r="963" spans="1:19" s="1" customFormat="1" ht="15.75">
      <c r="A963" s="268"/>
      <c r="B963" s="1120" t="s">
        <v>129</v>
      </c>
      <c r="C963" s="1120"/>
      <c r="D963" s="1120"/>
      <c r="E963" s="1120"/>
      <c r="F963" s="1120"/>
      <c r="G963" s="1120"/>
      <c r="H963" s="291">
        <f>H964</f>
        <v>1028</v>
      </c>
      <c r="I963" s="291">
        <f t="shared" ref="I963:P963" si="222">I964</f>
        <v>955</v>
      </c>
      <c r="J963" s="291">
        <f t="shared" si="222"/>
        <v>955</v>
      </c>
      <c r="K963" s="291">
        <f t="shared" si="222"/>
        <v>47</v>
      </c>
      <c r="L963" s="597">
        <f t="shared" si="222"/>
        <v>1430935</v>
      </c>
      <c r="M963" s="597">
        <f t="shared" si="222"/>
        <v>0</v>
      </c>
      <c r="N963" s="597">
        <f t="shared" si="222"/>
        <v>0</v>
      </c>
      <c r="O963" s="597">
        <f t="shared" si="222"/>
        <v>1430935</v>
      </c>
      <c r="P963" s="597">
        <f t="shared" si="222"/>
        <v>0</v>
      </c>
      <c r="Q963" s="293" t="s">
        <v>40</v>
      </c>
      <c r="R963" s="275" t="s">
        <v>40</v>
      </c>
      <c r="S963" s="276">
        <v>43465</v>
      </c>
    </row>
    <row r="964" spans="1:19" customFormat="1" ht="31.5">
      <c r="A964" s="268"/>
      <c r="B964" s="286" t="s">
        <v>682</v>
      </c>
      <c r="C964" s="270">
        <v>1972</v>
      </c>
      <c r="D964" s="270"/>
      <c r="E964" s="271" t="s">
        <v>218</v>
      </c>
      <c r="F964" s="270">
        <v>3</v>
      </c>
      <c r="G964" s="270">
        <v>2</v>
      </c>
      <c r="H964" s="268">
        <v>1028</v>
      </c>
      <c r="I964" s="270">
        <v>955</v>
      </c>
      <c r="J964" s="270">
        <v>955</v>
      </c>
      <c r="K964" s="270">
        <v>47</v>
      </c>
      <c r="L964" s="274">
        <v>1430935</v>
      </c>
      <c r="M964" s="274">
        <v>0</v>
      </c>
      <c r="N964" s="274">
        <v>0</v>
      </c>
      <c r="O964" s="274">
        <v>1430935</v>
      </c>
      <c r="P964" s="274">
        <v>0</v>
      </c>
      <c r="Q964" s="275">
        <f>L964/I964</f>
        <v>1498.3612565445026</v>
      </c>
      <c r="R964" s="275">
        <v>7920</v>
      </c>
      <c r="S964" s="276">
        <v>43465</v>
      </c>
    </row>
    <row r="965" spans="1:19" customFormat="1" ht="15.75">
      <c r="A965" s="268"/>
      <c r="B965" s="286"/>
      <c r="C965" s="270"/>
      <c r="D965" s="270"/>
      <c r="E965" s="271"/>
      <c r="F965" s="270"/>
      <c r="G965" s="270"/>
      <c r="H965" s="270"/>
      <c r="I965" s="270"/>
      <c r="J965" s="270"/>
      <c r="K965" s="270"/>
      <c r="L965" s="274"/>
      <c r="M965" s="274"/>
      <c r="N965" s="274"/>
      <c r="O965" s="274"/>
      <c r="P965" s="274"/>
      <c r="Q965" s="275"/>
      <c r="R965" s="275"/>
      <c r="S965" s="276"/>
    </row>
    <row r="966" spans="1:19" customFormat="1" ht="15.75">
      <c r="A966" s="268"/>
      <c r="B966" s="286"/>
      <c r="C966" s="270"/>
      <c r="D966" s="270"/>
      <c r="E966" s="271"/>
      <c r="F966" s="270"/>
      <c r="G966" s="270"/>
      <c r="H966" s="270"/>
      <c r="I966" s="270"/>
      <c r="J966" s="270"/>
      <c r="K966" s="270"/>
      <c r="L966" s="274"/>
      <c r="M966" s="274"/>
      <c r="N966" s="274"/>
      <c r="O966" s="274"/>
      <c r="P966" s="274"/>
      <c r="Q966" s="275"/>
      <c r="R966" s="275"/>
      <c r="S966" s="276"/>
    </row>
    <row r="967" spans="1:19" customFormat="1" ht="15.75">
      <c r="A967" s="268"/>
      <c r="B967" s="286"/>
      <c r="C967" s="270"/>
      <c r="D967" s="270"/>
      <c r="E967" s="271"/>
      <c r="F967" s="270"/>
      <c r="G967" s="270"/>
      <c r="H967" s="270"/>
      <c r="I967" s="270"/>
      <c r="J967" s="270"/>
      <c r="K967" s="270"/>
      <c r="L967" s="274"/>
      <c r="M967" s="274"/>
      <c r="N967" s="274"/>
      <c r="O967" s="274"/>
      <c r="P967" s="274"/>
      <c r="Q967" s="275"/>
      <c r="R967" s="275"/>
      <c r="S967" s="276"/>
    </row>
    <row r="968" spans="1:19" s="1" customFormat="1" ht="15.75">
      <c r="A968" s="87"/>
      <c r="B968" s="1066" t="s">
        <v>54</v>
      </c>
      <c r="C968" s="1066"/>
      <c r="D968" s="1066"/>
      <c r="E968" s="1066"/>
      <c r="F968" s="1066"/>
      <c r="G968" s="1066"/>
      <c r="H968" s="107">
        <f>H969</f>
        <v>1983</v>
      </c>
      <c r="I968" s="86">
        <f t="shared" ref="I968:P968" si="223">I969</f>
        <v>1780.1</v>
      </c>
      <c r="J968" s="86">
        <f t="shared" si="223"/>
        <v>1780.1</v>
      </c>
      <c r="K968" s="98">
        <f t="shared" si="223"/>
        <v>80</v>
      </c>
      <c r="L968" s="92">
        <f t="shared" si="223"/>
        <v>2222747</v>
      </c>
      <c r="M968" s="92">
        <f t="shared" si="223"/>
        <v>0</v>
      </c>
      <c r="N968" s="92">
        <f t="shared" si="223"/>
        <v>0</v>
      </c>
      <c r="O968" s="92">
        <f t="shared" si="223"/>
        <v>2222747</v>
      </c>
      <c r="P968" s="92">
        <f t="shared" si="223"/>
        <v>0</v>
      </c>
      <c r="Q968" s="86" t="s">
        <v>40</v>
      </c>
      <c r="R968" s="86" t="s">
        <v>40</v>
      </c>
      <c r="S968" s="276">
        <v>43465</v>
      </c>
    </row>
    <row r="969" spans="1:19" s="1" customFormat="1" ht="15.75" customHeight="1">
      <c r="A969" s="87"/>
      <c r="B969" s="1068" t="s">
        <v>112</v>
      </c>
      <c r="C969" s="1068"/>
      <c r="D969" s="1068"/>
      <c r="E969" s="1068"/>
      <c r="F969" s="1068"/>
      <c r="G969" s="1068"/>
      <c r="H969" s="107">
        <f>SUM(H970:H972)</f>
        <v>1983</v>
      </c>
      <c r="I969" s="86">
        <f t="shared" ref="I969:P969" si="224">SUM(I970:I972)</f>
        <v>1780.1</v>
      </c>
      <c r="J969" s="86">
        <f t="shared" si="224"/>
        <v>1780.1</v>
      </c>
      <c r="K969" s="98">
        <f t="shared" si="224"/>
        <v>80</v>
      </c>
      <c r="L969" s="92">
        <f t="shared" si="224"/>
        <v>2222747</v>
      </c>
      <c r="M969" s="92">
        <f t="shared" si="224"/>
        <v>0</v>
      </c>
      <c r="N969" s="92">
        <f t="shared" si="224"/>
        <v>0</v>
      </c>
      <c r="O969" s="92">
        <f t="shared" si="224"/>
        <v>2222747</v>
      </c>
      <c r="P969" s="92">
        <f t="shared" si="224"/>
        <v>0</v>
      </c>
      <c r="Q969" s="86" t="s">
        <v>40</v>
      </c>
      <c r="R969" s="86" t="s">
        <v>40</v>
      </c>
      <c r="S969" s="276">
        <v>43465</v>
      </c>
    </row>
    <row r="970" spans="1:19" s="28" customFormat="1" ht="31.5">
      <c r="A970" s="87"/>
      <c r="B970" s="225" t="s">
        <v>422</v>
      </c>
      <c r="C970" s="87">
        <v>1972</v>
      </c>
      <c r="D970" s="145"/>
      <c r="E970" s="89" t="s">
        <v>218</v>
      </c>
      <c r="F970" s="88">
        <v>2</v>
      </c>
      <c r="G970" s="88">
        <v>2</v>
      </c>
      <c r="H970" s="90">
        <v>778.9</v>
      </c>
      <c r="I970" s="105">
        <v>719.8</v>
      </c>
      <c r="J970" s="105">
        <v>719.8</v>
      </c>
      <c r="K970" s="91">
        <v>27</v>
      </c>
      <c r="L970" s="92">
        <v>1003542</v>
      </c>
      <c r="M970" s="92">
        <v>0</v>
      </c>
      <c r="N970" s="92">
        <v>0</v>
      </c>
      <c r="O970" s="92">
        <f>L970</f>
        <v>1003542</v>
      </c>
      <c r="P970" s="92">
        <v>0</v>
      </c>
      <c r="Q970" s="93">
        <f>L970/I970</f>
        <v>1394.1956098916366</v>
      </c>
      <c r="R970" s="93">
        <v>6774</v>
      </c>
      <c r="S970" s="276">
        <v>43465</v>
      </c>
    </row>
    <row r="971" spans="1:19" s="28" customFormat="1" ht="31.5">
      <c r="A971" s="87"/>
      <c r="B971" s="225" t="s">
        <v>421</v>
      </c>
      <c r="C971" s="148">
        <v>1980</v>
      </c>
      <c r="D971" s="149"/>
      <c r="E971" s="89" t="s">
        <v>218</v>
      </c>
      <c r="F971" s="88">
        <v>3</v>
      </c>
      <c r="G971" s="88">
        <v>2</v>
      </c>
      <c r="H971" s="90">
        <v>928.6</v>
      </c>
      <c r="I971" s="105">
        <v>843.2</v>
      </c>
      <c r="J971" s="105">
        <v>843.2</v>
      </c>
      <c r="K971" s="91">
        <v>39</v>
      </c>
      <c r="L971" s="92">
        <v>740146</v>
      </c>
      <c r="M971" s="92">
        <v>0</v>
      </c>
      <c r="N971" s="92">
        <v>0</v>
      </c>
      <c r="O971" s="92">
        <f>L971</f>
        <v>740146</v>
      </c>
      <c r="P971" s="92">
        <v>0</v>
      </c>
      <c r="Q971" s="93">
        <f>L971/I971</f>
        <v>877.7822580645161</v>
      </c>
      <c r="R971" s="93">
        <v>6774</v>
      </c>
      <c r="S971" s="276">
        <v>43465</v>
      </c>
    </row>
    <row r="972" spans="1:19" s="28" customFormat="1" ht="15.75">
      <c r="A972" s="87"/>
      <c r="B972" s="225" t="s">
        <v>423</v>
      </c>
      <c r="C972" s="88">
        <v>1965</v>
      </c>
      <c r="D972" s="145"/>
      <c r="E972" s="89" t="s">
        <v>221</v>
      </c>
      <c r="F972" s="88">
        <v>2</v>
      </c>
      <c r="G972" s="88">
        <v>2</v>
      </c>
      <c r="H972" s="90">
        <v>275.5</v>
      </c>
      <c r="I972" s="105">
        <v>217.1</v>
      </c>
      <c r="J972" s="105">
        <v>217.1</v>
      </c>
      <c r="K972" s="91">
        <v>14</v>
      </c>
      <c r="L972" s="92">
        <v>479059</v>
      </c>
      <c r="M972" s="92">
        <v>0</v>
      </c>
      <c r="N972" s="92">
        <v>0</v>
      </c>
      <c r="O972" s="92">
        <f>L972</f>
        <v>479059</v>
      </c>
      <c r="P972" s="92">
        <v>0</v>
      </c>
      <c r="Q972" s="93">
        <f>L972/I972</f>
        <v>2206.6282818977429</v>
      </c>
      <c r="R972" s="93">
        <v>6774</v>
      </c>
      <c r="S972" s="276">
        <v>43465</v>
      </c>
    </row>
    <row r="973" spans="1:19" s="1" customFormat="1" ht="15.75">
      <c r="A973" s="87"/>
      <c r="B973" s="1066" t="s">
        <v>55</v>
      </c>
      <c r="C973" s="1066"/>
      <c r="D973" s="1066"/>
      <c r="E973" s="1066"/>
      <c r="F973" s="1066"/>
      <c r="G973" s="1066"/>
      <c r="H973" s="107">
        <f>H974</f>
        <v>561.4</v>
      </c>
      <c r="I973" s="86">
        <f t="shared" ref="I973:R974" si="225">I974</f>
        <v>513.79999999999995</v>
      </c>
      <c r="J973" s="86">
        <f t="shared" si="225"/>
        <v>450.8</v>
      </c>
      <c r="K973" s="98">
        <f t="shared" si="225"/>
        <v>19</v>
      </c>
      <c r="L973" s="92">
        <f t="shared" si="225"/>
        <v>1739787</v>
      </c>
      <c r="M973" s="92">
        <f t="shared" si="225"/>
        <v>0</v>
      </c>
      <c r="N973" s="92">
        <f t="shared" si="225"/>
        <v>0</v>
      </c>
      <c r="O973" s="92">
        <f t="shared" si="225"/>
        <v>1739787</v>
      </c>
      <c r="P973" s="92">
        <f t="shared" si="225"/>
        <v>0</v>
      </c>
      <c r="Q973" s="86" t="str">
        <f t="shared" si="225"/>
        <v>Х</v>
      </c>
      <c r="R973" s="86" t="str">
        <f t="shared" si="225"/>
        <v>Х</v>
      </c>
      <c r="S973" s="276">
        <v>43465</v>
      </c>
    </row>
    <row r="974" spans="1:19" s="1" customFormat="1" ht="15.75">
      <c r="A974" s="87"/>
      <c r="B974" s="1066" t="s">
        <v>122</v>
      </c>
      <c r="C974" s="1066"/>
      <c r="D974" s="1066"/>
      <c r="E974" s="1066"/>
      <c r="F974" s="1066"/>
      <c r="G974" s="1066"/>
      <c r="H974" s="107">
        <f>H975</f>
        <v>561.4</v>
      </c>
      <c r="I974" s="107">
        <f t="shared" si="225"/>
        <v>513.79999999999995</v>
      </c>
      <c r="J974" s="107">
        <f t="shared" si="225"/>
        <v>450.8</v>
      </c>
      <c r="K974" s="107">
        <f t="shared" si="225"/>
        <v>19</v>
      </c>
      <c r="L974" s="313">
        <f t="shared" si="225"/>
        <v>1739787</v>
      </c>
      <c r="M974" s="313">
        <f t="shared" si="225"/>
        <v>0</v>
      </c>
      <c r="N974" s="313">
        <f t="shared" si="225"/>
        <v>0</v>
      </c>
      <c r="O974" s="313">
        <f t="shared" si="225"/>
        <v>1739787</v>
      </c>
      <c r="P974" s="313">
        <f t="shared" si="225"/>
        <v>0</v>
      </c>
      <c r="Q974" s="86" t="s">
        <v>40</v>
      </c>
      <c r="R974" s="93" t="s">
        <v>40</v>
      </c>
      <c r="S974" s="276">
        <v>43465</v>
      </c>
    </row>
    <row r="975" spans="1:19" s="1" customFormat="1" ht="15.75">
      <c r="A975" s="268"/>
      <c r="B975" s="286" t="s">
        <v>602</v>
      </c>
      <c r="C975" s="487" t="s">
        <v>603</v>
      </c>
      <c r="D975" s="270"/>
      <c r="E975" s="271" t="s">
        <v>220</v>
      </c>
      <c r="F975" s="270">
        <v>2</v>
      </c>
      <c r="G975" s="270">
        <v>2</v>
      </c>
      <c r="H975" s="272">
        <v>561.4</v>
      </c>
      <c r="I975" s="275">
        <v>513.79999999999995</v>
      </c>
      <c r="J975" s="275">
        <v>450.8</v>
      </c>
      <c r="K975" s="273">
        <v>19</v>
      </c>
      <c r="L975" s="274">
        <v>1739787</v>
      </c>
      <c r="M975" s="274">
        <v>0</v>
      </c>
      <c r="N975" s="274">
        <v>0</v>
      </c>
      <c r="O975" s="274">
        <v>1739787</v>
      </c>
      <c r="P975" s="274">
        <v>0</v>
      </c>
      <c r="Q975" s="275">
        <f>L975/I975</f>
        <v>3386.1171662125344</v>
      </c>
      <c r="R975" s="275">
        <v>7920</v>
      </c>
      <c r="S975" s="276">
        <v>43465</v>
      </c>
    </row>
    <row r="976" spans="1:19" s="1" customFormat="1" ht="15.75">
      <c r="A976" s="268"/>
      <c r="B976" s="286"/>
      <c r="C976" s="487"/>
      <c r="D976" s="270"/>
      <c r="E976" s="271"/>
      <c r="F976" s="270"/>
      <c r="G976" s="270"/>
      <c r="H976" s="272"/>
      <c r="I976" s="275"/>
      <c r="J976" s="275"/>
      <c r="K976" s="273"/>
      <c r="L976" s="274"/>
      <c r="M976" s="274"/>
      <c r="N976" s="274"/>
      <c r="O976" s="274"/>
      <c r="P976" s="274"/>
      <c r="Q976" s="275"/>
      <c r="R976" s="275"/>
      <c r="S976" s="276"/>
    </row>
    <row r="977" spans="1:19" s="1" customFormat="1" ht="15.75">
      <c r="A977" s="268"/>
      <c r="B977" s="286"/>
      <c r="C977" s="487"/>
      <c r="D977" s="270"/>
      <c r="E977" s="271"/>
      <c r="F977" s="270"/>
      <c r="G977" s="270"/>
      <c r="H977" s="272"/>
      <c r="I977" s="275"/>
      <c r="J977" s="275"/>
      <c r="K977" s="273"/>
      <c r="L977" s="274"/>
      <c r="M977" s="274"/>
      <c r="N977" s="274"/>
      <c r="O977" s="274"/>
      <c r="P977" s="274"/>
      <c r="Q977" s="275"/>
      <c r="R977" s="275"/>
      <c r="S977" s="276"/>
    </row>
    <row r="978" spans="1:19" s="1" customFormat="1" ht="15.75">
      <c r="A978" s="87"/>
      <c r="B978" s="1066" t="s">
        <v>56</v>
      </c>
      <c r="C978" s="1066"/>
      <c r="D978" s="1066"/>
      <c r="E978" s="1066"/>
      <c r="F978" s="1066"/>
      <c r="G978" s="1066"/>
      <c r="H978" s="107">
        <f t="shared" ref="H978:P978" si="226">H986+H979+H990</f>
        <v>8391.7000000000007</v>
      </c>
      <c r="I978" s="86">
        <f t="shared" si="226"/>
        <v>6727.7999999999993</v>
      </c>
      <c r="J978" s="86">
        <f t="shared" si="226"/>
        <v>5681.7</v>
      </c>
      <c r="K978" s="98">
        <f t="shared" si="226"/>
        <v>401</v>
      </c>
      <c r="L978" s="92">
        <f t="shared" si="226"/>
        <v>11022985.029999999</v>
      </c>
      <c r="M978" s="92">
        <f t="shared" si="226"/>
        <v>0</v>
      </c>
      <c r="N978" s="92">
        <f t="shared" si="226"/>
        <v>0</v>
      </c>
      <c r="O978" s="92">
        <f t="shared" si="226"/>
        <v>11022985.029999999</v>
      </c>
      <c r="P978" s="92">
        <f t="shared" si="226"/>
        <v>0</v>
      </c>
      <c r="Q978" s="86" t="str">
        <f>Q979</f>
        <v>Х</v>
      </c>
      <c r="R978" s="86" t="str">
        <f>R979</f>
        <v>Х</v>
      </c>
      <c r="S978" s="276">
        <v>43465</v>
      </c>
    </row>
    <row r="979" spans="1:19" s="14" customFormat="1" ht="22.9" customHeight="1">
      <c r="A979" s="268"/>
      <c r="B979" s="1123" t="s">
        <v>424</v>
      </c>
      <c r="C979" s="1123"/>
      <c r="D979" s="1123"/>
      <c r="E979" s="1123"/>
      <c r="F979" s="1130"/>
      <c r="G979" s="1130"/>
      <c r="H979" s="652">
        <f>SUM(H980:H985)</f>
        <v>5703</v>
      </c>
      <c r="I979" s="652">
        <f t="shared" ref="I979:P979" si="227">SUM(I980:I985)</f>
        <v>4172.7</v>
      </c>
      <c r="J979" s="652">
        <f t="shared" si="227"/>
        <v>3504.7999999999997</v>
      </c>
      <c r="K979" s="652">
        <f t="shared" si="227"/>
        <v>262</v>
      </c>
      <c r="L979" s="653">
        <f t="shared" si="227"/>
        <v>8669678</v>
      </c>
      <c r="M979" s="653">
        <f t="shared" si="227"/>
        <v>0</v>
      </c>
      <c r="N979" s="653">
        <f t="shared" si="227"/>
        <v>0</v>
      </c>
      <c r="O979" s="653">
        <f t="shared" si="227"/>
        <v>8669678</v>
      </c>
      <c r="P979" s="653">
        <f t="shared" si="227"/>
        <v>0</v>
      </c>
      <c r="Q979" s="654" t="s">
        <v>40</v>
      </c>
      <c r="R979" s="655" t="s">
        <v>40</v>
      </c>
      <c r="S979" s="276">
        <v>43465</v>
      </c>
    </row>
    <row r="980" spans="1:19" s="33" customFormat="1" ht="31.5">
      <c r="A980" s="268"/>
      <c r="B980" s="541" t="s">
        <v>708</v>
      </c>
      <c r="C980" s="268" t="s">
        <v>714</v>
      </c>
      <c r="D980" s="268"/>
      <c r="E980" s="656" t="s">
        <v>218</v>
      </c>
      <c r="F980" s="268">
        <v>2</v>
      </c>
      <c r="G980" s="268">
        <v>1</v>
      </c>
      <c r="H980" s="268">
        <v>496.4</v>
      </c>
      <c r="I980" s="268">
        <v>286.2</v>
      </c>
      <c r="J980" s="268">
        <v>286.2</v>
      </c>
      <c r="K980" s="268">
        <v>10</v>
      </c>
      <c r="L980" s="657">
        <v>435475</v>
      </c>
      <c r="M980" s="657">
        <v>0</v>
      </c>
      <c r="N980" s="657">
        <v>0</v>
      </c>
      <c r="O980" s="657">
        <v>435475</v>
      </c>
      <c r="P980" s="657">
        <v>0</v>
      </c>
      <c r="Q980" s="657">
        <f t="shared" ref="Q980:Q985" si="228">L980/I980</f>
        <v>1521.575821104123</v>
      </c>
      <c r="R980" s="657">
        <v>7920</v>
      </c>
      <c r="S980" s="545">
        <v>43465</v>
      </c>
    </row>
    <row r="981" spans="1:19" s="33" customFormat="1" ht="31.5">
      <c r="A981" s="268"/>
      <c r="B981" s="658" t="s">
        <v>709</v>
      </c>
      <c r="C981" s="268">
        <v>1963</v>
      </c>
      <c r="D981" s="268"/>
      <c r="E981" s="656" t="s">
        <v>218</v>
      </c>
      <c r="F981" s="268">
        <v>2</v>
      </c>
      <c r="G981" s="268">
        <v>2</v>
      </c>
      <c r="H981" s="268">
        <v>403.2</v>
      </c>
      <c r="I981" s="268">
        <v>356.4</v>
      </c>
      <c r="J981" s="268">
        <v>356.4</v>
      </c>
      <c r="K981" s="268">
        <v>26</v>
      </c>
      <c r="L981" s="657">
        <v>1920530</v>
      </c>
      <c r="M981" s="657">
        <v>0</v>
      </c>
      <c r="N981" s="657">
        <v>0</v>
      </c>
      <c r="O981" s="657">
        <v>1920530</v>
      </c>
      <c r="P981" s="657">
        <v>0</v>
      </c>
      <c r="Q981" s="657">
        <f t="shared" si="228"/>
        <v>5388.6924803591473</v>
      </c>
      <c r="R981" s="657">
        <v>7920</v>
      </c>
      <c r="S981" s="545">
        <v>43465</v>
      </c>
    </row>
    <row r="982" spans="1:19" s="33" customFormat="1" ht="31.5">
      <c r="A982" s="268"/>
      <c r="B982" s="541" t="s">
        <v>710</v>
      </c>
      <c r="C982" s="268">
        <v>1966</v>
      </c>
      <c r="D982" s="268"/>
      <c r="E982" s="656" t="s">
        <v>218</v>
      </c>
      <c r="F982" s="268">
        <v>3</v>
      </c>
      <c r="G982" s="268">
        <v>2</v>
      </c>
      <c r="H982" s="268">
        <v>892.3</v>
      </c>
      <c r="I982" s="268">
        <v>581.6</v>
      </c>
      <c r="J982" s="268">
        <v>427.1</v>
      </c>
      <c r="K982" s="268">
        <v>47</v>
      </c>
      <c r="L982" s="657">
        <v>957137</v>
      </c>
      <c r="M982" s="657">
        <v>0</v>
      </c>
      <c r="N982" s="657">
        <v>0</v>
      </c>
      <c r="O982" s="657">
        <v>957137</v>
      </c>
      <c r="P982" s="657">
        <v>0</v>
      </c>
      <c r="Q982" s="657">
        <f t="shared" si="228"/>
        <v>1645.6963548830811</v>
      </c>
      <c r="R982" s="657">
        <v>7920</v>
      </c>
      <c r="S982" s="545">
        <v>43465</v>
      </c>
    </row>
    <row r="983" spans="1:19" s="33" customFormat="1" ht="31.5">
      <c r="A983" s="268"/>
      <c r="B983" s="539" t="s">
        <v>711</v>
      </c>
      <c r="C983" s="268">
        <v>1962</v>
      </c>
      <c r="D983" s="268"/>
      <c r="E983" s="656" t="s">
        <v>218</v>
      </c>
      <c r="F983" s="268">
        <v>2</v>
      </c>
      <c r="G983" s="268">
        <v>2</v>
      </c>
      <c r="H983" s="268">
        <v>517.5</v>
      </c>
      <c r="I983" s="268">
        <v>458.6</v>
      </c>
      <c r="J983" s="268">
        <v>384.7</v>
      </c>
      <c r="K983" s="268">
        <v>16</v>
      </c>
      <c r="L983" s="657">
        <v>1620768</v>
      </c>
      <c r="M983" s="657">
        <v>0</v>
      </c>
      <c r="N983" s="657">
        <v>0</v>
      </c>
      <c r="O983" s="657">
        <v>1620768</v>
      </c>
      <c r="P983" s="657">
        <v>0</v>
      </c>
      <c r="Q983" s="657">
        <f t="shared" si="228"/>
        <v>3534.1648495420845</v>
      </c>
      <c r="R983" s="657">
        <v>7920</v>
      </c>
      <c r="S983" s="545">
        <v>43465</v>
      </c>
    </row>
    <row r="984" spans="1:19" s="33" customFormat="1" ht="31.5">
      <c r="A984" s="268"/>
      <c r="B984" s="541" t="s">
        <v>712</v>
      </c>
      <c r="C984" s="268">
        <v>1958</v>
      </c>
      <c r="D984" s="268"/>
      <c r="E984" s="656" t="s">
        <v>218</v>
      </c>
      <c r="F984" s="268">
        <v>2</v>
      </c>
      <c r="G984" s="268">
        <v>2</v>
      </c>
      <c r="H984" s="268">
        <v>859.2</v>
      </c>
      <c r="I984" s="268">
        <v>800.4</v>
      </c>
      <c r="J984" s="268">
        <v>673.3</v>
      </c>
      <c r="K984" s="268">
        <v>32</v>
      </c>
      <c r="L984" s="657">
        <v>1496185</v>
      </c>
      <c r="M984" s="657">
        <v>0</v>
      </c>
      <c r="N984" s="657">
        <v>0</v>
      </c>
      <c r="O984" s="657">
        <v>1496185</v>
      </c>
      <c r="P984" s="657">
        <v>0</v>
      </c>
      <c r="Q984" s="657">
        <f t="shared" si="228"/>
        <v>1869.2966016991504</v>
      </c>
      <c r="R984" s="657">
        <v>7920</v>
      </c>
      <c r="S984" s="545">
        <v>43465</v>
      </c>
    </row>
    <row r="985" spans="1:19" s="33" customFormat="1" ht="31.5">
      <c r="A985" s="268"/>
      <c r="B985" s="539" t="s">
        <v>713</v>
      </c>
      <c r="C985" s="268">
        <v>1970</v>
      </c>
      <c r="D985" s="268"/>
      <c r="E985" s="656" t="s">
        <v>218</v>
      </c>
      <c r="F985" s="268">
        <v>4</v>
      </c>
      <c r="G985" s="268">
        <v>1</v>
      </c>
      <c r="H985" s="268">
        <v>2534.4</v>
      </c>
      <c r="I985" s="268">
        <v>1689.5</v>
      </c>
      <c r="J985" s="268">
        <v>1377.1</v>
      </c>
      <c r="K985" s="268">
        <v>131</v>
      </c>
      <c r="L985" s="657">
        <v>2239583</v>
      </c>
      <c r="M985" s="657">
        <v>0</v>
      </c>
      <c r="N985" s="657">
        <v>0</v>
      </c>
      <c r="O985" s="657">
        <v>2239583</v>
      </c>
      <c r="P985" s="657">
        <v>0</v>
      </c>
      <c r="Q985" s="657">
        <f t="shared" si="228"/>
        <v>1325.589227582125</v>
      </c>
      <c r="R985" s="657">
        <v>7920</v>
      </c>
      <c r="S985" s="545">
        <v>43465</v>
      </c>
    </row>
    <row r="986" spans="1:19" s="1" customFormat="1" ht="21.6" customHeight="1">
      <c r="A986" s="87"/>
      <c r="B986" s="1068" t="s">
        <v>121</v>
      </c>
      <c r="C986" s="1068"/>
      <c r="D986" s="1068"/>
      <c r="E986" s="1068"/>
      <c r="F986" s="1068"/>
      <c r="G986" s="1068"/>
      <c r="H986" s="107">
        <f>H987+H988+H989</f>
        <v>1293.3000000000002</v>
      </c>
      <c r="I986" s="107">
        <f t="shared" ref="I986:P986" si="229">I987+I988+I989</f>
        <v>1159.6999999999998</v>
      </c>
      <c r="J986" s="107">
        <f t="shared" si="229"/>
        <v>849.40000000000009</v>
      </c>
      <c r="K986" s="107">
        <f t="shared" si="229"/>
        <v>57</v>
      </c>
      <c r="L986" s="496">
        <f t="shared" si="229"/>
        <v>2114731</v>
      </c>
      <c r="M986" s="496">
        <f t="shared" si="229"/>
        <v>0</v>
      </c>
      <c r="N986" s="496">
        <f t="shared" si="229"/>
        <v>0</v>
      </c>
      <c r="O986" s="496">
        <f t="shared" si="229"/>
        <v>2114731</v>
      </c>
      <c r="P986" s="496">
        <f t="shared" si="229"/>
        <v>0</v>
      </c>
      <c r="Q986" s="86" t="s">
        <v>40</v>
      </c>
      <c r="R986" s="86" t="s">
        <v>40</v>
      </c>
      <c r="S986" s="545">
        <v>43465</v>
      </c>
    </row>
    <row r="987" spans="1:19" s="1" customFormat="1" ht="30.6" customHeight="1">
      <c r="A987" s="87"/>
      <c r="B987" s="224" t="s">
        <v>990</v>
      </c>
      <c r="C987" s="232">
        <v>1956</v>
      </c>
      <c r="D987" s="224"/>
      <c r="E987" s="232" t="s">
        <v>218</v>
      </c>
      <c r="F987" s="232">
        <v>2</v>
      </c>
      <c r="G987" s="232">
        <v>2</v>
      </c>
      <c r="H987" s="107">
        <v>432.6</v>
      </c>
      <c r="I987" s="86">
        <v>387.2</v>
      </c>
      <c r="J987" s="86">
        <v>182.5</v>
      </c>
      <c r="K987" s="98">
        <v>26</v>
      </c>
      <c r="L987" s="92">
        <v>730231</v>
      </c>
      <c r="M987" s="92">
        <v>0</v>
      </c>
      <c r="N987" s="92">
        <v>0</v>
      </c>
      <c r="O987" s="92">
        <v>730231</v>
      </c>
      <c r="P987" s="92">
        <v>0</v>
      </c>
      <c r="Q987" s="86">
        <f>L987/I987</f>
        <v>1885.9271694214876</v>
      </c>
      <c r="R987" s="86">
        <v>7920</v>
      </c>
      <c r="S987" s="545">
        <v>43465</v>
      </c>
    </row>
    <row r="988" spans="1:19" s="1" customFormat="1" ht="37.15" customHeight="1">
      <c r="A988" s="87"/>
      <c r="B988" s="224" t="s">
        <v>991</v>
      </c>
      <c r="C988" s="232">
        <v>1954</v>
      </c>
      <c r="D988" s="224"/>
      <c r="E988" s="232" t="s">
        <v>218</v>
      </c>
      <c r="F988" s="232">
        <v>2</v>
      </c>
      <c r="G988" s="232">
        <v>2</v>
      </c>
      <c r="H988" s="107">
        <v>427.1</v>
      </c>
      <c r="I988" s="86">
        <v>383.9</v>
      </c>
      <c r="J988" s="86">
        <v>278.3</v>
      </c>
      <c r="K988" s="98">
        <v>17</v>
      </c>
      <c r="L988" s="92">
        <v>692216</v>
      </c>
      <c r="M988" s="92">
        <v>0</v>
      </c>
      <c r="N988" s="92">
        <v>0</v>
      </c>
      <c r="O988" s="92">
        <v>692216</v>
      </c>
      <c r="P988" s="92">
        <v>0</v>
      </c>
      <c r="Q988" s="86">
        <f>L988/I988</f>
        <v>1803.1153946340194</v>
      </c>
      <c r="R988" s="86">
        <v>7920</v>
      </c>
      <c r="S988" s="545">
        <v>43465</v>
      </c>
    </row>
    <row r="989" spans="1:19" s="1" customFormat="1" ht="31.5">
      <c r="A989" s="87"/>
      <c r="B989" s="224" t="s">
        <v>992</v>
      </c>
      <c r="C989" s="232">
        <v>1953</v>
      </c>
      <c r="D989" s="97"/>
      <c r="E989" s="89" t="s">
        <v>218</v>
      </c>
      <c r="F989" s="97">
        <v>2</v>
      </c>
      <c r="G989" s="97">
        <v>2</v>
      </c>
      <c r="H989" s="107">
        <v>433.6</v>
      </c>
      <c r="I989" s="86">
        <v>388.6</v>
      </c>
      <c r="J989" s="86">
        <v>388.6</v>
      </c>
      <c r="K989" s="98">
        <v>14</v>
      </c>
      <c r="L989" s="92">
        <v>692284</v>
      </c>
      <c r="M989" s="92">
        <v>0</v>
      </c>
      <c r="N989" s="92">
        <v>0</v>
      </c>
      <c r="O989" s="92">
        <f>L989</f>
        <v>692284</v>
      </c>
      <c r="P989" s="92">
        <v>0</v>
      </c>
      <c r="Q989" s="86">
        <f>L989/I989</f>
        <v>1781.4822439526504</v>
      </c>
      <c r="R989" s="93">
        <v>7920</v>
      </c>
      <c r="S989" s="276">
        <v>43465</v>
      </c>
    </row>
    <row r="990" spans="1:19" s="1" customFormat="1" ht="15.75" customHeight="1">
      <c r="A990" s="87"/>
      <c r="B990" s="1068" t="s">
        <v>120</v>
      </c>
      <c r="C990" s="1068"/>
      <c r="D990" s="1068"/>
      <c r="E990" s="1068"/>
      <c r="F990" s="1068"/>
      <c r="G990" s="1068"/>
      <c r="H990" s="107">
        <f>H991</f>
        <v>1395.4</v>
      </c>
      <c r="I990" s="86">
        <f t="shared" ref="I990:P990" si="230">I991</f>
        <v>1395.4</v>
      </c>
      <c r="J990" s="86">
        <f t="shared" si="230"/>
        <v>1327.5</v>
      </c>
      <c r="K990" s="98">
        <f t="shared" si="230"/>
        <v>82</v>
      </c>
      <c r="L990" s="92">
        <f t="shared" si="230"/>
        <v>238576.03</v>
      </c>
      <c r="M990" s="92">
        <f t="shared" si="230"/>
        <v>0</v>
      </c>
      <c r="N990" s="92">
        <f t="shared" si="230"/>
        <v>0</v>
      </c>
      <c r="O990" s="92">
        <f t="shared" si="230"/>
        <v>238576.03</v>
      </c>
      <c r="P990" s="92">
        <f t="shared" si="230"/>
        <v>0</v>
      </c>
      <c r="Q990" s="86" t="s">
        <v>40</v>
      </c>
      <c r="R990" s="86" t="s">
        <v>40</v>
      </c>
      <c r="S990" s="276">
        <v>43465</v>
      </c>
    </row>
    <row r="991" spans="1:19" s="1" customFormat="1" ht="15.75">
      <c r="A991" s="87"/>
      <c r="B991" s="224" t="s">
        <v>445</v>
      </c>
      <c r="C991" s="232">
        <v>1982</v>
      </c>
      <c r="D991" s="97"/>
      <c r="E991" s="89" t="s">
        <v>219</v>
      </c>
      <c r="F991" s="97">
        <v>3</v>
      </c>
      <c r="G991" s="97">
        <v>3</v>
      </c>
      <c r="H991" s="107">
        <v>1395.4</v>
      </c>
      <c r="I991" s="86">
        <f>H991</f>
        <v>1395.4</v>
      </c>
      <c r="J991" s="86">
        <v>1327.5</v>
      </c>
      <c r="K991" s="98">
        <v>82</v>
      </c>
      <c r="L991" s="92">
        <v>238576.03</v>
      </c>
      <c r="M991" s="92">
        <v>0</v>
      </c>
      <c r="N991" s="92">
        <v>0</v>
      </c>
      <c r="O991" s="92">
        <f>L991</f>
        <v>238576.03</v>
      </c>
      <c r="P991" s="92">
        <v>0</v>
      </c>
      <c r="Q991" s="86">
        <f>L991/I991</f>
        <v>170.97321914863122</v>
      </c>
      <c r="R991" s="93">
        <v>6774</v>
      </c>
      <c r="S991" s="276">
        <v>43465</v>
      </c>
    </row>
    <row r="992" spans="1:19" s="1" customFormat="1" ht="15.75">
      <c r="A992" s="87"/>
      <c r="B992" s="1066" t="s">
        <v>57</v>
      </c>
      <c r="C992" s="1066"/>
      <c r="D992" s="1066"/>
      <c r="E992" s="1066"/>
      <c r="F992" s="1066"/>
      <c r="G992" s="1066"/>
      <c r="H992" s="107">
        <f>H993</f>
        <v>4519.1000000000004</v>
      </c>
      <c r="I992" s="107">
        <f t="shared" ref="I992:P992" si="231">I993</f>
        <v>4025.1000000000004</v>
      </c>
      <c r="J992" s="107">
        <f t="shared" si="231"/>
        <v>4025.1000000000004</v>
      </c>
      <c r="K992" s="98">
        <f t="shared" si="231"/>
        <v>141</v>
      </c>
      <c r="L992" s="92">
        <f t="shared" si="231"/>
        <v>2547865</v>
      </c>
      <c r="M992" s="92">
        <f t="shared" si="231"/>
        <v>0</v>
      </c>
      <c r="N992" s="92">
        <f t="shared" si="231"/>
        <v>0</v>
      </c>
      <c r="O992" s="92">
        <f t="shared" si="231"/>
        <v>2547865</v>
      </c>
      <c r="P992" s="92">
        <f t="shared" si="231"/>
        <v>0</v>
      </c>
      <c r="Q992" s="86" t="s">
        <v>40</v>
      </c>
      <c r="R992" s="93" t="s">
        <v>40</v>
      </c>
      <c r="S992" s="276">
        <v>43465</v>
      </c>
    </row>
    <row r="993" spans="1:19" s="1" customFormat="1" ht="15.75" customHeight="1">
      <c r="A993" s="87"/>
      <c r="B993" s="1068" t="s">
        <v>119</v>
      </c>
      <c r="C993" s="1068"/>
      <c r="D993" s="1068"/>
      <c r="E993" s="1068"/>
      <c r="F993" s="1068"/>
      <c r="G993" s="1068"/>
      <c r="H993" s="107">
        <f t="shared" ref="H993:P993" si="232">H994+H995</f>
        <v>4519.1000000000004</v>
      </c>
      <c r="I993" s="107">
        <f t="shared" si="232"/>
        <v>4025.1000000000004</v>
      </c>
      <c r="J993" s="107">
        <f t="shared" si="232"/>
        <v>4025.1000000000004</v>
      </c>
      <c r="K993" s="98">
        <f t="shared" si="232"/>
        <v>141</v>
      </c>
      <c r="L993" s="92">
        <f t="shared" si="232"/>
        <v>2547865</v>
      </c>
      <c r="M993" s="92">
        <f t="shared" si="232"/>
        <v>0</v>
      </c>
      <c r="N993" s="92">
        <f t="shared" si="232"/>
        <v>0</v>
      </c>
      <c r="O993" s="92">
        <f t="shared" si="232"/>
        <v>2547865</v>
      </c>
      <c r="P993" s="92">
        <f t="shared" si="232"/>
        <v>0</v>
      </c>
      <c r="Q993" s="86" t="s">
        <v>40</v>
      </c>
      <c r="R993" s="86" t="s">
        <v>40</v>
      </c>
      <c r="S993" s="276">
        <v>43465</v>
      </c>
    </row>
    <row r="994" spans="1:19" s="1" customFormat="1" ht="15.75">
      <c r="A994" s="87"/>
      <c r="B994" s="224" t="s">
        <v>982</v>
      </c>
      <c r="C994" s="232">
        <v>1989</v>
      </c>
      <c r="D994" s="97"/>
      <c r="E994" s="89" t="s">
        <v>219</v>
      </c>
      <c r="F994" s="97">
        <v>3</v>
      </c>
      <c r="G994" s="97">
        <v>3</v>
      </c>
      <c r="H994" s="107">
        <v>1415</v>
      </c>
      <c r="I994" s="107">
        <v>1289.7</v>
      </c>
      <c r="J994" s="107">
        <v>1289.7</v>
      </c>
      <c r="K994" s="98">
        <v>52</v>
      </c>
      <c r="L994" s="92">
        <v>440353</v>
      </c>
      <c r="M994" s="92">
        <v>0</v>
      </c>
      <c r="N994" s="92">
        <v>0</v>
      </c>
      <c r="O994" s="92">
        <f>L994</f>
        <v>440353</v>
      </c>
      <c r="P994" s="92">
        <v>0</v>
      </c>
      <c r="Q994" s="86">
        <f>L994/I994</f>
        <v>341.43831898891216</v>
      </c>
      <c r="R994" s="93">
        <v>7920</v>
      </c>
      <c r="S994" s="276">
        <v>43465</v>
      </c>
    </row>
    <row r="995" spans="1:19" s="18" customFormat="1" ht="31.5">
      <c r="A995" s="87"/>
      <c r="B995" s="227" t="s">
        <v>983</v>
      </c>
      <c r="C995" s="232">
        <v>1992</v>
      </c>
      <c r="D995" s="97"/>
      <c r="E995" s="89" t="s">
        <v>218</v>
      </c>
      <c r="F995" s="97">
        <v>5</v>
      </c>
      <c r="G995" s="97">
        <v>4</v>
      </c>
      <c r="H995" s="107">
        <v>3104.1</v>
      </c>
      <c r="I995" s="107">
        <v>2735.4</v>
      </c>
      <c r="J995" s="107">
        <v>2735.4</v>
      </c>
      <c r="K995" s="98">
        <v>89</v>
      </c>
      <c r="L995" s="92">
        <v>2107512</v>
      </c>
      <c r="M995" s="92">
        <v>0</v>
      </c>
      <c r="N995" s="92">
        <v>0</v>
      </c>
      <c r="O995" s="92">
        <f>L995</f>
        <v>2107512</v>
      </c>
      <c r="P995" s="92">
        <v>0</v>
      </c>
      <c r="Q995" s="86">
        <f>L995/I995</f>
        <v>770.45843386707611</v>
      </c>
      <c r="R995" s="93">
        <v>7920</v>
      </c>
      <c r="S995" s="276">
        <v>43465</v>
      </c>
    </row>
    <row r="996" spans="1:19" s="1" customFormat="1" ht="15.75">
      <c r="A996" s="87"/>
      <c r="B996" s="1066" t="s">
        <v>58</v>
      </c>
      <c r="C996" s="1066"/>
      <c r="D996" s="1066"/>
      <c r="E996" s="1066"/>
      <c r="F996" s="1066"/>
      <c r="G996" s="1066"/>
      <c r="H996" s="107">
        <f>H997</f>
        <v>15250.300000000001</v>
      </c>
      <c r="I996" s="107">
        <f t="shared" ref="I996:P996" si="233">I997</f>
        <v>13418.4</v>
      </c>
      <c r="J996" s="107">
        <f t="shared" si="233"/>
        <v>12151.1</v>
      </c>
      <c r="K996" s="98">
        <f t="shared" si="233"/>
        <v>490</v>
      </c>
      <c r="L996" s="92">
        <f t="shared" si="233"/>
        <v>12013200</v>
      </c>
      <c r="M996" s="92">
        <f t="shared" si="233"/>
        <v>0</v>
      </c>
      <c r="N996" s="92">
        <f t="shared" si="233"/>
        <v>0</v>
      </c>
      <c r="O996" s="92">
        <f t="shared" si="233"/>
        <v>12013200</v>
      </c>
      <c r="P996" s="92">
        <f t="shared" si="233"/>
        <v>0</v>
      </c>
      <c r="Q996" s="86" t="s">
        <v>40</v>
      </c>
      <c r="R996" s="86" t="s">
        <v>40</v>
      </c>
      <c r="S996" s="276">
        <v>43465</v>
      </c>
    </row>
    <row r="997" spans="1:19" s="1" customFormat="1" ht="15.75" customHeight="1">
      <c r="A997" s="87"/>
      <c r="B997" s="1068" t="s">
        <v>87</v>
      </c>
      <c r="C997" s="1068"/>
      <c r="D997" s="1068"/>
      <c r="E997" s="1068"/>
      <c r="F997" s="1068"/>
      <c r="G997" s="1068"/>
      <c r="H997" s="107">
        <f>SUM(H998:H1006)</f>
        <v>15250.300000000001</v>
      </c>
      <c r="I997" s="86">
        <f t="shared" ref="I997:N997" si="234">SUM(I998:I1006)</f>
        <v>13418.4</v>
      </c>
      <c r="J997" s="86">
        <f t="shared" si="234"/>
        <v>12151.1</v>
      </c>
      <c r="K997" s="98">
        <f t="shared" si="234"/>
        <v>490</v>
      </c>
      <c r="L997" s="92">
        <f t="shared" si="234"/>
        <v>12013200</v>
      </c>
      <c r="M997" s="92">
        <f t="shared" si="234"/>
        <v>0</v>
      </c>
      <c r="N997" s="92">
        <f t="shared" si="234"/>
        <v>0</v>
      </c>
      <c r="O997" s="92">
        <f>SUM(O998:O1006)</f>
        <v>12013200</v>
      </c>
      <c r="P997" s="92">
        <v>0</v>
      </c>
      <c r="Q997" s="86" t="s">
        <v>40</v>
      </c>
      <c r="R997" s="86" t="s">
        <v>40</v>
      </c>
      <c r="S997" s="276">
        <v>43465</v>
      </c>
    </row>
    <row r="998" spans="1:19" s="24" customFormat="1" ht="31.5">
      <c r="A998" s="87"/>
      <c r="B998" s="227" t="s">
        <v>425</v>
      </c>
      <c r="C998" s="87">
        <v>1962</v>
      </c>
      <c r="D998" s="79"/>
      <c r="E998" s="89" t="s">
        <v>218</v>
      </c>
      <c r="F998" s="79">
        <v>5</v>
      </c>
      <c r="G998" s="79">
        <v>4</v>
      </c>
      <c r="H998" s="150">
        <v>3382</v>
      </c>
      <c r="I998" s="94">
        <v>3164.5</v>
      </c>
      <c r="J998" s="94">
        <v>2546.4</v>
      </c>
      <c r="K998" s="128">
        <v>88</v>
      </c>
      <c r="L998" s="92">
        <f t="shared" ref="L998:L1006" si="235">O998</f>
        <v>2239107</v>
      </c>
      <c r="M998" s="92">
        <v>0</v>
      </c>
      <c r="N998" s="92">
        <v>0</v>
      </c>
      <c r="O998" s="92">
        <v>2239107</v>
      </c>
      <c r="P998" s="92">
        <v>0</v>
      </c>
      <c r="Q998" s="80">
        <f t="shared" ref="Q998:Q1006" si="236">L998/I998</f>
        <v>707.57054826986882</v>
      </c>
      <c r="R998" s="93">
        <v>6774</v>
      </c>
      <c r="S998" s="276">
        <v>43465</v>
      </c>
    </row>
    <row r="999" spans="1:19" s="24" customFormat="1" ht="15.75">
      <c r="A999" s="87"/>
      <c r="B999" s="227" t="s">
        <v>79</v>
      </c>
      <c r="C999" s="79">
        <v>1949</v>
      </c>
      <c r="D999" s="79"/>
      <c r="E999" s="89" t="s">
        <v>222</v>
      </c>
      <c r="F999" s="79">
        <v>2</v>
      </c>
      <c r="G999" s="79">
        <v>2</v>
      </c>
      <c r="H999" s="150">
        <v>448.3</v>
      </c>
      <c r="I999" s="80">
        <v>402.5</v>
      </c>
      <c r="J999" s="80">
        <v>346.7</v>
      </c>
      <c r="K999" s="81">
        <v>16</v>
      </c>
      <c r="L999" s="92">
        <f t="shared" si="235"/>
        <v>706234</v>
      </c>
      <c r="M999" s="92">
        <v>0</v>
      </c>
      <c r="N999" s="92">
        <v>0</v>
      </c>
      <c r="O999" s="92">
        <v>706234</v>
      </c>
      <c r="P999" s="92">
        <v>0</v>
      </c>
      <c r="Q999" s="80">
        <f t="shared" si="236"/>
        <v>1754.6186335403727</v>
      </c>
      <c r="R999" s="93">
        <v>6774</v>
      </c>
      <c r="S999" s="276">
        <v>43465</v>
      </c>
    </row>
    <row r="1000" spans="1:19" s="24" customFormat="1" ht="15.75">
      <c r="A1000" s="87"/>
      <c r="B1000" s="227" t="s">
        <v>78</v>
      </c>
      <c r="C1000" s="79">
        <v>1949</v>
      </c>
      <c r="D1000" s="79"/>
      <c r="E1000" s="89" t="s">
        <v>221</v>
      </c>
      <c r="F1000" s="79">
        <v>2</v>
      </c>
      <c r="G1000" s="79">
        <v>2</v>
      </c>
      <c r="H1000" s="150">
        <v>438.3</v>
      </c>
      <c r="I1000" s="80">
        <v>393.5</v>
      </c>
      <c r="J1000" s="80">
        <f>I1000-49.9</f>
        <v>343.6</v>
      </c>
      <c r="K1000" s="81">
        <v>16</v>
      </c>
      <c r="L1000" s="92">
        <f t="shared" si="235"/>
        <v>651603</v>
      </c>
      <c r="M1000" s="92">
        <v>0</v>
      </c>
      <c r="N1000" s="92">
        <v>0</v>
      </c>
      <c r="O1000" s="92">
        <v>651603</v>
      </c>
      <c r="P1000" s="92">
        <v>0</v>
      </c>
      <c r="Q1000" s="80">
        <f t="shared" si="236"/>
        <v>1655.9161372299873</v>
      </c>
      <c r="R1000" s="93">
        <v>6774</v>
      </c>
      <c r="S1000" s="276">
        <v>43465</v>
      </c>
    </row>
    <row r="1001" spans="1:19" s="24" customFormat="1" ht="31.5">
      <c r="A1001" s="87"/>
      <c r="B1001" s="227" t="s">
        <v>426</v>
      </c>
      <c r="C1001" s="87">
        <v>1990</v>
      </c>
      <c r="D1001" s="79"/>
      <c r="E1001" s="89" t="s">
        <v>218</v>
      </c>
      <c r="F1001" s="79">
        <v>3</v>
      </c>
      <c r="G1001" s="79">
        <v>1</v>
      </c>
      <c r="H1001" s="150">
        <v>700.1</v>
      </c>
      <c r="I1001" s="94">
        <v>650.70000000000005</v>
      </c>
      <c r="J1001" s="94">
        <v>650.70000000000005</v>
      </c>
      <c r="K1001" s="128">
        <v>18</v>
      </c>
      <c r="L1001" s="92">
        <f t="shared" si="235"/>
        <v>698701</v>
      </c>
      <c r="M1001" s="92">
        <v>0</v>
      </c>
      <c r="N1001" s="92">
        <v>0</v>
      </c>
      <c r="O1001" s="92">
        <v>698701</v>
      </c>
      <c r="P1001" s="92">
        <v>0</v>
      </c>
      <c r="Q1001" s="80">
        <f t="shared" si="236"/>
        <v>1073.7682495773781</v>
      </c>
      <c r="R1001" s="93">
        <v>6774</v>
      </c>
      <c r="S1001" s="276">
        <v>43465</v>
      </c>
    </row>
    <row r="1002" spans="1:19" s="24" customFormat="1" ht="31.5">
      <c r="A1002" s="87"/>
      <c r="B1002" s="227" t="s">
        <v>80</v>
      </c>
      <c r="C1002" s="87">
        <v>1982</v>
      </c>
      <c r="D1002" s="79"/>
      <c r="E1002" s="89" t="s">
        <v>218</v>
      </c>
      <c r="F1002" s="79">
        <v>5</v>
      </c>
      <c r="G1002" s="79">
        <v>4</v>
      </c>
      <c r="H1002" s="151">
        <v>3159.2</v>
      </c>
      <c r="I1002" s="94">
        <v>2600.8000000000002</v>
      </c>
      <c r="J1002" s="94">
        <v>2455.5</v>
      </c>
      <c r="K1002" s="128">
        <v>106</v>
      </c>
      <c r="L1002" s="92">
        <f t="shared" si="235"/>
        <v>1512903</v>
      </c>
      <c r="M1002" s="92">
        <v>0</v>
      </c>
      <c r="N1002" s="92">
        <v>0</v>
      </c>
      <c r="O1002" s="92">
        <v>1512903</v>
      </c>
      <c r="P1002" s="92">
        <v>0</v>
      </c>
      <c r="Q1002" s="80">
        <f t="shared" si="236"/>
        <v>581.70678252845278</v>
      </c>
      <c r="R1002" s="93">
        <v>6774</v>
      </c>
      <c r="S1002" s="276">
        <v>43465</v>
      </c>
    </row>
    <row r="1003" spans="1:19" s="24" customFormat="1" ht="15.75">
      <c r="A1003" s="87"/>
      <c r="B1003" s="227" t="s">
        <v>84</v>
      </c>
      <c r="C1003" s="87">
        <v>1953</v>
      </c>
      <c r="D1003" s="79"/>
      <c r="E1003" s="89" t="s">
        <v>220</v>
      </c>
      <c r="F1003" s="79">
        <v>2</v>
      </c>
      <c r="G1003" s="79">
        <v>2</v>
      </c>
      <c r="H1003" s="151">
        <v>664.5</v>
      </c>
      <c r="I1003" s="94">
        <v>609.4</v>
      </c>
      <c r="J1003" s="94">
        <f>450.2-48.3</f>
        <v>401.9</v>
      </c>
      <c r="K1003" s="128">
        <v>15</v>
      </c>
      <c r="L1003" s="92">
        <f t="shared" si="235"/>
        <v>1668544</v>
      </c>
      <c r="M1003" s="92">
        <v>0</v>
      </c>
      <c r="N1003" s="92">
        <v>0</v>
      </c>
      <c r="O1003" s="92">
        <v>1668544</v>
      </c>
      <c r="P1003" s="92">
        <v>0</v>
      </c>
      <c r="Q1003" s="80">
        <f t="shared" si="236"/>
        <v>2738.0111585165737</v>
      </c>
      <c r="R1003" s="93">
        <v>6774</v>
      </c>
      <c r="S1003" s="276">
        <v>43465</v>
      </c>
    </row>
    <row r="1004" spans="1:19" s="24" customFormat="1" ht="31.5">
      <c r="A1004" s="87"/>
      <c r="B1004" s="227" t="s">
        <v>81</v>
      </c>
      <c r="C1004" s="87">
        <v>1988</v>
      </c>
      <c r="D1004" s="79"/>
      <c r="E1004" s="89" t="s">
        <v>218</v>
      </c>
      <c r="F1004" s="79">
        <v>5</v>
      </c>
      <c r="G1004" s="79">
        <v>6</v>
      </c>
      <c r="H1004" s="151">
        <v>4806.3999999999996</v>
      </c>
      <c r="I1004" s="94">
        <v>4087.2</v>
      </c>
      <c r="J1004" s="94">
        <v>4087.2</v>
      </c>
      <c r="K1004" s="128">
        <v>172</v>
      </c>
      <c r="L1004" s="92">
        <f t="shared" si="235"/>
        <v>2294873</v>
      </c>
      <c r="M1004" s="92">
        <v>0</v>
      </c>
      <c r="N1004" s="92">
        <v>0</v>
      </c>
      <c r="O1004" s="92">
        <v>2294873</v>
      </c>
      <c r="P1004" s="92">
        <v>0</v>
      </c>
      <c r="Q1004" s="80">
        <f t="shared" si="236"/>
        <v>561.47802896848702</v>
      </c>
      <c r="R1004" s="93">
        <v>6774</v>
      </c>
      <c r="S1004" s="276">
        <v>43465</v>
      </c>
    </row>
    <row r="1005" spans="1:19" s="24" customFormat="1" ht="15.75">
      <c r="A1005" s="87"/>
      <c r="B1005" s="227" t="s">
        <v>82</v>
      </c>
      <c r="C1005" s="87">
        <v>1948</v>
      </c>
      <c r="D1005" s="79"/>
      <c r="E1005" s="89" t="s">
        <v>221</v>
      </c>
      <c r="F1005" s="79">
        <v>2</v>
      </c>
      <c r="G1005" s="79">
        <v>1</v>
      </c>
      <c r="H1005" s="151">
        <v>559.9</v>
      </c>
      <c r="I1005" s="94">
        <v>503.7</v>
      </c>
      <c r="J1005" s="94">
        <f>I1005-190.7</f>
        <v>313</v>
      </c>
      <c r="K1005" s="128">
        <v>26</v>
      </c>
      <c r="L1005" s="92">
        <f t="shared" si="235"/>
        <v>879987</v>
      </c>
      <c r="M1005" s="92">
        <v>0</v>
      </c>
      <c r="N1005" s="92">
        <v>0</v>
      </c>
      <c r="O1005" s="92">
        <v>879987</v>
      </c>
      <c r="P1005" s="92">
        <v>0</v>
      </c>
      <c r="Q1005" s="80">
        <f t="shared" si="236"/>
        <v>1747.0458606313282</v>
      </c>
      <c r="R1005" s="93">
        <v>6774</v>
      </c>
      <c r="S1005" s="276">
        <v>43465</v>
      </c>
    </row>
    <row r="1006" spans="1:19" s="24" customFormat="1" ht="31.5">
      <c r="A1006" s="87"/>
      <c r="B1006" s="227" t="s">
        <v>83</v>
      </c>
      <c r="C1006" s="87">
        <v>1958</v>
      </c>
      <c r="D1006" s="79"/>
      <c r="E1006" s="89" t="s">
        <v>218</v>
      </c>
      <c r="F1006" s="79">
        <v>2</v>
      </c>
      <c r="G1006" s="79">
        <v>3</v>
      </c>
      <c r="H1006" s="151">
        <v>1091.5999999999999</v>
      </c>
      <c r="I1006" s="94">
        <v>1006.1</v>
      </c>
      <c r="J1006" s="94">
        <v>1006.1</v>
      </c>
      <c r="K1006" s="128">
        <v>33</v>
      </c>
      <c r="L1006" s="92">
        <f t="shared" si="235"/>
        <v>1361248</v>
      </c>
      <c r="M1006" s="92">
        <v>0</v>
      </c>
      <c r="N1006" s="92">
        <v>0</v>
      </c>
      <c r="O1006" s="92">
        <v>1361248</v>
      </c>
      <c r="P1006" s="92">
        <v>0</v>
      </c>
      <c r="Q1006" s="80">
        <f t="shared" si="236"/>
        <v>1352.9947321339828</v>
      </c>
      <c r="R1006" s="93">
        <v>6774</v>
      </c>
      <c r="S1006" s="276">
        <v>43465</v>
      </c>
    </row>
    <row r="1007" spans="1:19" s="1" customFormat="1" ht="15.75">
      <c r="A1007" s="87"/>
      <c r="B1007" s="1066" t="s">
        <v>60</v>
      </c>
      <c r="C1007" s="1066"/>
      <c r="D1007" s="1066"/>
      <c r="E1007" s="1066"/>
      <c r="F1007" s="1066"/>
      <c r="G1007" s="1066"/>
      <c r="H1007" s="107">
        <f>H1008</f>
        <v>10619.599999999999</v>
      </c>
      <c r="I1007" s="86">
        <f t="shared" ref="I1007:P1007" si="237">I1008</f>
        <v>8195.6999999999989</v>
      </c>
      <c r="J1007" s="86">
        <f t="shared" si="237"/>
        <v>6450.3</v>
      </c>
      <c r="K1007" s="98">
        <f t="shared" si="237"/>
        <v>429</v>
      </c>
      <c r="L1007" s="92">
        <f t="shared" si="237"/>
        <v>9462538</v>
      </c>
      <c r="M1007" s="92">
        <f t="shared" si="237"/>
        <v>0</v>
      </c>
      <c r="N1007" s="92">
        <f t="shared" si="237"/>
        <v>0</v>
      </c>
      <c r="O1007" s="92">
        <f t="shared" si="237"/>
        <v>9462538</v>
      </c>
      <c r="P1007" s="92">
        <f t="shared" si="237"/>
        <v>0</v>
      </c>
      <c r="Q1007" s="86" t="s">
        <v>40</v>
      </c>
      <c r="R1007" s="86" t="s">
        <v>40</v>
      </c>
      <c r="S1007" s="276">
        <v>43465</v>
      </c>
    </row>
    <row r="1008" spans="1:19" s="1" customFormat="1" ht="15.75">
      <c r="A1008" s="87"/>
      <c r="B1008" s="1066" t="s">
        <v>113</v>
      </c>
      <c r="C1008" s="1066"/>
      <c r="D1008" s="1066"/>
      <c r="E1008" s="1066"/>
      <c r="F1008" s="1066"/>
      <c r="G1008" s="1066"/>
      <c r="H1008" s="107">
        <f>SUM(H1009:H1012)</f>
        <v>10619.599999999999</v>
      </c>
      <c r="I1008" s="86">
        <f t="shared" ref="I1008:P1008" si="238">SUM(I1009:I1012)</f>
        <v>8195.6999999999989</v>
      </c>
      <c r="J1008" s="86">
        <f t="shared" si="238"/>
        <v>6450.3</v>
      </c>
      <c r="K1008" s="98">
        <f t="shared" si="238"/>
        <v>429</v>
      </c>
      <c r="L1008" s="92">
        <f t="shared" si="238"/>
        <v>9462538</v>
      </c>
      <c r="M1008" s="92">
        <f t="shared" si="238"/>
        <v>0</v>
      </c>
      <c r="N1008" s="92">
        <f t="shared" si="238"/>
        <v>0</v>
      </c>
      <c r="O1008" s="92">
        <f t="shared" si="238"/>
        <v>9462538</v>
      </c>
      <c r="P1008" s="92">
        <f t="shared" si="238"/>
        <v>0</v>
      </c>
      <c r="Q1008" s="86" t="s">
        <v>40</v>
      </c>
      <c r="R1008" s="86" t="s">
        <v>40</v>
      </c>
      <c r="S1008" s="276">
        <v>43465</v>
      </c>
    </row>
    <row r="1009" spans="1:19" s="41" customFormat="1" ht="15.75">
      <c r="A1009" s="87"/>
      <c r="B1009" s="225" t="s">
        <v>76</v>
      </c>
      <c r="C1009" s="88">
        <v>1979</v>
      </c>
      <c r="D1009" s="88"/>
      <c r="E1009" s="89" t="s">
        <v>219</v>
      </c>
      <c r="F1009" s="88">
        <v>5</v>
      </c>
      <c r="G1009" s="88">
        <v>4</v>
      </c>
      <c r="H1009" s="90">
        <v>3482.7</v>
      </c>
      <c r="I1009" s="88">
        <v>3216.7</v>
      </c>
      <c r="J1009" s="88">
        <v>2864.9</v>
      </c>
      <c r="K1009" s="91">
        <v>131</v>
      </c>
      <c r="L1009" s="92">
        <v>3626543</v>
      </c>
      <c r="M1009" s="92">
        <v>0</v>
      </c>
      <c r="N1009" s="92">
        <v>0</v>
      </c>
      <c r="O1009" s="92">
        <f>L1009</f>
        <v>3626543</v>
      </c>
      <c r="P1009" s="92">
        <v>0</v>
      </c>
      <c r="Q1009" s="93">
        <f>L1009/I1009</f>
        <v>1127.4110112848573</v>
      </c>
      <c r="R1009" s="93">
        <v>6774</v>
      </c>
      <c r="S1009" s="276">
        <v>43465</v>
      </c>
    </row>
    <row r="1010" spans="1:19" s="41" customFormat="1" ht="31.5">
      <c r="A1010" s="87"/>
      <c r="B1010" s="225" t="s">
        <v>75</v>
      </c>
      <c r="C1010" s="88">
        <v>1978</v>
      </c>
      <c r="D1010" s="88"/>
      <c r="E1010" s="89" t="s">
        <v>218</v>
      </c>
      <c r="F1010" s="88">
        <v>5</v>
      </c>
      <c r="G1010" s="88">
        <v>1</v>
      </c>
      <c r="H1010" s="90">
        <v>4056.6</v>
      </c>
      <c r="I1010" s="88">
        <v>2191.6</v>
      </c>
      <c r="J1010" s="88">
        <v>937</v>
      </c>
      <c r="K1010" s="91">
        <v>196</v>
      </c>
      <c r="L1010" s="92">
        <v>2160246</v>
      </c>
      <c r="M1010" s="92">
        <v>0</v>
      </c>
      <c r="N1010" s="92">
        <v>0</v>
      </c>
      <c r="O1010" s="92">
        <f>L1010</f>
        <v>2160246</v>
      </c>
      <c r="P1010" s="92">
        <v>0</v>
      </c>
      <c r="Q1010" s="93">
        <f>L1010/I1010</f>
        <v>985.69355721847057</v>
      </c>
      <c r="R1010" s="93">
        <v>6774</v>
      </c>
      <c r="S1010" s="276">
        <v>43465</v>
      </c>
    </row>
    <row r="1011" spans="1:19" s="41" customFormat="1" ht="31.5">
      <c r="A1011" s="87"/>
      <c r="B1011" s="225" t="s">
        <v>77</v>
      </c>
      <c r="C1011" s="88">
        <v>1925</v>
      </c>
      <c r="D1011" s="88"/>
      <c r="E1011" s="89" t="s">
        <v>218</v>
      </c>
      <c r="F1011" s="88">
        <v>2</v>
      </c>
      <c r="G1011" s="88">
        <v>2</v>
      </c>
      <c r="H1011" s="90">
        <v>597.1</v>
      </c>
      <c r="I1011" s="88">
        <v>487.9</v>
      </c>
      <c r="J1011" s="88">
        <v>455.6</v>
      </c>
      <c r="K1011" s="91">
        <v>16</v>
      </c>
      <c r="L1011" s="92">
        <v>1013564</v>
      </c>
      <c r="M1011" s="92">
        <v>0</v>
      </c>
      <c r="N1011" s="92">
        <v>0</v>
      </c>
      <c r="O1011" s="92">
        <f>L1011</f>
        <v>1013564</v>
      </c>
      <c r="P1011" s="92">
        <v>0</v>
      </c>
      <c r="Q1011" s="93">
        <f>L1011/I1011</f>
        <v>2077.401106784177</v>
      </c>
      <c r="R1011" s="93">
        <v>6774</v>
      </c>
      <c r="S1011" s="276">
        <v>43465</v>
      </c>
    </row>
    <row r="1012" spans="1:19" s="41" customFormat="1" ht="15.75">
      <c r="A1012" s="87"/>
      <c r="B1012" s="225" t="s">
        <v>427</v>
      </c>
      <c r="C1012" s="88">
        <v>1982</v>
      </c>
      <c r="D1012" s="88"/>
      <c r="E1012" s="89" t="s">
        <v>219</v>
      </c>
      <c r="F1012" s="88">
        <v>5</v>
      </c>
      <c r="G1012" s="88">
        <v>3</v>
      </c>
      <c r="H1012" s="90">
        <v>2483.1999999999998</v>
      </c>
      <c r="I1012" s="88">
        <v>2299.5</v>
      </c>
      <c r="J1012" s="88">
        <v>2192.8000000000002</v>
      </c>
      <c r="K1012" s="91">
        <v>86</v>
      </c>
      <c r="L1012" s="92">
        <v>2662185</v>
      </c>
      <c r="M1012" s="92">
        <v>0</v>
      </c>
      <c r="N1012" s="92">
        <v>0</v>
      </c>
      <c r="O1012" s="92">
        <f>L1012</f>
        <v>2662185</v>
      </c>
      <c r="P1012" s="92">
        <v>0</v>
      </c>
      <c r="Q1012" s="93">
        <f>L1012/I1012</f>
        <v>1157.723418134377</v>
      </c>
      <c r="R1012" s="93">
        <v>6774</v>
      </c>
      <c r="S1012" s="276">
        <v>43465</v>
      </c>
    </row>
    <row r="1013" spans="1:19" s="41" customFormat="1" ht="15.75" customHeight="1">
      <c r="A1013" s="87"/>
      <c r="B1013" s="1079" t="s">
        <v>208</v>
      </c>
      <c r="C1013" s="1079"/>
      <c r="D1013" s="1079"/>
      <c r="E1013" s="1079"/>
      <c r="F1013" s="1079"/>
      <c r="G1013" s="1079"/>
      <c r="H1013" s="93">
        <f t="shared" ref="H1013:O1014" si="239">H1014</f>
        <v>274.14</v>
      </c>
      <c r="I1013" s="93">
        <f t="shared" si="239"/>
        <v>246.3</v>
      </c>
      <c r="J1013" s="93">
        <f t="shared" si="239"/>
        <v>221.6</v>
      </c>
      <c r="K1013" s="91">
        <f t="shared" si="239"/>
        <v>13</v>
      </c>
      <c r="L1013" s="92">
        <f t="shared" si="239"/>
        <v>423156</v>
      </c>
      <c r="M1013" s="92">
        <f t="shared" si="239"/>
        <v>0</v>
      </c>
      <c r="N1013" s="92">
        <f t="shared" si="239"/>
        <v>0</v>
      </c>
      <c r="O1013" s="92">
        <f t="shared" si="239"/>
        <v>423156</v>
      </c>
      <c r="P1013" s="92">
        <f>P1014</f>
        <v>0</v>
      </c>
      <c r="Q1013" s="86" t="s">
        <v>40</v>
      </c>
      <c r="R1013" s="93" t="s">
        <v>40</v>
      </c>
      <c r="S1013" s="276">
        <v>43465</v>
      </c>
    </row>
    <row r="1014" spans="1:19" s="41" customFormat="1" ht="15.75">
      <c r="A1014" s="87"/>
      <c r="B1014" s="1066" t="s">
        <v>209</v>
      </c>
      <c r="C1014" s="1066"/>
      <c r="D1014" s="1066"/>
      <c r="E1014" s="1066"/>
      <c r="F1014" s="1066"/>
      <c r="G1014" s="1066"/>
      <c r="H1014" s="93">
        <f t="shared" si="239"/>
        <v>274.14</v>
      </c>
      <c r="I1014" s="93">
        <f t="shared" si="239"/>
        <v>246.3</v>
      </c>
      <c r="J1014" s="93">
        <f t="shared" si="239"/>
        <v>221.6</v>
      </c>
      <c r="K1014" s="91">
        <f t="shared" si="239"/>
        <v>13</v>
      </c>
      <c r="L1014" s="92">
        <f t="shared" si="239"/>
        <v>423156</v>
      </c>
      <c r="M1014" s="92">
        <f t="shared" si="239"/>
        <v>0</v>
      </c>
      <c r="N1014" s="92">
        <f t="shared" si="239"/>
        <v>0</v>
      </c>
      <c r="O1014" s="92">
        <f t="shared" si="239"/>
        <v>423156</v>
      </c>
      <c r="P1014" s="92">
        <f>P1015</f>
        <v>0</v>
      </c>
      <c r="Q1014" s="86" t="s">
        <v>40</v>
      </c>
      <c r="R1014" s="86" t="s">
        <v>40</v>
      </c>
      <c r="S1014" s="276">
        <v>43465</v>
      </c>
    </row>
    <row r="1015" spans="1:19" s="41" customFormat="1" ht="15.75">
      <c r="A1015" s="268"/>
      <c r="B1015" s="286" t="s">
        <v>479</v>
      </c>
      <c r="C1015" s="270">
        <v>1962</v>
      </c>
      <c r="D1015" s="270"/>
      <c r="E1015" s="271" t="s">
        <v>221</v>
      </c>
      <c r="F1015" s="270">
        <v>1</v>
      </c>
      <c r="G1015" s="270">
        <v>2</v>
      </c>
      <c r="H1015" s="272">
        <v>274.14</v>
      </c>
      <c r="I1015" s="270">
        <v>246.3</v>
      </c>
      <c r="J1015" s="270">
        <v>221.6</v>
      </c>
      <c r="K1015" s="273">
        <v>13</v>
      </c>
      <c r="L1015" s="274">
        <v>423156</v>
      </c>
      <c r="M1015" s="274">
        <v>0</v>
      </c>
      <c r="N1015" s="274">
        <v>0</v>
      </c>
      <c r="O1015" s="274">
        <v>423156</v>
      </c>
      <c r="P1015" s="274">
        <v>0</v>
      </c>
      <c r="Q1015" s="275">
        <f>L1015/I1015</f>
        <v>1718.0511571254567</v>
      </c>
      <c r="R1015" s="275">
        <v>7920</v>
      </c>
      <c r="S1015" s="276">
        <v>43465</v>
      </c>
    </row>
    <row r="1016" spans="1:19" s="1" customFormat="1" ht="15.75">
      <c r="A1016" s="87"/>
      <c r="B1016" s="1066" t="s">
        <v>61</v>
      </c>
      <c r="C1016" s="1066"/>
      <c r="D1016" s="1066"/>
      <c r="E1016" s="1066"/>
      <c r="F1016" s="1066"/>
      <c r="G1016" s="1066"/>
      <c r="H1016" s="107">
        <f>H1017</f>
        <v>1469.1399999999999</v>
      </c>
      <c r="I1016" s="86">
        <f t="shared" ref="I1016:P1016" si="240">I1017</f>
        <v>1300.3400000000001</v>
      </c>
      <c r="J1016" s="86">
        <f t="shared" si="240"/>
        <v>991.66</v>
      </c>
      <c r="K1016" s="98">
        <f t="shared" si="240"/>
        <v>75</v>
      </c>
      <c r="L1016" s="92">
        <f t="shared" si="240"/>
        <v>4886972</v>
      </c>
      <c r="M1016" s="92">
        <f t="shared" si="240"/>
        <v>0</v>
      </c>
      <c r="N1016" s="92">
        <f t="shared" si="240"/>
        <v>0</v>
      </c>
      <c r="O1016" s="92">
        <f t="shared" si="240"/>
        <v>4886972</v>
      </c>
      <c r="P1016" s="92">
        <f t="shared" si="240"/>
        <v>0</v>
      </c>
      <c r="Q1016" s="93" t="s">
        <v>40</v>
      </c>
      <c r="R1016" s="93" t="s">
        <v>40</v>
      </c>
      <c r="S1016" s="276">
        <v>43465</v>
      </c>
    </row>
    <row r="1017" spans="1:19" s="1" customFormat="1" ht="15.75">
      <c r="A1017" s="87"/>
      <c r="B1017" s="1066" t="s">
        <v>118</v>
      </c>
      <c r="C1017" s="1066"/>
      <c r="D1017" s="1066"/>
      <c r="E1017" s="1066"/>
      <c r="F1017" s="1066"/>
      <c r="G1017" s="1066"/>
      <c r="H1017" s="107">
        <f>H1018+H1019+H1020</f>
        <v>1469.1399999999999</v>
      </c>
      <c r="I1017" s="107">
        <f t="shared" ref="I1017:P1017" si="241">I1018+I1019+I1020</f>
        <v>1300.3400000000001</v>
      </c>
      <c r="J1017" s="107">
        <f t="shared" si="241"/>
        <v>991.66</v>
      </c>
      <c r="K1017" s="107">
        <f t="shared" si="241"/>
        <v>75</v>
      </c>
      <c r="L1017" s="313">
        <f t="shared" si="241"/>
        <v>4886972</v>
      </c>
      <c r="M1017" s="313">
        <f t="shared" si="241"/>
        <v>0</v>
      </c>
      <c r="N1017" s="313">
        <f t="shared" si="241"/>
        <v>0</v>
      </c>
      <c r="O1017" s="313">
        <f t="shared" si="241"/>
        <v>4886972</v>
      </c>
      <c r="P1017" s="313">
        <f t="shared" si="241"/>
        <v>0</v>
      </c>
      <c r="Q1017" s="93" t="s">
        <v>40</v>
      </c>
      <c r="R1017" s="86" t="s">
        <v>40</v>
      </c>
      <c r="S1017" s="276">
        <v>43465</v>
      </c>
    </row>
    <row r="1018" spans="1:19" s="1" customFormat="1" ht="31.5">
      <c r="A1018" s="268"/>
      <c r="B1018" s="311" t="s">
        <v>492</v>
      </c>
      <c r="C1018" s="290">
        <v>1961</v>
      </c>
      <c r="D1018" s="311"/>
      <c r="E1018" s="271" t="s">
        <v>218</v>
      </c>
      <c r="F1018" s="290">
        <v>2</v>
      </c>
      <c r="G1018" s="290">
        <v>2</v>
      </c>
      <c r="H1018" s="291">
        <v>411.7</v>
      </c>
      <c r="I1018" s="293">
        <v>380</v>
      </c>
      <c r="J1018" s="293">
        <v>188.1</v>
      </c>
      <c r="K1018" s="292">
        <v>33</v>
      </c>
      <c r="L1018" s="274">
        <v>1449272</v>
      </c>
      <c r="M1018" s="274">
        <v>0</v>
      </c>
      <c r="N1018" s="274">
        <v>0</v>
      </c>
      <c r="O1018" s="274">
        <v>1449272</v>
      </c>
      <c r="P1018" s="274">
        <v>0</v>
      </c>
      <c r="Q1018" s="275">
        <f>L1018/I1018</f>
        <v>3813.8736842105263</v>
      </c>
      <c r="R1018" s="293">
        <v>7920</v>
      </c>
      <c r="S1018" s="276">
        <v>43465</v>
      </c>
    </row>
    <row r="1019" spans="1:19" s="1" customFormat="1" ht="31.5">
      <c r="A1019" s="268"/>
      <c r="B1019" s="311" t="s">
        <v>493</v>
      </c>
      <c r="C1019" s="290">
        <v>1976</v>
      </c>
      <c r="D1019" s="311"/>
      <c r="E1019" s="271" t="s">
        <v>218</v>
      </c>
      <c r="F1019" s="290">
        <v>2</v>
      </c>
      <c r="G1019" s="290">
        <v>2</v>
      </c>
      <c r="H1019" s="291">
        <v>832.6</v>
      </c>
      <c r="I1019" s="293">
        <v>738.9</v>
      </c>
      <c r="J1019" s="293">
        <v>663.52</v>
      </c>
      <c r="K1019" s="292">
        <v>29</v>
      </c>
      <c r="L1019" s="274">
        <v>2576258</v>
      </c>
      <c r="M1019" s="274">
        <v>0</v>
      </c>
      <c r="N1019" s="274">
        <v>0</v>
      </c>
      <c r="O1019" s="274">
        <v>2576258</v>
      </c>
      <c r="P1019" s="274">
        <v>0</v>
      </c>
      <c r="Q1019" s="275">
        <f>L1019/I1019</f>
        <v>3486.6125321423738</v>
      </c>
      <c r="R1019" s="293">
        <v>7920</v>
      </c>
      <c r="S1019" s="276">
        <v>43465</v>
      </c>
    </row>
    <row r="1020" spans="1:19" s="1" customFormat="1" ht="31.5">
      <c r="A1020" s="268"/>
      <c r="B1020" s="289" t="s">
        <v>494</v>
      </c>
      <c r="C1020" s="270">
        <v>1968</v>
      </c>
      <c r="D1020" s="270"/>
      <c r="E1020" s="271" t="s">
        <v>218</v>
      </c>
      <c r="F1020" s="270">
        <v>2</v>
      </c>
      <c r="G1020" s="270">
        <v>2</v>
      </c>
      <c r="H1020" s="272">
        <v>224.84</v>
      </c>
      <c r="I1020" s="275">
        <v>181.44</v>
      </c>
      <c r="J1020" s="275">
        <v>140.04</v>
      </c>
      <c r="K1020" s="273">
        <v>13</v>
      </c>
      <c r="L1020" s="274">
        <v>861442</v>
      </c>
      <c r="M1020" s="274">
        <v>0</v>
      </c>
      <c r="N1020" s="274">
        <v>0</v>
      </c>
      <c r="O1020" s="274">
        <v>861442</v>
      </c>
      <c r="P1020" s="274">
        <v>0</v>
      </c>
      <c r="Q1020" s="293">
        <f>L1020/I1020</f>
        <v>4747.8064373897705</v>
      </c>
      <c r="R1020" s="275">
        <v>7920</v>
      </c>
      <c r="S1020" s="276">
        <v>43465</v>
      </c>
    </row>
    <row r="1021" spans="1:19" s="1" customFormat="1" ht="15.75">
      <c r="A1021" s="87"/>
      <c r="B1021" s="1066" t="s">
        <v>649</v>
      </c>
      <c r="C1021" s="1066"/>
      <c r="D1021" s="1066"/>
      <c r="E1021" s="1066"/>
      <c r="F1021" s="1066"/>
      <c r="G1021" s="1066"/>
      <c r="H1021" s="90">
        <f>H1022</f>
        <v>2782.8</v>
      </c>
      <c r="I1021" s="90">
        <f t="shared" ref="I1021:P1021" si="242">I1022</f>
        <v>1743.6</v>
      </c>
      <c r="J1021" s="90">
        <f t="shared" si="242"/>
        <v>1259</v>
      </c>
      <c r="K1021" s="90">
        <f t="shared" si="242"/>
        <v>76</v>
      </c>
      <c r="L1021" s="497">
        <f t="shared" si="242"/>
        <v>1577672</v>
      </c>
      <c r="M1021" s="497">
        <f t="shared" si="242"/>
        <v>0</v>
      </c>
      <c r="N1021" s="497">
        <f t="shared" si="242"/>
        <v>0</v>
      </c>
      <c r="O1021" s="497">
        <f t="shared" si="242"/>
        <v>1577672</v>
      </c>
      <c r="P1021" s="497">
        <f t="shared" si="242"/>
        <v>0</v>
      </c>
      <c r="Q1021" s="93" t="s">
        <v>40</v>
      </c>
      <c r="R1021" s="93" t="s">
        <v>40</v>
      </c>
      <c r="S1021" s="276">
        <v>43465</v>
      </c>
    </row>
    <row r="1022" spans="1:19" s="1" customFormat="1" ht="15.75">
      <c r="A1022" s="87"/>
      <c r="B1022" s="1131" t="s">
        <v>652</v>
      </c>
      <c r="C1022" s="1132"/>
      <c r="D1022" s="1132"/>
      <c r="E1022" s="1132"/>
      <c r="F1022" s="1132"/>
      <c r="G1022" s="1133"/>
      <c r="H1022" s="90">
        <f>H1023+H1024</f>
        <v>2782.8</v>
      </c>
      <c r="I1022" s="90">
        <f t="shared" ref="I1022:P1022" si="243">I1023+I1024</f>
        <v>1743.6</v>
      </c>
      <c r="J1022" s="90">
        <f t="shared" si="243"/>
        <v>1259</v>
      </c>
      <c r="K1022" s="90">
        <f t="shared" si="243"/>
        <v>76</v>
      </c>
      <c r="L1022" s="497">
        <f t="shared" si="243"/>
        <v>1577672</v>
      </c>
      <c r="M1022" s="497">
        <f t="shared" si="243"/>
        <v>0</v>
      </c>
      <c r="N1022" s="497">
        <f t="shared" si="243"/>
        <v>0</v>
      </c>
      <c r="O1022" s="497">
        <f t="shared" si="243"/>
        <v>1577672</v>
      </c>
      <c r="P1022" s="497">
        <f t="shared" si="243"/>
        <v>0</v>
      </c>
      <c r="Q1022" s="93" t="s">
        <v>40</v>
      </c>
      <c r="R1022" s="86" t="s">
        <v>40</v>
      </c>
      <c r="S1022" s="276">
        <v>43465</v>
      </c>
    </row>
    <row r="1023" spans="1:19" s="1" customFormat="1" ht="15.75">
      <c r="A1023" s="87"/>
      <c r="B1023" s="226" t="s">
        <v>653</v>
      </c>
      <c r="C1023" s="88">
        <v>1982</v>
      </c>
      <c r="D1023" s="88"/>
      <c r="E1023" s="79" t="s">
        <v>220</v>
      </c>
      <c r="F1023" s="88">
        <v>2</v>
      </c>
      <c r="G1023" s="88">
        <v>3</v>
      </c>
      <c r="H1023" s="90">
        <v>1391.4</v>
      </c>
      <c r="I1023" s="93">
        <v>871.8</v>
      </c>
      <c r="J1023" s="93">
        <v>683.9</v>
      </c>
      <c r="K1023" s="91">
        <v>39</v>
      </c>
      <c r="L1023" s="92">
        <v>788836</v>
      </c>
      <c r="M1023" s="92">
        <v>0</v>
      </c>
      <c r="N1023" s="92">
        <v>0</v>
      </c>
      <c r="O1023" s="92">
        <v>788836</v>
      </c>
      <c r="P1023" s="92">
        <v>0</v>
      </c>
      <c r="Q1023" s="86">
        <f>L1023/I1023</f>
        <v>904.83597155310861</v>
      </c>
      <c r="R1023" s="93">
        <v>7920</v>
      </c>
      <c r="S1023" s="276">
        <v>43465</v>
      </c>
    </row>
    <row r="1024" spans="1:19" s="1" customFormat="1" ht="15.75">
      <c r="A1024" s="87"/>
      <c r="B1024" s="226" t="s">
        <v>654</v>
      </c>
      <c r="C1024" s="88">
        <v>1982</v>
      </c>
      <c r="D1024" s="88"/>
      <c r="E1024" s="79" t="s">
        <v>220</v>
      </c>
      <c r="F1024" s="88">
        <v>2</v>
      </c>
      <c r="G1024" s="88">
        <v>3</v>
      </c>
      <c r="H1024" s="90">
        <v>1391.4</v>
      </c>
      <c r="I1024" s="93">
        <v>871.8</v>
      </c>
      <c r="J1024" s="93">
        <v>575.1</v>
      </c>
      <c r="K1024" s="91">
        <v>37</v>
      </c>
      <c r="L1024" s="92">
        <v>788836</v>
      </c>
      <c r="M1024" s="92">
        <v>0</v>
      </c>
      <c r="N1024" s="92">
        <v>0</v>
      </c>
      <c r="O1024" s="92">
        <v>788836</v>
      </c>
      <c r="P1024" s="92">
        <v>0</v>
      </c>
      <c r="Q1024" s="86">
        <f>L1024/I1024</f>
        <v>904.83597155310861</v>
      </c>
      <c r="R1024" s="93">
        <v>7920</v>
      </c>
      <c r="S1024" s="276">
        <v>43465</v>
      </c>
    </row>
    <row r="1025" spans="1:19" s="1" customFormat="1" ht="15.75">
      <c r="A1025" s="87"/>
      <c r="B1025" s="1066" t="s">
        <v>62</v>
      </c>
      <c r="C1025" s="1066"/>
      <c r="D1025" s="1066"/>
      <c r="E1025" s="1066"/>
      <c r="F1025" s="1066"/>
      <c r="G1025" s="1066"/>
      <c r="H1025" s="107">
        <f>H1026</f>
        <v>403.4</v>
      </c>
      <c r="I1025" s="86">
        <f t="shared" ref="I1025:P1025" si="244">I1026</f>
        <v>360.2</v>
      </c>
      <c r="J1025" s="86">
        <f t="shared" si="244"/>
        <v>360.2</v>
      </c>
      <c r="K1025" s="98">
        <f t="shared" si="244"/>
        <v>17</v>
      </c>
      <c r="L1025" s="92">
        <f t="shared" si="244"/>
        <v>1134905</v>
      </c>
      <c r="M1025" s="92">
        <f t="shared" si="244"/>
        <v>0</v>
      </c>
      <c r="N1025" s="92">
        <f t="shared" si="244"/>
        <v>0</v>
      </c>
      <c r="O1025" s="92">
        <f t="shared" si="244"/>
        <v>1134905</v>
      </c>
      <c r="P1025" s="92">
        <f t="shared" si="244"/>
        <v>0</v>
      </c>
      <c r="Q1025" s="86" t="s">
        <v>40</v>
      </c>
      <c r="R1025" s="86" t="s">
        <v>40</v>
      </c>
      <c r="S1025" s="276">
        <v>43465</v>
      </c>
    </row>
    <row r="1026" spans="1:19" s="1" customFormat="1" ht="15.75">
      <c r="A1026" s="87"/>
      <c r="B1026" s="1066" t="s">
        <v>117</v>
      </c>
      <c r="C1026" s="1066"/>
      <c r="D1026" s="1066"/>
      <c r="E1026" s="1066"/>
      <c r="F1026" s="1066"/>
      <c r="G1026" s="1066"/>
      <c r="H1026" s="107">
        <f>H1027</f>
        <v>403.4</v>
      </c>
      <c r="I1026" s="86">
        <f t="shared" ref="I1026:P1026" si="245">I1027</f>
        <v>360.2</v>
      </c>
      <c r="J1026" s="86">
        <f t="shared" si="245"/>
        <v>360.2</v>
      </c>
      <c r="K1026" s="98">
        <f t="shared" si="245"/>
        <v>17</v>
      </c>
      <c r="L1026" s="92">
        <f t="shared" si="245"/>
        <v>1134905</v>
      </c>
      <c r="M1026" s="92">
        <f t="shared" si="245"/>
        <v>0</v>
      </c>
      <c r="N1026" s="92">
        <f t="shared" si="245"/>
        <v>0</v>
      </c>
      <c r="O1026" s="92">
        <f t="shared" si="245"/>
        <v>1134905</v>
      </c>
      <c r="P1026" s="92">
        <f t="shared" si="245"/>
        <v>0</v>
      </c>
      <c r="Q1026" s="86" t="s">
        <v>40</v>
      </c>
      <c r="R1026" s="86" t="s">
        <v>40</v>
      </c>
      <c r="S1026" s="276">
        <v>43465</v>
      </c>
    </row>
    <row r="1027" spans="1:19" s="1" customFormat="1" ht="31.5">
      <c r="A1027" s="268"/>
      <c r="B1027" s="311" t="s">
        <v>487</v>
      </c>
      <c r="C1027" s="290">
        <v>1969</v>
      </c>
      <c r="D1027" s="290"/>
      <c r="E1027" s="271" t="s">
        <v>218</v>
      </c>
      <c r="F1027" s="290">
        <v>2</v>
      </c>
      <c r="G1027" s="290">
        <v>2</v>
      </c>
      <c r="H1027" s="291">
        <v>403.4</v>
      </c>
      <c r="I1027" s="293">
        <v>360.2</v>
      </c>
      <c r="J1027" s="293">
        <v>360.2</v>
      </c>
      <c r="K1027" s="292">
        <v>17</v>
      </c>
      <c r="L1027" s="274">
        <v>1134905</v>
      </c>
      <c r="M1027" s="274">
        <v>0</v>
      </c>
      <c r="N1027" s="274">
        <v>0</v>
      </c>
      <c r="O1027" s="274">
        <f>L1027</f>
        <v>1134905</v>
      </c>
      <c r="P1027" s="274">
        <v>0</v>
      </c>
      <c r="Q1027" s="293">
        <f>L1027/I1027</f>
        <v>3150.7634647418104</v>
      </c>
      <c r="R1027" s="275">
        <v>7920</v>
      </c>
      <c r="S1027" s="276">
        <v>43465</v>
      </c>
    </row>
    <row r="1028" spans="1:19" s="1" customFormat="1" ht="15.75">
      <c r="A1028" s="268"/>
      <c r="B1028" s="1120" t="s">
        <v>63</v>
      </c>
      <c r="C1028" s="1120"/>
      <c r="D1028" s="1120"/>
      <c r="E1028" s="1120"/>
      <c r="F1028" s="1120"/>
      <c r="G1028" s="1120"/>
      <c r="H1028" s="291">
        <f>H1029</f>
        <v>1388.4</v>
      </c>
      <c r="I1028" s="293">
        <f t="shared" ref="I1028:P1028" si="246">I1029</f>
        <v>1266.0999999999999</v>
      </c>
      <c r="J1028" s="293">
        <f t="shared" si="246"/>
        <v>1266.0999999999999</v>
      </c>
      <c r="K1028" s="292">
        <f t="shared" si="246"/>
        <v>39</v>
      </c>
      <c r="L1028" s="274">
        <f t="shared" si="246"/>
        <v>2751167</v>
      </c>
      <c r="M1028" s="274">
        <f t="shared" si="246"/>
        <v>0</v>
      </c>
      <c r="N1028" s="274">
        <f t="shared" si="246"/>
        <v>0</v>
      </c>
      <c r="O1028" s="274">
        <f t="shared" si="246"/>
        <v>2751167</v>
      </c>
      <c r="P1028" s="274">
        <f t="shared" si="246"/>
        <v>0</v>
      </c>
      <c r="Q1028" s="293" t="s">
        <v>40</v>
      </c>
      <c r="R1028" s="293" t="s">
        <v>40</v>
      </c>
      <c r="S1028" s="276">
        <v>43465</v>
      </c>
    </row>
    <row r="1029" spans="1:19" s="1" customFormat="1" ht="15.75" customHeight="1">
      <c r="A1029" s="268"/>
      <c r="B1029" s="1123" t="s">
        <v>116</v>
      </c>
      <c r="C1029" s="1123"/>
      <c r="D1029" s="1123"/>
      <c r="E1029" s="1123"/>
      <c r="F1029" s="1123"/>
      <c r="G1029" s="1123"/>
      <c r="H1029" s="291">
        <f t="shared" ref="H1029:P1029" si="247">H1030+H1031</f>
        <v>1388.4</v>
      </c>
      <c r="I1029" s="293">
        <f t="shared" si="247"/>
        <v>1266.0999999999999</v>
      </c>
      <c r="J1029" s="293">
        <f t="shared" si="247"/>
        <v>1266.0999999999999</v>
      </c>
      <c r="K1029" s="292">
        <f t="shared" si="247"/>
        <v>39</v>
      </c>
      <c r="L1029" s="274">
        <f t="shared" si="247"/>
        <v>2751167</v>
      </c>
      <c r="M1029" s="274">
        <f t="shared" si="247"/>
        <v>0</v>
      </c>
      <c r="N1029" s="274">
        <f t="shared" si="247"/>
        <v>0</v>
      </c>
      <c r="O1029" s="274">
        <f t="shared" si="247"/>
        <v>2751167</v>
      </c>
      <c r="P1029" s="274">
        <f t="shared" si="247"/>
        <v>0</v>
      </c>
      <c r="Q1029" s="293" t="s">
        <v>40</v>
      </c>
      <c r="R1029" s="293" t="s">
        <v>40</v>
      </c>
      <c r="S1029" s="276">
        <v>43465</v>
      </c>
    </row>
    <row r="1030" spans="1:19" s="1" customFormat="1" ht="31.5">
      <c r="A1030" s="268"/>
      <c r="B1030" s="638" t="s">
        <v>677</v>
      </c>
      <c r="C1030" s="639">
        <v>1977</v>
      </c>
      <c r="D1030" s="640"/>
      <c r="E1030" s="271" t="s">
        <v>218</v>
      </c>
      <c r="F1030" s="639">
        <v>2</v>
      </c>
      <c r="G1030" s="639">
        <v>2</v>
      </c>
      <c r="H1030" s="616">
        <v>829.3</v>
      </c>
      <c r="I1030" s="324">
        <v>753</v>
      </c>
      <c r="J1030" s="324">
        <v>753</v>
      </c>
      <c r="K1030" s="325">
        <v>27</v>
      </c>
      <c r="L1030" s="274">
        <v>2217768</v>
      </c>
      <c r="M1030" s="274">
        <v>0</v>
      </c>
      <c r="N1030" s="274">
        <v>0</v>
      </c>
      <c r="O1030" s="274">
        <v>2217768</v>
      </c>
      <c r="P1030" s="274">
        <v>0</v>
      </c>
      <c r="Q1030" s="326">
        <f>L1030/I1030</f>
        <v>2945.2430278884462</v>
      </c>
      <c r="R1030" s="275">
        <v>7920</v>
      </c>
      <c r="S1030" s="276">
        <v>43465</v>
      </c>
    </row>
    <row r="1031" spans="1:19" s="1" customFormat="1" ht="31.5">
      <c r="A1031" s="268"/>
      <c r="B1031" s="638" t="s">
        <v>504</v>
      </c>
      <c r="C1031" s="640">
        <v>1966</v>
      </c>
      <c r="D1031" s="641"/>
      <c r="E1031" s="271" t="s">
        <v>218</v>
      </c>
      <c r="F1031" s="639">
        <v>2</v>
      </c>
      <c r="G1031" s="639">
        <v>2</v>
      </c>
      <c r="H1031" s="616">
        <v>559.1</v>
      </c>
      <c r="I1031" s="324">
        <v>513.1</v>
      </c>
      <c r="J1031" s="324">
        <v>513.1</v>
      </c>
      <c r="K1031" s="325">
        <v>12</v>
      </c>
      <c r="L1031" s="274">
        <v>533399</v>
      </c>
      <c r="M1031" s="274">
        <v>0</v>
      </c>
      <c r="N1031" s="274">
        <v>0</v>
      </c>
      <c r="O1031" s="274">
        <v>533399</v>
      </c>
      <c r="P1031" s="274">
        <v>0</v>
      </c>
      <c r="Q1031" s="326">
        <f>L1031/I1031</f>
        <v>1039.5614889885012</v>
      </c>
      <c r="R1031" s="275">
        <v>7920</v>
      </c>
      <c r="S1031" s="276">
        <v>43465</v>
      </c>
    </row>
    <row r="1032" spans="1:19" s="1" customFormat="1" ht="15.75">
      <c r="A1032" s="87"/>
      <c r="B1032" s="1066" t="s">
        <v>64</v>
      </c>
      <c r="C1032" s="1066"/>
      <c r="D1032" s="1066"/>
      <c r="E1032" s="1066"/>
      <c r="F1032" s="1066"/>
      <c r="G1032" s="1066"/>
      <c r="H1032" s="107">
        <f>H1033</f>
        <v>1981.8</v>
      </c>
      <c r="I1032" s="86">
        <f t="shared" ref="I1032:P1032" si="248">I1033</f>
        <v>1762.1000000000001</v>
      </c>
      <c r="J1032" s="86">
        <f t="shared" si="248"/>
        <v>1762.1000000000001</v>
      </c>
      <c r="K1032" s="98">
        <f t="shared" si="248"/>
        <v>66</v>
      </c>
      <c r="L1032" s="92">
        <f t="shared" si="248"/>
        <v>5819333</v>
      </c>
      <c r="M1032" s="92">
        <f t="shared" si="248"/>
        <v>0</v>
      </c>
      <c r="N1032" s="92">
        <f t="shared" si="248"/>
        <v>0</v>
      </c>
      <c r="O1032" s="92">
        <f t="shared" si="248"/>
        <v>5819333</v>
      </c>
      <c r="P1032" s="92">
        <f t="shared" si="248"/>
        <v>0</v>
      </c>
      <c r="Q1032" s="86" t="s">
        <v>40</v>
      </c>
      <c r="R1032" s="86" t="s">
        <v>40</v>
      </c>
      <c r="S1032" s="276">
        <v>43465</v>
      </c>
    </row>
    <row r="1033" spans="1:19" s="1" customFormat="1" ht="15.75">
      <c r="A1033" s="87"/>
      <c r="B1033" s="1066" t="s">
        <v>115</v>
      </c>
      <c r="C1033" s="1066"/>
      <c r="D1033" s="1066"/>
      <c r="E1033" s="1066"/>
      <c r="F1033" s="1066"/>
      <c r="G1033" s="1066"/>
      <c r="H1033" s="107">
        <f>SUM(H1034:H1037)</f>
        <v>1981.8</v>
      </c>
      <c r="I1033" s="86">
        <f t="shared" ref="I1033:O1033" si="249">SUM(I1034:I1037)</f>
        <v>1762.1000000000001</v>
      </c>
      <c r="J1033" s="86">
        <f t="shared" si="249"/>
        <v>1762.1000000000001</v>
      </c>
      <c r="K1033" s="98">
        <f t="shared" si="249"/>
        <v>66</v>
      </c>
      <c r="L1033" s="92">
        <f t="shared" si="249"/>
        <v>5819333</v>
      </c>
      <c r="M1033" s="92">
        <f t="shared" si="249"/>
        <v>0</v>
      </c>
      <c r="N1033" s="92">
        <f t="shared" si="249"/>
        <v>0</v>
      </c>
      <c r="O1033" s="92">
        <f t="shared" si="249"/>
        <v>5819333</v>
      </c>
      <c r="P1033" s="92">
        <f>SUM(P1034:P1036)</f>
        <v>0</v>
      </c>
      <c r="Q1033" s="86" t="s">
        <v>40</v>
      </c>
      <c r="R1033" s="86" t="s">
        <v>40</v>
      </c>
      <c r="S1033" s="276">
        <v>43465</v>
      </c>
    </row>
    <row r="1034" spans="1:19" s="1" customFormat="1" ht="31.5">
      <c r="A1034" s="268"/>
      <c r="B1034" s="311" t="s">
        <v>612</v>
      </c>
      <c r="C1034" s="290">
        <v>1963</v>
      </c>
      <c r="D1034" s="290"/>
      <c r="E1034" s="271" t="s">
        <v>218</v>
      </c>
      <c r="F1034" s="290">
        <v>2</v>
      </c>
      <c r="G1034" s="290">
        <v>3</v>
      </c>
      <c r="H1034" s="291">
        <v>540.5</v>
      </c>
      <c r="I1034" s="293">
        <v>475.6</v>
      </c>
      <c r="J1034" s="293">
        <v>475.6</v>
      </c>
      <c r="K1034" s="292">
        <v>19</v>
      </c>
      <c r="L1034" s="274">
        <v>1575182</v>
      </c>
      <c r="M1034" s="274">
        <v>0</v>
      </c>
      <c r="N1034" s="274">
        <v>0</v>
      </c>
      <c r="O1034" s="274">
        <f>L1034</f>
        <v>1575182</v>
      </c>
      <c r="P1034" s="274">
        <v>0</v>
      </c>
      <c r="Q1034" s="293">
        <f>L1034/I1034</f>
        <v>3311.9890664423883</v>
      </c>
      <c r="R1034" s="275">
        <v>7920</v>
      </c>
      <c r="S1034" s="276">
        <v>43465</v>
      </c>
    </row>
    <row r="1035" spans="1:19" s="1" customFormat="1" ht="31.5">
      <c r="A1035" s="268"/>
      <c r="B1035" s="311" t="s">
        <v>613</v>
      </c>
      <c r="C1035" s="290">
        <v>1965</v>
      </c>
      <c r="D1035" s="290"/>
      <c r="E1035" s="271" t="s">
        <v>218</v>
      </c>
      <c r="F1035" s="290">
        <v>2</v>
      </c>
      <c r="G1035" s="290">
        <v>2</v>
      </c>
      <c r="H1035" s="291">
        <v>507.5</v>
      </c>
      <c r="I1035" s="293">
        <v>449.9</v>
      </c>
      <c r="J1035" s="293">
        <v>449.9</v>
      </c>
      <c r="K1035" s="292">
        <v>14</v>
      </c>
      <c r="L1035" s="274">
        <v>1455693</v>
      </c>
      <c r="M1035" s="274">
        <v>0</v>
      </c>
      <c r="N1035" s="274">
        <v>0</v>
      </c>
      <c r="O1035" s="274">
        <f>L1035</f>
        <v>1455693</v>
      </c>
      <c r="P1035" s="274">
        <v>0</v>
      </c>
      <c r="Q1035" s="293">
        <f>L1035/I1035</f>
        <v>3235.5923538564125</v>
      </c>
      <c r="R1035" s="275">
        <v>7920</v>
      </c>
      <c r="S1035" s="276">
        <v>43465</v>
      </c>
    </row>
    <row r="1036" spans="1:19" s="1" customFormat="1" ht="31.5">
      <c r="A1036" s="268"/>
      <c r="B1036" s="311" t="s">
        <v>614</v>
      </c>
      <c r="C1036" s="290">
        <v>1958</v>
      </c>
      <c r="D1036" s="290"/>
      <c r="E1036" s="271" t="s">
        <v>218</v>
      </c>
      <c r="F1036" s="290">
        <v>2</v>
      </c>
      <c r="G1036" s="290">
        <v>1</v>
      </c>
      <c r="H1036" s="291">
        <v>483</v>
      </c>
      <c r="I1036" s="293">
        <v>430.4</v>
      </c>
      <c r="J1036" s="293">
        <v>430.4</v>
      </c>
      <c r="K1036" s="292">
        <v>16</v>
      </c>
      <c r="L1036" s="274">
        <v>1394327</v>
      </c>
      <c r="M1036" s="274">
        <v>0</v>
      </c>
      <c r="N1036" s="274">
        <v>0</v>
      </c>
      <c r="O1036" s="274">
        <f>L1036</f>
        <v>1394327</v>
      </c>
      <c r="P1036" s="274">
        <v>0</v>
      </c>
      <c r="Q1036" s="293">
        <f>L1036/I1036</f>
        <v>3239.6073420074349</v>
      </c>
      <c r="R1036" s="275">
        <v>7920</v>
      </c>
      <c r="S1036" s="276">
        <v>43465</v>
      </c>
    </row>
    <row r="1037" spans="1:19" s="1" customFormat="1" ht="31.5">
      <c r="A1037" s="268"/>
      <c r="B1037" s="311" t="s">
        <v>615</v>
      </c>
      <c r="C1037" s="290">
        <v>1957</v>
      </c>
      <c r="D1037" s="290"/>
      <c r="E1037" s="271" t="s">
        <v>218</v>
      </c>
      <c r="F1037" s="290">
        <v>2</v>
      </c>
      <c r="G1037" s="290">
        <v>1</v>
      </c>
      <c r="H1037" s="291">
        <v>450.8</v>
      </c>
      <c r="I1037" s="293">
        <v>406.2</v>
      </c>
      <c r="J1037" s="293">
        <v>406.2</v>
      </c>
      <c r="K1037" s="292">
        <v>17</v>
      </c>
      <c r="L1037" s="274">
        <v>1394131</v>
      </c>
      <c r="M1037" s="274">
        <v>0</v>
      </c>
      <c r="N1037" s="274">
        <v>0</v>
      </c>
      <c r="O1037" s="274">
        <f>L1037</f>
        <v>1394131</v>
      </c>
      <c r="P1037" s="274">
        <v>0</v>
      </c>
      <c r="Q1037" s="293">
        <f>L1037/I1037</f>
        <v>3432.1294928606599</v>
      </c>
      <c r="R1037" s="275">
        <v>7920</v>
      </c>
      <c r="S1037" s="276">
        <v>43465</v>
      </c>
    </row>
    <row r="1038" spans="1:19" s="1" customFormat="1" ht="15.75">
      <c r="A1038" s="87"/>
      <c r="B1038" s="1066" t="s">
        <v>211</v>
      </c>
      <c r="C1038" s="1066"/>
      <c r="D1038" s="1066"/>
      <c r="E1038" s="1066"/>
      <c r="F1038" s="1066"/>
      <c r="G1038" s="1066"/>
      <c r="H1038" s="107">
        <f>H1039+H1041</f>
        <v>1161.3</v>
      </c>
      <c r="I1038" s="107">
        <f t="shared" ref="I1038:P1038" si="250">I1039+I1041</f>
        <v>1063.3000000000002</v>
      </c>
      <c r="J1038" s="107">
        <f t="shared" si="250"/>
        <v>1063.3000000000002</v>
      </c>
      <c r="K1038" s="98">
        <f t="shared" si="250"/>
        <v>32</v>
      </c>
      <c r="L1038" s="92">
        <f t="shared" si="250"/>
        <v>3125223</v>
      </c>
      <c r="M1038" s="92">
        <f t="shared" si="250"/>
        <v>0</v>
      </c>
      <c r="N1038" s="92">
        <f t="shared" si="250"/>
        <v>0</v>
      </c>
      <c r="O1038" s="92">
        <f t="shared" si="250"/>
        <v>3125223</v>
      </c>
      <c r="P1038" s="92">
        <f t="shared" si="250"/>
        <v>0</v>
      </c>
      <c r="Q1038" s="86" t="s">
        <v>40</v>
      </c>
      <c r="R1038" s="86" t="s">
        <v>40</v>
      </c>
      <c r="S1038" s="276">
        <v>43465</v>
      </c>
    </row>
    <row r="1039" spans="1:19" s="1" customFormat="1" ht="15.75">
      <c r="A1039" s="87"/>
      <c r="B1039" s="1066" t="s">
        <v>633</v>
      </c>
      <c r="C1039" s="1066"/>
      <c r="D1039" s="1066"/>
      <c r="E1039" s="1066"/>
      <c r="F1039" s="1066"/>
      <c r="G1039" s="1066"/>
      <c r="H1039" s="107">
        <f>H1040</f>
        <v>562.9</v>
      </c>
      <c r="I1039" s="107">
        <f t="shared" ref="I1039:P1039" si="251">I1040</f>
        <v>512.70000000000005</v>
      </c>
      <c r="J1039" s="107">
        <f t="shared" si="251"/>
        <v>512.70000000000005</v>
      </c>
      <c r="K1039" s="98">
        <f t="shared" si="251"/>
        <v>15</v>
      </c>
      <c r="L1039" s="92">
        <f t="shared" si="251"/>
        <v>1402855</v>
      </c>
      <c r="M1039" s="92">
        <f t="shared" si="251"/>
        <v>0</v>
      </c>
      <c r="N1039" s="92">
        <f t="shared" si="251"/>
        <v>0</v>
      </c>
      <c r="O1039" s="92">
        <f t="shared" si="251"/>
        <v>1402855</v>
      </c>
      <c r="P1039" s="92">
        <f t="shared" si="251"/>
        <v>0</v>
      </c>
      <c r="Q1039" s="86" t="s">
        <v>40</v>
      </c>
      <c r="R1039" s="93" t="s">
        <v>40</v>
      </c>
      <c r="S1039" s="276">
        <v>43465</v>
      </c>
    </row>
    <row r="1040" spans="1:19" s="1" customFormat="1" ht="31.5">
      <c r="A1040" s="87"/>
      <c r="B1040" s="223" t="s">
        <v>634</v>
      </c>
      <c r="C1040" s="97">
        <v>1968</v>
      </c>
      <c r="D1040" s="97"/>
      <c r="E1040" s="89" t="s">
        <v>218</v>
      </c>
      <c r="F1040" s="97">
        <v>2</v>
      </c>
      <c r="G1040" s="97">
        <v>2</v>
      </c>
      <c r="H1040" s="107">
        <v>562.9</v>
      </c>
      <c r="I1040" s="86">
        <v>512.70000000000005</v>
      </c>
      <c r="J1040" s="86">
        <v>512.70000000000005</v>
      </c>
      <c r="K1040" s="98">
        <v>15</v>
      </c>
      <c r="L1040" s="92">
        <v>1402855</v>
      </c>
      <c r="M1040" s="92">
        <v>0</v>
      </c>
      <c r="N1040" s="92">
        <v>0</v>
      </c>
      <c r="O1040" s="92">
        <v>1402855</v>
      </c>
      <c r="P1040" s="92">
        <v>0</v>
      </c>
      <c r="Q1040" s="86">
        <f>L1040/I1040</f>
        <v>2736.2102594109615</v>
      </c>
      <c r="R1040" s="93">
        <v>7920</v>
      </c>
      <c r="S1040" s="276">
        <v>43465</v>
      </c>
    </row>
    <row r="1041" spans="1:19" s="1" customFormat="1" ht="15.75">
      <c r="A1041" s="87"/>
      <c r="B1041" s="1066" t="s">
        <v>635</v>
      </c>
      <c r="C1041" s="1066"/>
      <c r="D1041" s="1066"/>
      <c r="E1041" s="1066"/>
      <c r="F1041" s="1066"/>
      <c r="G1041" s="1066"/>
      <c r="H1041" s="107">
        <f>H1042</f>
        <v>598.4</v>
      </c>
      <c r="I1041" s="107">
        <f t="shared" ref="I1041:P1041" si="252">I1042</f>
        <v>550.6</v>
      </c>
      <c r="J1041" s="107">
        <f t="shared" si="252"/>
        <v>550.6</v>
      </c>
      <c r="K1041" s="98">
        <f t="shared" si="252"/>
        <v>17</v>
      </c>
      <c r="L1041" s="92">
        <f t="shared" si="252"/>
        <v>1722368</v>
      </c>
      <c r="M1041" s="92">
        <f t="shared" si="252"/>
        <v>0</v>
      </c>
      <c r="N1041" s="92">
        <f t="shared" si="252"/>
        <v>0</v>
      </c>
      <c r="O1041" s="92">
        <f t="shared" si="252"/>
        <v>1722368</v>
      </c>
      <c r="P1041" s="92">
        <f t="shared" si="252"/>
        <v>0</v>
      </c>
      <c r="Q1041" s="86" t="s">
        <v>40</v>
      </c>
      <c r="R1041" s="93" t="s">
        <v>40</v>
      </c>
      <c r="S1041" s="276">
        <v>43465</v>
      </c>
    </row>
    <row r="1042" spans="1:19" s="1" customFormat="1" ht="31.5">
      <c r="A1042" s="87"/>
      <c r="B1042" s="223" t="s">
        <v>636</v>
      </c>
      <c r="C1042" s="97">
        <v>1979</v>
      </c>
      <c r="D1042" s="97"/>
      <c r="E1042" s="89" t="s">
        <v>218</v>
      </c>
      <c r="F1042" s="97">
        <v>2</v>
      </c>
      <c r="G1042" s="97">
        <v>2</v>
      </c>
      <c r="H1042" s="107">
        <v>598.4</v>
      </c>
      <c r="I1042" s="86">
        <v>550.6</v>
      </c>
      <c r="J1042" s="86">
        <v>550.6</v>
      </c>
      <c r="K1042" s="98">
        <v>17</v>
      </c>
      <c r="L1042" s="92">
        <v>1722368</v>
      </c>
      <c r="M1042" s="92">
        <v>0</v>
      </c>
      <c r="N1042" s="92">
        <v>0</v>
      </c>
      <c r="O1042" s="92">
        <v>1722368</v>
      </c>
      <c r="P1042" s="92">
        <v>0</v>
      </c>
      <c r="Q1042" s="86">
        <f>L1042/I1042</f>
        <v>3128.1656374863783</v>
      </c>
      <c r="R1042" s="93">
        <v>7920</v>
      </c>
      <c r="S1042" s="276">
        <v>43465</v>
      </c>
    </row>
    <row r="1043" spans="1:19" s="1" customFormat="1" ht="15.75">
      <c r="A1043" s="87"/>
      <c r="B1043" s="1066" t="s">
        <v>66</v>
      </c>
      <c r="C1043" s="1066"/>
      <c r="D1043" s="1066"/>
      <c r="E1043" s="1066"/>
      <c r="F1043" s="1066"/>
      <c r="G1043" s="1066"/>
      <c r="H1043" s="107">
        <f>H1044</f>
        <v>1156.8</v>
      </c>
      <c r="I1043" s="86">
        <f t="shared" ref="I1043:P1044" si="253">I1044</f>
        <v>1092.7</v>
      </c>
      <c r="J1043" s="86">
        <f t="shared" si="253"/>
        <v>1050.4000000000001</v>
      </c>
      <c r="K1043" s="98">
        <f t="shared" si="253"/>
        <v>44</v>
      </c>
      <c r="L1043" s="92">
        <f t="shared" si="253"/>
        <v>2792955</v>
      </c>
      <c r="M1043" s="92">
        <f t="shared" si="253"/>
        <v>0</v>
      </c>
      <c r="N1043" s="92">
        <f t="shared" si="253"/>
        <v>0</v>
      </c>
      <c r="O1043" s="92">
        <f t="shared" si="253"/>
        <v>2792955</v>
      </c>
      <c r="P1043" s="92">
        <f t="shared" si="253"/>
        <v>0</v>
      </c>
      <c r="Q1043" s="86" t="s">
        <v>40</v>
      </c>
      <c r="R1043" s="86" t="s">
        <v>40</v>
      </c>
      <c r="S1043" s="276">
        <v>43465</v>
      </c>
    </row>
    <row r="1044" spans="1:19" s="1" customFormat="1" ht="15.75">
      <c r="A1044" s="87"/>
      <c r="B1044" s="1066" t="s">
        <v>114</v>
      </c>
      <c r="C1044" s="1066"/>
      <c r="D1044" s="1066"/>
      <c r="E1044" s="1066"/>
      <c r="F1044" s="1066"/>
      <c r="G1044" s="1066"/>
      <c r="H1044" s="107">
        <f>H1045</f>
        <v>1156.8</v>
      </c>
      <c r="I1044" s="107">
        <f t="shared" si="253"/>
        <v>1092.7</v>
      </c>
      <c r="J1044" s="107">
        <f t="shared" si="253"/>
        <v>1050.4000000000001</v>
      </c>
      <c r="K1044" s="107">
        <f t="shared" si="253"/>
        <v>44</v>
      </c>
      <c r="L1044" s="313">
        <f t="shared" si="253"/>
        <v>2792955</v>
      </c>
      <c r="M1044" s="313">
        <f t="shared" si="253"/>
        <v>0</v>
      </c>
      <c r="N1044" s="313">
        <f t="shared" si="253"/>
        <v>0</v>
      </c>
      <c r="O1044" s="313">
        <f t="shared" si="253"/>
        <v>2792955</v>
      </c>
      <c r="P1044" s="313">
        <f t="shared" si="253"/>
        <v>0</v>
      </c>
      <c r="Q1044" s="86" t="s">
        <v>40</v>
      </c>
      <c r="R1044" s="93" t="s">
        <v>40</v>
      </c>
      <c r="S1044" s="276">
        <v>43465</v>
      </c>
    </row>
    <row r="1045" spans="1:19" s="1" customFormat="1" ht="31.5">
      <c r="A1045" s="268"/>
      <c r="B1045" s="311" t="s">
        <v>500</v>
      </c>
      <c r="C1045" s="290">
        <v>1963</v>
      </c>
      <c r="D1045" s="290"/>
      <c r="E1045" s="271" t="s">
        <v>218</v>
      </c>
      <c r="F1045" s="290">
        <v>2</v>
      </c>
      <c r="G1045" s="290">
        <v>4</v>
      </c>
      <c r="H1045" s="291">
        <v>1156.8</v>
      </c>
      <c r="I1045" s="293">
        <v>1092.7</v>
      </c>
      <c r="J1045" s="293">
        <v>1050.4000000000001</v>
      </c>
      <c r="K1045" s="292">
        <v>44</v>
      </c>
      <c r="L1045" s="274">
        <v>2792955</v>
      </c>
      <c r="M1045" s="274">
        <v>0</v>
      </c>
      <c r="N1045" s="274">
        <v>0</v>
      </c>
      <c r="O1045" s="274">
        <v>2792955</v>
      </c>
      <c r="P1045" s="274">
        <v>0</v>
      </c>
      <c r="Q1045" s="293">
        <f>L1045/I1045</f>
        <v>2556.0126292669534</v>
      </c>
      <c r="R1045" s="275">
        <v>7920</v>
      </c>
      <c r="S1045" s="276">
        <v>43465</v>
      </c>
    </row>
    <row r="1046" spans="1:19" s="1" customFormat="1" ht="15.75">
      <c r="A1046" s="87"/>
      <c r="B1046" s="223"/>
      <c r="C1046" s="97"/>
      <c r="D1046" s="97"/>
      <c r="E1046" s="89"/>
      <c r="F1046" s="97"/>
      <c r="G1046" s="97"/>
      <c r="H1046" s="107"/>
      <c r="I1046" s="86"/>
      <c r="J1046" s="86"/>
      <c r="K1046" s="98"/>
      <c r="L1046" s="92"/>
      <c r="M1046" s="92"/>
      <c r="N1046" s="92"/>
      <c r="O1046" s="92"/>
      <c r="P1046" s="92"/>
      <c r="Q1046" s="86"/>
      <c r="R1046" s="93"/>
      <c r="S1046" s="276"/>
    </row>
    <row r="1047" spans="1:19" s="1" customFormat="1" ht="15.75">
      <c r="A1047" s="87"/>
      <c r="B1047" s="223"/>
      <c r="C1047" s="97"/>
      <c r="D1047" s="97"/>
      <c r="E1047" s="89"/>
      <c r="F1047" s="97"/>
      <c r="G1047" s="97"/>
      <c r="H1047" s="107"/>
      <c r="I1047" s="86"/>
      <c r="J1047" s="86"/>
      <c r="K1047" s="98"/>
      <c r="L1047" s="92"/>
      <c r="M1047" s="92"/>
      <c r="N1047" s="92"/>
      <c r="O1047" s="92"/>
      <c r="P1047" s="92"/>
      <c r="Q1047" s="86"/>
      <c r="R1047" s="93"/>
      <c r="S1047" s="276"/>
    </row>
    <row r="1048" spans="1:19" s="1" customFormat="1" ht="15.75">
      <c r="A1048" s="87"/>
      <c r="B1048" s="1066" t="s">
        <v>207</v>
      </c>
      <c r="C1048" s="1066"/>
      <c r="D1048" s="1066"/>
      <c r="E1048" s="1066"/>
      <c r="F1048" s="1066"/>
      <c r="G1048" s="1066"/>
      <c r="H1048" s="107">
        <f>SUM(H1049:H1058)</f>
        <v>53993.469999999994</v>
      </c>
      <c r="I1048" s="107">
        <f t="shared" ref="I1048:P1048" si="254">SUM(I1049:I1058)</f>
        <v>47190.219999999994</v>
      </c>
      <c r="J1048" s="107">
        <f t="shared" si="254"/>
        <v>46251.12</v>
      </c>
      <c r="K1048" s="107">
        <f t="shared" si="254"/>
        <v>1897</v>
      </c>
      <c r="L1048" s="313">
        <f t="shared" si="254"/>
        <v>22164555</v>
      </c>
      <c r="M1048" s="313">
        <f t="shared" si="254"/>
        <v>0</v>
      </c>
      <c r="N1048" s="313">
        <f t="shared" si="254"/>
        <v>0</v>
      </c>
      <c r="O1048" s="313">
        <f t="shared" si="254"/>
        <v>22164555</v>
      </c>
      <c r="P1048" s="107">
        <f t="shared" si="254"/>
        <v>0</v>
      </c>
      <c r="Q1048" s="86" t="s">
        <v>40</v>
      </c>
      <c r="R1048" s="86" t="s">
        <v>40</v>
      </c>
      <c r="S1048" s="276">
        <v>43465</v>
      </c>
    </row>
    <row r="1049" spans="1:19" s="17" customFormat="1" ht="15.75">
      <c r="A1049" s="268">
        <f>A1047+1</f>
        <v>1</v>
      </c>
      <c r="B1049" s="320" t="s">
        <v>512</v>
      </c>
      <c r="C1049" s="321">
        <v>1983</v>
      </c>
      <c r="D1049" s="322"/>
      <c r="E1049" s="271" t="s">
        <v>219</v>
      </c>
      <c r="F1049" s="321">
        <v>9</v>
      </c>
      <c r="G1049" s="321">
        <v>4</v>
      </c>
      <c r="H1049" s="323">
        <v>8411.2999999999993</v>
      </c>
      <c r="I1049" s="323">
        <v>7342.2</v>
      </c>
      <c r="J1049" s="324">
        <v>7289.8</v>
      </c>
      <c r="K1049" s="325">
        <v>264</v>
      </c>
      <c r="L1049" s="274">
        <v>3034841</v>
      </c>
      <c r="M1049" s="274">
        <v>0</v>
      </c>
      <c r="N1049" s="274">
        <v>0</v>
      </c>
      <c r="O1049" s="274">
        <f t="shared" ref="O1049:O1058" si="255">L1049</f>
        <v>3034841</v>
      </c>
      <c r="P1049" s="274">
        <v>0</v>
      </c>
      <c r="Q1049" s="326">
        <f t="shared" ref="Q1049:Q1058" si="256">L1049/I1049</f>
        <v>413.34218626569697</v>
      </c>
      <c r="R1049" s="275">
        <v>7920</v>
      </c>
      <c r="S1049" s="276">
        <v>43465</v>
      </c>
    </row>
    <row r="1050" spans="1:19" s="17" customFormat="1" ht="15.75">
      <c r="A1050" s="268">
        <f t="shared" ref="A1050:A1058" si="257">A1049+1</f>
        <v>2</v>
      </c>
      <c r="B1050" s="320" t="s">
        <v>513</v>
      </c>
      <c r="C1050" s="321">
        <v>1983</v>
      </c>
      <c r="D1050" s="322"/>
      <c r="E1050" s="271" t="s">
        <v>219</v>
      </c>
      <c r="F1050" s="321">
        <v>9</v>
      </c>
      <c r="G1050" s="321">
        <v>1</v>
      </c>
      <c r="H1050" s="323">
        <v>2521.3000000000002</v>
      </c>
      <c r="I1050" s="323">
        <v>2202.1999999999998</v>
      </c>
      <c r="J1050" s="324">
        <v>2202.1999999999998</v>
      </c>
      <c r="K1050" s="325">
        <v>99</v>
      </c>
      <c r="L1050" s="274">
        <v>925522</v>
      </c>
      <c r="M1050" s="274">
        <v>0</v>
      </c>
      <c r="N1050" s="274">
        <v>0</v>
      </c>
      <c r="O1050" s="274">
        <f t="shared" si="255"/>
        <v>925522</v>
      </c>
      <c r="P1050" s="274">
        <v>0</v>
      </c>
      <c r="Q1050" s="326">
        <f t="shared" si="256"/>
        <v>420.27154663518303</v>
      </c>
      <c r="R1050" s="275">
        <v>7920</v>
      </c>
      <c r="S1050" s="276">
        <v>43465</v>
      </c>
    </row>
    <row r="1051" spans="1:19" s="17" customFormat="1" ht="15.75">
      <c r="A1051" s="268">
        <f t="shared" si="257"/>
        <v>3</v>
      </c>
      <c r="B1051" s="320" t="s">
        <v>514</v>
      </c>
      <c r="C1051" s="321">
        <v>1985</v>
      </c>
      <c r="D1051" s="322"/>
      <c r="E1051" s="271" t="s">
        <v>219</v>
      </c>
      <c r="F1051" s="321">
        <v>9</v>
      </c>
      <c r="G1051" s="321">
        <v>2</v>
      </c>
      <c r="H1051" s="323">
        <v>5102.45</v>
      </c>
      <c r="I1051" s="323">
        <v>4428.75</v>
      </c>
      <c r="J1051" s="324">
        <v>4249.75</v>
      </c>
      <c r="K1051" s="325">
        <v>216</v>
      </c>
      <c r="L1051" s="274">
        <v>1823451</v>
      </c>
      <c r="M1051" s="274">
        <v>0</v>
      </c>
      <c r="N1051" s="274">
        <v>0</v>
      </c>
      <c r="O1051" s="274">
        <f t="shared" si="255"/>
        <v>1823451</v>
      </c>
      <c r="P1051" s="274">
        <v>0</v>
      </c>
      <c r="Q1051" s="326">
        <f t="shared" si="256"/>
        <v>411.73039796782388</v>
      </c>
      <c r="R1051" s="275">
        <v>7920</v>
      </c>
      <c r="S1051" s="276">
        <v>43465</v>
      </c>
    </row>
    <row r="1052" spans="1:19" s="17" customFormat="1" ht="15.75">
      <c r="A1052" s="268">
        <f t="shared" si="257"/>
        <v>4</v>
      </c>
      <c r="B1052" s="320" t="s">
        <v>515</v>
      </c>
      <c r="C1052" s="321">
        <v>1986</v>
      </c>
      <c r="D1052" s="322"/>
      <c r="E1052" s="271" t="s">
        <v>219</v>
      </c>
      <c r="F1052" s="321">
        <v>9</v>
      </c>
      <c r="G1052" s="321">
        <v>5</v>
      </c>
      <c r="H1052" s="323">
        <v>11880.19</v>
      </c>
      <c r="I1052" s="323">
        <v>10118.07</v>
      </c>
      <c r="J1052" s="324">
        <v>9963.8700000000008</v>
      </c>
      <c r="K1052" s="325">
        <v>404</v>
      </c>
      <c r="L1052" s="274">
        <v>3802042</v>
      </c>
      <c r="M1052" s="274">
        <v>0</v>
      </c>
      <c r="N1052" s="274">
        <v>0</v>
      </c>
      <c r="O1052" s="274">
        <f t="shared" si="255"/>
        <v>3802042</v>
      </c>
      <c r="P1052" s="274">
        <v>0</v>
      </c>
      <c r="Q1052" s="326">
        <f t="shared" si="256"/>
        <v>375.7675129743123</v>
      </c>
      <c r="R1052" s="275">
        <v>7920</v>
      </c>
      <c r="S1052" s="276">
        <v>43465</v>
      </c>
    </row>
    <row r="1053" spans="1:19" s="17" customFormat="1" ht="15.75">
      <c r="A1053" s="268">
        <f t="shared" si="257"/>
        <v>5</v>
      </c>
      <c r="B1053" s="320" t="s">
        <v>516</v>
      </c>
      <c r="C1053" s="321">
        <v>1987</v>
      </c>
      <c r="D1053" s="322"/>
      <c r="E1053" s="271" t="s">
        <v>219</v>
      </c>
      <c r="F1053" s="321">
        <v>9</v>
      </c>
      <c r="G1053" s="321">
        <v>3</v>
      </c>
      <c r="H1053" s="323">
        <v>7641.43</v>
      </c>
      <c r="I1053" s="323">
        <v>6637.2</v>
      </c>
      <c r="J1053" s="324">
        <v>6453.6</v>
      </c>
      <c r="K1053" s="325">
        <v>175</v>
      </c>
      <c r="L1053" s="274">
        <v>2887804</v>
      </c>
      <c r="M1053" s="274">
        <v>0</v>
      </c>
      <c r="N1053" s="274">
        <v>0</v>
      </c>
      <c r="O1053" s="274">
        <f t="shared" si="255"/>
        <v>2887804</v>
      </c>
      <c r="P1053" s="274">
        <v>0</v>
      </c>
      <c r="Q1053" s="326">
        <f t="shared" si="256"/>
        <v>435.09371421683846</v>
      </c>
      <c r="R1053" s="275">
        <v>7920</v>
      </c>
      <c r="S1053" s="276">
        <v>43465</v>
      </c>
    </row>
    <row r="1054" spans="1:19" s="17" customFormat="1" ht="15.75">
      <c r="A1054" s="268">
        <f t="shared" si="257"/>
        <v>6</v>
      </c>
      <c r="B1054" s="320" t="s">
        <v>517</v>
      </c>
      <c r="C1054" s="321">
        <v>1983</v>
      </c>
      <c r="D1054" s="322"/>
      <c r="E1054" s="271" t="s">
        <v>219</v>
      </c>
      <c r="F1054" s="321">
        <v>9</v>
      </c>
      <c r="G1054" s="321">
        <v>1</v>
      </c>
      <c r="H1054" s="323">
        <v>2504.8000000000002</v>
      </c>
      <c r="I1054" s="323">
        <v>2193.3000000000002</v>
      </c>
      <c r="J1054" s="324">
        <v>2193.3000000000002</v>
      </c>
      <c r="K1054" s="325">
        <v>105</v>
      </c>
      <c r="L1054" s="274">
        <v>928016</v>
      </c>
      <c r="M1054" s="274">
        <v>0</v>
      </c>
      <c r="N1054" s="274">
        <v>0</v>
      </c>
      <c r="O1054" s="274">
        <f t="shared" si="255"/>
        <v>928016</v>
      </c>
      <c r="P1054" s="274">
        <v>0</v>
      </c>
      <c r="Q1054" s="326">
        <f t="shared" si="256"/>
        <v>423.11402908858793</v>
      </c>
      <c r="R1054" s="275">
        <v>7920</v>
      </c>
      <c r="S1054" s="276">
        <v>43465</v>
      </c>
    </row>
    <row r="1055" spans="1:19" s="17" customFormat="1" ht="15.75">
      <c r="A1055" s="268">
        <f t="shared" si="257"/>
        <v>7</v>
      </c>
      <c r="B1055" s="320" t="s">
        <v>518</v>
      </c>
      <c r="C1055" s="321">
        <v>1980</v>
      </c>
      <c r="D1055" s="322"/>
      <c r="E1055" s="271" t="s">
        <v>219</v>
      </c>
      <c r="F1055" s="321">
        <v>9</v>
      </c>
      <c r="G1055" s="321">
        <v>1</v>
      </c>
      <c r="H1055" s="323">
        <v>2555.1999999999998</v>
      </c>
      <c r="I1055" s="323">
        <v>2220.1999999999998</v>
      </c>
      <c r="J1055" s="324">
        <v>2185.1999999999998</v>
      </c>
      <c r="K1055" s="325">
        <v>89</v>
      </c>
      <c r="L1055" s="274">
        <v>935370</v>
      </c>
      <c r="M1055" s="274">
        <v>0</v>
      </c>
      <c r="N1055" s="274">
        <v>0</v>
      </c>
      <c r="O1055" s="274">
        <f t="shared" si="255"/>
        <v>935370</v>
      </c>
      <c r="P1055" s="274">
        <v>0</v>
      </c>
      <c r="Q1055" s="326">
        <f t="shared" si="256"/>
        <v>421.29988289343305</v>
      </c>
      <c r="R1055" s="275">
        <v>7920</v>
      </c>
      <c r="S1055" s="276">
        <v>43465</v>
      </c>
    </row>
    <row r="1056" spans="1:19" s="17" customFormat="1" ht="15.75">
      <c r="A1056" s="268">
        <f t="shared" si="257"/>
        <v>8</v>
      </c>
      <c r="B1056" s="320" t="s">
        <v>519</v>
      </c>
      <c r="C1056" s="321">
        <v>1976</v>
      </c>
      <c r="D1056" s="322"/>
      <c r="E1056" s="271" t="s">
        <v>219</v>
      </c>
      <c r="F1056" s="321">
        <v>5</v>
      </c>
      <c r="G1056" s="321">
        <v>10</v>
      </c>
      <c r="H1056" s="323">
        <v>5642.5</v>
      </c>
      <c r="I1056" s="323">
        <v>5105</v>
      </c>
      <c r="J1056" s="324">
        <v>4957.8999999999996</v>
      </c>
      <c r="K1056" s="325">
        <v>237</v>
      </c>
      <c r="L1056" s="274">
        <v>3352678</v>
      </c>
      <c r="M1056" s="274">
        <v>0</v>
      </c>
      <c r="N1056" s="274">
        <v>0</v>
      </c>
      <c r="O1056" s="274">
        <f t="shared" si="255"/>
        <v>3352678</v>
      </c>
      <c r="P1056" s="274">
        <v>0</v>
      </c>
      <c r="Q1056" s="326">
        <f t="shared" si="256"/>
        <v>656.74397649363368</v>
      </c>
      <c r="R1056" s="275">
        <v>7920</v>
      </c>
      <c r="S1056" s="276">
        <v>43465</v>
      </c>
    </row>
    <row r="1057" spans="1:19" s="17" customFormat="1" ht="15.75">
      <c r="A1057" s="268">
        <f t="shared" si="257"/>
        <v>9</v>
      </c>
      <c r="B1057" s="320" t="s">
        <v>520</v>
      </c>
      <c r="C1057" s="321">
        <v>1975</v>
      </c>
      <c r="D1057" s="322"/>
      <c r="E1057" s="271" t="s">
        <v>219</v>
      </c>
      <c r="F1057" s="321">
        <v>5</v>
      </c>
      <c r="G1057" s="321">
        <v>8</v>
      </c>
      <c r="H1057" s="323">
        <v>4425.7</v>
      </c>
      <c r="I1057" s="323">
        <v>3958.7</v>
      </c>
      <c r="J1057" s="324">
        <v>3839.1</v>
      </c>
      <c r="K1057" s="325">
        <v>181</v>
      </c>
      <c r="L1057" s="274">
        <v>2535669</v>
      </c>
      <c r="M1057" s="274">
        <v>0</v>
      </c>
      <c r="N1057" s="274">
        <v>0</v>
      </c>
      <c r="O1057" s="274">
        <f t="shared" si="255"/>
        <v>2535669</v>
      </c>
      <c r="P1057" s="274">
        <v>0</v>
      </c>
      <c r="Q1057" s="326">
        <f t="shared" si="256"/>
        <v>640.53072978503042</v>
      </c>
      <c r="R1057" s="275">
        <v>7920</v>
      </c>
      <c r="S1057" s="276">
        <v>43465</v>
      </c>
    </row>
    <row r="1058" spans="1:19" s="17" customFormat="1" ht="15.75">
      <c r="A1058" s="268">
        <f t="shared" si="257"/>
        <v>10</v>
      </c>
      <c r="B1058" s="320" t="s">
        <v>521</v>
      </c>
      <c r="C1058" s="321">
        <v>1976</v>
      </c>
      <c r="D1058" s="290"/>
      <c r="E1058" s="271" t="s">
        <v>219</v>
      </c>
      <c r="F1058" s="321">
        <v>5</v>
      </c>
      <c r="G1058" s="321">
        <v>6</v>
      </c>
      <c r="H1058" s="323">
        <v>3308.6</v>
      </c>
      <c r="I1058" s="323">
        <v>2984.6</v>
      </c>
      <c r="J1058" s="327">
        <v>2916.4</v>
      </c>
      <c r="K1058" s="292">
        <v>127</v>
      </c>
      <c r="L1058" s="274">
        <v>1939162</v>
      </c>
      <c r="M1058" s="274">
        <v>0</v>
      </c>
      <c r="N1058" s="274">
        <v>0</v>
      </c>
      <c r="O1058" s="274">
        <f t="shared" si="255"/>
        <v>1939162</v>
      </c>
      <c r="P1058" s="274">
        <v>0</v>
      </c>
      <c r="Q1058" s="326">
        <f t="shared" si="256"/>
        <v>649.72257588956643</v>
      </c>
      <c r="R1058" s="275">
        <v>7920</v>
      </c>
      <c r="S1058" s="276">
        <v>43465</v>
      </c>
    </row>
    <row r="1059" spans="1:19" s="17" customFormat="1" ht="15.75">
      <c r="A1059" s="328"/>
      <c r="B1059" s="329"/>
      <c r="C1059" s="330"/>
      <c r="D1059" s="330"/>
      <c r="E1059" s="331"/>
      <c r="F1059" s="330"/>
      <c r="G1059" s="330"/>
      <c r="H1059" s="332"/>
      <c r="I1059" s="333"/>
      <c r="J1059" s="333"/>
      <c r="K1059" s="325"/>
      <c r="L1059" s="274"/>
      <c r="M1059" s="274"/>
      <c r="N1059" s="274"/>
      <c r="O1059" s="274"/>
      <c r="P1059" s="274"/>
      <c r="Q1059" s="326"/>
      <c r="R1059" s="275"/>
      <c r="S1059" s="276"/>
    </row>
    <row r="1060" spans="1:19" s="13" customFormat="1" ht="15.75">
      <c r="A1060" s="87"/>
      <c r="B1060" s="1066" t="s">
        <v>67</v>
      </c>
      <c r="C1060" s="1066"/>
      <c r="D1060" s="1066"/>
      <c r="E1060" s="1066"/>
      <c r="F1060" s="1066"/>
      <c r="G1060" s="1066"/>
      <c r="H1060" s="107">
        <f t="shared" ref="H1060:P1060" si="258">H1061+H1063</f>
        <v>1507.8</v>
      </c>
      <c r="I1060" s="97">
        <f t="shared" si="258"/>
        <v>1398.1</v>
      </c>
      <c r="J1060" s="86">
        <f t="shared" si="258"/>
        <v>1200.7</v>
      </c>
      <c r="K1060" s="98">
        <f t="shared" si="258"/>
        <v>62</v>
      </c>
      <c r="L1060" s="92">
        <f t="shared" si="258"/>
        <v>728197.07</v>
      </c>
      <c r="M1060" s="92">
        <f t="shared" si="258"/>
        <v>0</v>
      </c>
      <c r="N1060" s="92">
        <f t="shared" si="258"/>
        <v>260236.27</v>
      </c>
      <c r="O1060" s="92">
        <f t="shared" si="258"/>
        <v>467960.8</v>
      </c>
      <c r="P1060" s="92">
        <f t="shared" si="258"/>
        <v>0</v>
      </c>
      <c r="Q1060" s="93" t="s">
        <v>40</v>
      </c>
      <c r="R1060" s="88" t="s">
        <v>40</v>
      </c>
      <c r="S1060" s="276">
        <v>43465</v>
      </c>
    </row>
    <row r="1061" spans="1:19" s="1" customFormat="1" ht="15.75">
      <c r="A1061" s="87"/>
      <c r="B1061" s="1066" t="s">
        <v>90</v>
      </c>
      <c r="C1061" s="1066"/>
      <c r="D1061" s="1066"/>
      <c r="E1061" s="1066"/>
      <c r="F1061" s="1066"/>
      <c r="G1061" s="1066"/>
      <c r="H1061" s="107">
        <f>H1062</f>
        <v>1507.8</v>
      </c>
      <c r="I1061" s="86">
        <f t="shared" ref="I1061:P1061" si="259">I1062</f>
        <v>1398.1</v>
      </c>
      <c r="J1061" s="86">
        <f t="shared" si="259"/>
        <v>1200.7</v>
      </c>
      <c r="K1061" s="98">
        <f t="shared" si="259"/>
        <v>62</v>
      </c>
      <c r="L1061" s="92">
        <f>L1062</f>
        <v>728197.07</v>
      </c>
      <c r="M1061" s="92">
        <f t="shared" si="259"/>
        <v>0</v>
      </c>
      <c r="N1061" s="92">
        <f t="shared" si="259"/>
        <v>260236.27</v>
      </c>
      <c r="O1061" s="92">
        <f t="shared" si="259"/>
        <v>467960.8</v>
      </c>
      <c r="P1061" s="92">
        <f t="shared" si="259"/>
        <v>0</v>
      </c>
      <c r="Q1061" s="93" t="s">
        <v>40</v>
      </c>
      <c r="R1061" s="88" t="s">
        <v>40</v>
      </c>
      <c r="S1061" s="276">
        <v>43465</v>
      </c>
    </row>
    <row r="1062" spans="1:19" s="18" customFormat="1" ht="15.75">
      <c r="A1062" s="87">
        <f>A1059+1</f>
        <v>1</v>
      </c>
      <c r="B1062" s="226" t="s">
        <v>429</v>
      </c>
      <c r="C1062" s="97">
        <v>1983</v>
      </c>
      <c r="D1062" s="152"/>
      <c r="E1062" s="89" t="s">
        <v>219</v>
      </c>
      <c r="F1062" s="97">
        <v>3</v>
      </c>
      <c r="G1062" s="97">
        <v>3</v>
      </c>
      <c r="H1062" s="107">
        <v>1507.8</v>
      </c>
      <c r="I1062" s="86">
        <v>1398.1</v>
      </c>
      <c r="J1062" s="86">
        <v>1200.7</v>
      </c>
      <c r="K1062" s="98">
        <v>62</v>
      </c>
      <c r="L1062" s="92">
        <v>728197.07</v>
      </c>
      <c r="M1062" s="92">
        <v>0</v>
      </c>
      <c r="N1062" s="92">
        <v>260236.27</v>
      </c>
      <c r="O1062" s="92">
        <v>467960.8</v>
      </c>
      <c r="P1062" s="92">
        <v>0</v>
      </c>
      <c r="Q1062" s="86">
        <f>L1062/I1062</f>
        <v>520.84762892496963</v>
      </c>
      <c r="R1062" s="93">
        <v>6774</v>
      </c>
      <c r="S1062" s="276">
        <v>43465</v>
      </c>
    </row>
    <row r="1063" spans="1:19" s="18" customFormat="1" ht="27" customHeight="1">
      <c r="A1063" s="268"/>
      <c r="B1063" s="1134" t="s">
        <v>127</v>
      </c>
      <c r="C1063" s="1134"/>
      <c r="D1063" s="1134"/>
      <c r="E1063" s="1134"/>
      <c r="F1063" s="1134"/>
      <c r="G1063" s="1134"/>
      <c r="H1063" s="291">
        <v>0</v>
      </c>
      <c r="I1063" s="293">
        <v>0</v>
      </c>
      <c r="J1063" s="293">
        <v>0</v>
      </c>
      <c r="K1063" s="292">
        <v>0</v>
      </c>
      <c r="L1063" s="274">
        <v>0</v>
      </c>
      <c r="M1063" s="274">
        <v>0</v>
      </c>
      <c r="N1063" s="274">
        <v>0</v>
      </c>
      <c r="O1063" s="274">
        <v>0</v>
      </c>
      <c r="P1063" s="274">
        <v>0</v>
      </c>
      <c r="Q1063" s="293" t="s">
        <v>40</v>
      </c>
      <c r="R1063" s="270" t="s">
        <v>40</v>
      </c>
      <c r="S1063" s="276">
        <v>43465</v>
      </c>
    </row>
    <row r="1064" spans="1:19" s="18" customFormat="1" ht="21.75" customHeight="1">
      <c r="A1064" s="1080" t="s">
        <v>206</v>
      </c>
      <c r="B1064" s="1080"/>
      <c r="C1064" s="1080"/>
      <c r="D1064" s="1080"/>
      <c r="E1064" s="1080"/>
      <c r="F1064" s="1080"/>
      <c r="G1064" s="1080"/>
      <c r="H1064" s="1080"/>
      <c r="I1064" s="1080"/>
      <c r="J1064" s="1080"/>
      <c r="K1064" s="1080"/>
      <c r="L1064" s="1080"/>
      <c r="M1064" s="1080"/>
      <c r="N1064" s="1080"/>
      <c r="O1064" s="1080"/>
      <c r="P1064" s="1080"/>
      <c r="Q1064" s="1080"/>
      <c r="R1064" s="1080"/>
      <c r="S1064" s="1080"/>
    </row>
    <row r="1065" spans="1:19" s="18" customFormat="1" ht="19.5" customHeight="1">
      <c r="A1065" s="87"/>
      <c r="B1065" s="1079" t="s">
        <v>205</v>
      </c>
      <c r="C1065" s="1079"/>
      <c r="D1065" s="1079"/>
      <c r="E1065" s="1079"/>
      <c r="F1065" s="1079"/>
      <c r="G1065" s="1079"/>
      <c r="H1065" s="151">
        <f>H1067+H1076</f>
        <v>25922.6</v>
      </c>
      <c r="I1065" s="151">
        <f t="shared" ref="I1065:P1065" si="260">I1067+I1076</f>
        <v>21873.7</v>
      </c>
      <c r="J1065" s="151">
        <f t="shared" si="260"/>
        <v>21404.3</v>
      </c>
      <c r="K1065" s="128">
        <f t="shared" si="260"/>
        <v>750</v>
      </c>
      <c r="L1065" s="92">
        <f t="shared" si="260"/>
        <v>2663060.64</v>
      </c>
      <c r="M1065" s="92">
        <f t="shared" si="260"/>
        <v>0</v>
      </c>
      <c r="N1065" s="92">
        <f t="shared" si="260"/>
        <v>0</v>
      </c>
      <c r="O1065" s="92">
        <f t="shared" si="260"/>
        <v>2663060.64</v>
      </c>
      <c r="P1065" s="92">
        <f t="shared" si="260"/>
        <v>0</v>
      </c>
      <c r="Q1065" s="93" t="s">
        <v>40</v>
      </c>
      <c r="R1065" s="88" t="s">
        <v>40</v>
      </c>
      <c r="S1065" s="88" t="s">
        <v>40</v>
      </c>
    </row>
    <row r="1066" spans="1:19" s="1" customFormat="1" ht="21.75" customHeight="1">
      <c r="A1066" s="1080" t="s">
        <v>35</v>
      </c>
      <c r="B1066" s="1080"/>
      <c r="C1066" s="1080"/>
      <c r="D1066" s="1080"/>
      <c r="E1066" s="1080"/>
      <c r="F1066" s="1080"/>
      <c r="G1066" s="1080"/>
      <c r="H1066" s="1080"/>
      <c r="I1066" s="1080"/>
      <c r="J1066" s="1080"/>
      <c r="K1066" s="1080"/>
      <c r="L1066" s="1080"/>
      <c r="M1066" s="1080"/>
      <c r="N1066" s="1080"/>
      <c r="O1066" s="1080"/>
      <c r="P1066" s="1080"/>
      <c r="Q1066" s="1080"/>
      <c r="R1066" s="1080"/>
      <c r="S1066" s="1080"/>
    </row>
    <row r="1067" spans="1:19" s="1" customFormat="1" ht="21.75" customHeight="1">
      <c r="A1067" s="232"/>
      <c r="B1067" s="1079" t="s">
        <v>20</v>
      </c>
      <c r="C1067" s="1079"/>
      <c r="D1067" s="1079"/>
      <c r="E1067" s="1079"/>
      <c r="F1067" s="1079"/>
      <c r="G1067" s="1079"/>
      <c r="H1067" s="90">
        <f>H1068</f>
        <v>23801.1</v>
      </c>
      <c r="I1067" s="90">
        <f t="shared" ref="I1067:P1068" si="261">I1068</f>
        <v>20069.3</v>
      </c>
      <c r="J1067" s="90">
        <f t="shared" si="261"/>
        <v>20069.3</v>
      </c>
      <c r="K1067" s="91">
        <f t="shared" ref="K1067:P1067" si="262">K1068</f>
        <v>702</v>
      </c>
      <c r="L1067" s="92">
        <f t="shared" si="262"/>
        <v>2447351.64</v>
      </c>
      <c r="M1067" s="92">
        <f t="shared" si="262"/>
        <v>0</v>
      </c>
      <c r="N1067" s="92">
        <f t="shared" si="262"/>
        <v>0</v>
      </c>
      <c r="O1067" s="92">
        <f t="shared" si="262"/>
        <v>2447351.64</v>
      </c>
      <c r="P1067" s="92">
        <f t="shared" si="262"/>
        <v>0</v>
      </c>
      <c r="Q1067" s="93" t="s">
        <v>40</v>
      </c>
      <c r="R1067" s="88" t="s">
        <v>40</v>
      </c>
      <c r="S1067" s="276">
        <v>43465</v>
      </c>
    </row>
    <row r="1068" spans="1:19" s="29" customFormat="1" ht="15.75" customHeight="1">
      <c r="A1068" s="79"/>
      <c r="B1068" s="1079" t="s">
        <v>53</v>
      </c>
      <c r="C1068" s="1079"/>
      <c r="D1068" s="1079"/>
      <c r="E1068" s="1079"/>
      <c r="F1068" s="1079"/>
      <c r="G1068" s="1079"/>
      <c r="H1068" s="90">
        <f>H1069</f>
        <v>23801.1</v>
      </c>
      <c r="I1068" s="93">
        <f t="shared" si="261"/>
        <v>20069.3</v>
      </c>
      <c r="J1068" s="93">
        <f t="shared" si="261"/>
        <v>20069.3</v>
      </c>
      <c r="K1068" s="91">
        <f t="shared" si="261"/>
        <v>702</v>
      </c>
      <c r="L1068" s="92">
        <f t="shared" si="261"/>
        <v>2447351.64</v>
      </c>
      <c r="M1068" s="92">
        <f t="shared" si="261"/>
        <v>0</v>
      </c>
      <c r="N1068" s="92">
        <f t="shared" si="261"/>
        <v>0</v>
      </c>
      <c r="O1068" s="92">
        <f t="shared" si="261"/>
        <v>2447351.64</v>
      </c>
      <c r="P1068" s="92">
        <f t="shared" si="261"/>
        <v>0</v>
      </c>
      <c r="Q1068" s="93" t="s">
        <v>40</v>
      </c>
      <c r="R1068" s="88" t="s">
        <v>40</v>
      </c>
      <c r="S1068" s="276">
        <v>43465</v>
      </c>
    </row>
    <row r="1069" spans="1:19" s="29" customFormat="1" ht="15.75" customHeight="1">
      <c r="A1069" s="79"/>
      <c r="B1069" s="1079" t="s">
        <v>88</v>
      </c>
      <c r="C1069" s="1079"/>
      <c r="D1069" s="1079"/>
      <c r="E1069" s="1079"/>
      <c r="F1069" s="1079"/>
      <c r="G1069" s="1079"/>
      <c r="H1069" s="90">
        <f t="shared" ref="H1069:P1069" si="263">SUM(H1070:H1074)</f>
        <v>23801.1</v>
      </c>
      <c r="I1069" s="93">
        <f t="shared" si="263"/>
        <v>20069.3</v>
      </c>
      <c r="J1069" s="93">
        <f t="shared" si="263"/>
        <v>20069.3</v>
      </c>
      <c r="K1069" s="91">
        <f t="shared" si="263"/>
        <v>702</v>
      </c>
      <c r="L1069" s="92">
        <f t="shared" si="263"/>
        <v>2447351.64</v>
      </c>
      <c r="M1069" s="92">
        <f t="shared" si="263"/>
        <v>0</v>
      </c>
      <c r="N1069" s="92">
        <f t="shared" si="263"/>
        <v>0</v>
      </c>
      <c r="O1069" s="92">
        <f t="shared" si="263"/>
        <v>2447351.64</v>
      </c>
      <c r="P1069" s="92">
        <f t="shared" si="263"/>
        <v>0</v>
      </c>
      <c r="Q1069" s="93" t="s">
        <v>40</v>
      </c>
      <c r="R1069" s="88" t="s">
        <v>40</v>
      </c>
      <c r="S1069" s="276">
        <v>43465</v>
      </c>
    </row>
    <row r="1070" spans="1:19" s="26" customFormat="1" ht="15.75">
      <c r="A1070" s="232" t="e">
        <f>#REF!+1</f>
        <v>#REF!</v>
      </c>
      <c r="B1070" s="153" t="s">
        <v>359</v>
      </c>
      <c r="C1070" s="154">
        <v>1975</v>
      </c>
      <c r="D1070" s="108"/>
      <c r="E1070" s="89" t="s">
        <v>219</v>
      </c>
      <c r="F1070" s="79">
        <v>5</v>
      </c>
      <c r="G1070" s="79">
        <v>4</v>
      </c>
      <c r="H1070" s="150">
        <f>2075.9+150</f>
        <v>2225.9</v>
      </c>
      <c r="I1070" s="80">
        <v>2075.9</v>
      </c>
      <c r="J1070" s="80">
        <v>2075.9</v>
      </c>
      <c r="K1070" s="81">
        <v>112</v>
      </c>
      <c r="L1070" s="92">
        <v>203849</v>
      </c>
      <c r="M1070" s="92">
        <v>0</v>
      </c>
      <c r="N1070" s="92">
        <v>0</v>
      </c>
      <c r="O1070" s="92">
        <f>L1070</f>
        <v>203849</v>
      </c>
      <c r="P1070" s="92">
        <v>0</v>
      </c>
      <c r="Q1070" s="93">
        <f>L1070/I1070</f>
        <v>98.197890071776087</v>
      </c>
      <c r="R1070" s="93">
        <v>6774</v>
      </c>
      <c r="S1070" s="276">
        <v>43465</v>
      </c>
    </row>
    <row r="1071" spans="1:19" s="26" customFormat="1" ht="15.75">
      <c r="A1071" s="232" t="e">
        <f>A1070+1</f>
        <v>#REF!</v>
      </c>
      <c r="B1071" s="153" t="s">
        <v>360</v>
      </c>
      <c r="C1071" s="154">
        <v>1991</v>
      </c>
      <c r="D1071" s="108"/>
      <c r="E1071" s="89" t="s">
        <v>219</v>
      </c>
      <c r="F1071" s="79">
        <v>9</v>
      </c>
      <c r="G1071" s="79">
        <v>2</v>
      </c>
      <c r="H1071" s="150">
        <f>4259.3+1200.8</f>
        <v>5460.1</v>
      </c>
      <c r="I1071" s="80">
        <v>4259.3</v>
      </c>
      <c r="J1071" s="80">
        <v>4259.3</v>
      </c>
      <c r="K1071" s="81">
        <v>132</v>
      </c>
      <c r="L1071" s="92">
        <v>489343.64</v>
      </c>
      <c r="M1071" s="92">
        <v>0</v>
      </c>
      <c r="N1071" s="92">
        <v>0</v>
      </c>
      <c r="O1071" s="92">
        <f>L1071</f>
        <v>489343.64</v>
      </c>
      <c r="P1071" s="92">
        <v>0</v>
      </c>
      <c r="Q1071" s="93">
        <f>L1071/I1071</f>
        <v>114.88827741647688</v>
      </c>
      <c r="R1071" s="93">
        <v>6774</v>
      </c>
      <c r="S1071" s="276">
        <v>43465</v>
      </c>
    </row>
    <row r="1072" spans="1:19" s="26" customFormat="1" ht="15.75">
      <c r="A1072" s="232" t="e">
        <f>A1071+1</f>
        <v>#REF!</v>
      </c>
      <c r="B1072" s="153" t="s">
        <v>432</v>
      </c>
      <c r="C1072" s="154">
        <v>1978</v>
      </c>
      <c r="D1072" s="108"/>
      <c r="E1072" s="89" t="s">
        <v>219</v>
      </c>
      <c r="F1072" s="79">
        <v>5</v>
      </c>
      <c r="G1072" s="79">
        <v>6</v>
      </c>
      <c r="H1072" s="150">
        <v>6071.5</v>
      </c>
      <c r="I1072" s="80">
        <v>4592.3</v>
      </c>
      <c r="J1072" s="80">
        <v>4592.3</v>
      </c>
      <c r="K1072" s="81">
        <v>181</v>
      </c>
      <c r="L1072" s="92">
        <v>395010</v>
      </c>
      <c r="M1072" s="92">
        <v>0</v>
      </c>
      <c r="N1072" s="92">
        <v>0</v>
      </c>
      <c r="O1072" s="92">
        <f>L1072</f>
        <v>395010</v>
      </c>
      <c r="P1072" s="92">
        <v>0</v>
      </c>
      <c r="Q1072" s="93">
        <f>L1072/I1072</f>
        <v>86.015721969383534</v>
      </c>
      <c r="R1072" s="93">
        <v>6774</v>
      </c>
      <c r="S1072" s="276">
        <v>43465</v>
      </c>
    </row>
    <row r="1073" spans="1:48" s="26" customFormat="1" ht="15.75">
      <c r="A1073" s="232" t="e">
        <f>A1072+1</f>
        <v>#REF!</v>
      </c>
      <c r="B1073" s="153" t="s">
        <v>431</v>
      </c>
      <c r="C1073" s="154">
        <v>1980</v>
      </c>
      <c r="D1073" s="108"/>
      <c r="E1073" s="89" t="s">
        <v>219</v>
      </c>
      <c r="F1073" s="79">
        <v>5</v>
      </c>
      <c r="G1073" s="79">
        <v>6</v>
      </c>
      <c r="H1073" s="150">
        <f>493.2+4644.3</f>
        <v>5137.5</v>
      </c>
      <c r="I1073" s="80">
        <v>4644.3</v>
      </c>
      <c r="J1073" s="80">
        <v>4644.3</v>
      </c>
      <c r="K1073" s="81">
        <v>177</v>
      </c>
      <c r="L1073" s="92">
        <v>285326</v>
      </c>
      <c r="M1073" s="92">
        <v>0</v>
      </c>
      <c r="N1073" s="92">
        <v>0</v>
      </c>
      <c r="O1073" s="92">
        <f>L1073</f>
        <v>285326</v>
      </c>
      <c r="P1073" s="92">
        <v>0</v>
      </c>
      <c r="Q1073" s="93">
        <f>L1073/I1073</f>
        <v>61.435738432056496</v>
      </c>
      <c r="R1073" s="93">
        <v>6774</v>
      </c>
      <c r="S1073" s="276">
        <v>43465</v>
      </c>
    </row>
    <row r="1074" spans="1:48" s="26" customFormat="1" ht="31.5">
      <c r="A1074" s="232" t="e">
        <f>A1073+1</f>
        <v>#REF!</v>
      </c>
      <c r="B1074" s="153" t="s">
        <v>358</v>
      </c>
      <c r="C1074" s="154">
        <v>1973</v>
      </c>
      <c r="D1074" s="108"/>
      <c r="E1074" s="89" t="s">
        <v>218</v>
      </c>
      <c r="F1074" s="79">
        <v>5</v>
      </c>
      <c r="G1074" s="79">
        <v>6</v>
      </c>
      <c r="H1074" s="150">
        <v>4906.1000000000004</v>
      </c>
      <c r="I1074" s="80">
        <v>4497.5</v>
      </c>
      <c r="J1074" s="80">
        <v>4497.5</v>
      </c>
      <c r="K1074" s="81">
        <v>100</v>
      </c>
      <c r="L1074" s="92">
        <v>1073823</v>
      </c>
      <c r="M1074" s="92">
        <v>0</v>
      </c>
      <c r="N1074" s="92">
        <v>0</v>
      </c>
      <c r="O1074" s="92">
        <f>L1074</f>
        <v>1073823</v>
      </c>
      <c r="P1074" s="92">
        <v>0</v>
      </c>
      <c r="Q1074" s="93">
        <f>L1074/I1074</f>
        <v>238.75997776542525</v>
      </c>
      <c r="R1074" s="93">
        <v>6774</v>
      </c>
      <c r="S1074" s="276">
        <v>43465</v>
      </c>
    </row>
    <row r="1075" spans="1:48" s="1" customFormat="1" ht="34.5" customHeight="1">
      <c r="A1075" s="1080" t="s">
        <v>37</v>
      </c>
      <c r="B1075" s="1080"/>
      <c r="C1075" s="1080"/>
      <c r="D1075" s="1080"/>
      <c r="E1075" s="1080"/>
      <c r="F1075" s="1080"/>
      <c r="G1075" s="1080"/>
      <c r="H1075" s="1080"/>
      <c r="I1075" s="1080"/>
      <c r="J1075" s="1080"/>
      <c r="K1075" s="1080"/>
      <c r="L1075" s="1080"/>
      <c r="M1075" s="1080"/>
      <c r="N1075" s="1080"/>
      <c r="O1075" s="1080"/>
      <c r="P1075" s="1080"/>
      <c r="Q1075" s="1080"/>
      <c r="R1075" s="1080"/>
      <c r="S1075" s="1080"/>
    </row>
    <row r="1076" spans="1:48" s="1" customFormat="1" ht="15.75">
      <c r="A1076" s="232"/>
      <c r="B1076" s="1079" t="s">
        <v>20</v>
      </c>
      <c r="C1076" s="1079"/>
      <c r="D1076" s="1079"/>
      <c r="E1076" s="1079"/>
      <c r="F1076" s="1079"/>
      <c r="G1076" s="1079"/>
      <c r="H1076" s="90">
        <f t="shared" ref="H1076:P1076" si="264">H1077+H1080</f>
        <v>2121.5</v>
      </c>
      <c r="I1076" s="90">
        <f t="shared" si="264"/>
        <v>1804.4</v>
      </c>
      <c r="J1076" s="90">
        <f t="shared" si="264"/>
        <v>1335</v>
      </c>
      <c r="K1076" s="91">
        <f t="shared" si="264"/>
        <v>48</v>
      </c>
      <c r="L1076" s="92">
        <f t="shared" si="264"/>
        <v>215709</v>
      </c>
      <c r="M1076" s="92">
        <f t="shared" si="264"/>
        <v>0</v>
      </c>
      <c r="N1076" s="92">
        <f t="shared" si="264"/>
        <v>0</v>
      </c>
      <c r="O1076" s="92">
        <f t="shared" si="264"/>
        <v>215709</v>
      </c>
      <c r="P1076" s="92">
        <f t="shared" si="264"/>
        <v>0</v>
      </c>
      <c r="Q1076" s="93" t="s">
        <v>40</v>
      </c>
      <c r="R1076" s="88" t="s">
        <v>40</v>
      </c>
      <c r="S1076" s="276">
        <v>43465</v>
      </c>
    </row>
    <row r="1077" spans="1:48" s="1" customFormat="1" ht="15.75" customHeight="1">
      <c r="A1077" s="232"/>
      <c r="B1077" s="1102" t="s">
        <v>58</v>
      </c>
      <c r="C1077" s="1102"/>
      <c r="D1077" s="1102"/>
      <c r="E1077" s="1102"/>
      <c r="F1077" s="1102"/>
      <c r="G1077" s="1102"/>
      <c r="H1077" s="106">
        <f>H1078</f>
        <v>2121.5</v>
      </c>
      <c r="I1077" s="84">
        <f t="shared" ref="I1077:P1078" si="265">I1078</f>
        <v>1804.4</v>
      </c>
      <c r="J1077" s="84">
        <f t="shared" si="265"/>
        <v>1335</v>
      </c>
      <c r="K1077" s="85">
        <f t="shared" si="265"/>
        <v>48</v>
      </c>
      <c r="L1077" s="92">
        <f t="shared" si="265"/>
        <v>215709</v>
      </c>
      <c r="M1077" s="92">
        <f t="shared" si="265"/>
        <v>0</v>
      </c>
      <c r="N1077" s="92">
        <f t="shared" si="265"/>
        <v>0</v>
      </c>
      <c r="O1077" s="92">
        <f t="shared" si="265"/>
        <v>215709</v>
      </c>
      <c r="P1077" s="92">
        <f t="shared" si="265"/>
        <v>0</v>
      </c>
      <c r="Q1077" s="84" t="str">
        <f>Q1078</f>
        <v>Х</v>
      </c>
      <c r="R1077" s="84" t="str">
        <f>R1078</f>
        <v>Х</v>
      </c>
      <c r="S1077" s="276">
        <v>43465</v>
      </c>
    </row>
    <row r="1078" spans="1:48" s="1" customFormat="1" ht="15.75" customHeight="1">
      <c r="A1078" s="232"/>
      <c r="B1078" s="1102" t="s">
        <v>87</v>
      </c>
      <c r="C1078" s="1102"/>
      <c r="D1078" s="1102"/>
      <c r="E1078" s="1102"/>
      <c r="F1078" s="1102"/>
      <c r="G1078" s="1102"/>
      <c r="H1078" s="106">
        <f>H1079</f>
        <v>2121.5</v>
      </c>
      <c r="I1078" s="84">
        <f t="shared" si="265"/>
        <v>1804.4</v>
      </c>
      <c r="J1078" s="84">
        <f t="shared" si="265"/>
        <v>1335</v>
      </c>
      <c r="K1078" s="85">
        <f t="shared" si="265"/>
        <v>48</v>
      </c>
      <c r="L1078" s="92">
        <f>L1079</f>
        <v>215709</v>
      </c>
      <c r="M1078" s="92">
        <f t="shared" si="265"/>
        <v>0</v>
      </c>
      <c r="N1078" s="92">
        <f t="shared" si="265"/>
        <v>0</v>
      </c>
      <c r="O1078" s="92">
        <f>L1078</f>
        <v>215709</v>
      </c>
      <c r="P1078" s="92">
        <v>0</v>
      </c>
      <c r="Q1078" s="84" t="s">
        <v>40</v>
      </c>
      <c r="R1078" s="232" t="s">
        <v>40</v>
      </c>
      <c r="S1078" s="276">
        <v>43465</v>
      </c>
    </row>
    <row r="1079" spans="1:48" s="1" customFormat="1" ht="31.5">
      <c r="A1079" s="232" t="e">
        <f>A1074+1</f>
        <v>#REF!</v>
      </c>
      <c r="B1079" s="227" t="s">
        <v>433</v>
      </c>
      <c r="C1079" s="79">
        <v>1959</v>
      </c>
      <c r="D1079" s="89"/>
      <c r="E1079" s="89" t="s">
        <v>218</v>
      </c>
      <c r="F1079" s="155" t="s">
        <v>73</v>
      </c>
      <c r="G1079" s="155" t="s">
        <v>74</v>
      </c>
      <c r="H1079" s="150">
        <v>2121.5</v>
      </c>
      <c r="I1079" s="80">
        <v>1804.4</v>
      </c>
      <c r="J1079" s="80">
        <f>1379-44</f>
        <v>1335</v>
      </c>
      <c r="K1079" s="81">
        <v>48</v>
      </c>
      <c r="L1079" s="92">
        <v>215709</v>
      </c>
      <c r="M1079" s="92">
        <v>0</v>
      </c>
      <c r="N1079" s="92">
        <v>0</v>
      </c>
      <c r="O1079" s="92">
        <f>L1079</f>
        <v>215709</v>
      </c>
      <c r="P1079" s="92">
        <v>0</v>
      </c>
      <c r="Q1079" s="80">
        <f>L1079/I1079</f>
        <v>119.54610951008645</v>
      </c>
      <c r="R1079" s="93">
        <v>6774</v>
      </c>
      <c r="S1079" s="276">
        <v>43465</v>
      </c>
    </row>
    <row r="1080" spans="1:48" s="1" customFormat="1" ht="15.75" customHeight="1">
      <c r="A1080" s="322"/>
      <c r="B1080" s="1115" t="s">
        <v>59</v>
      </c>
      <c r="C1080" s="1115"/>
      <c r="D1080" s="1115"/>
      <c r="E1080" s="1115"/>
      <c r="F1080" s="1115"/>
      <c r="G1080" s="1115"/>
      <c r="H1080" s="616">
        <f t="shared" ref="H1080:P1080" si="266">H1081+H1082</f>
        <v>0</v>
      </c>
      <c r="I1080" s="326">
        <f t="shared" si="266"/>
        <v>0</v>
      </c>
      <c r="J1080" s="326">
        <f t="shared" si="266"/>
        <v>0</v>
      </c>
      <c r="K1080" s="325">
        <f t="shared" si="266"/>
        <v>0</v>
      </c>
      <c r="L1080" s="274">
        <f t="shared" si="266"/>
        <v>0</v>
      </c>
      <c r="M1080" s="274">
        <f t="shared" si="266"/>
        <v>0</v>
      </c>
      <c r="N1080" s="274">
        <f t="shared" si="266"/>
        <v>0</v>
      </c>
      <c r="O1080" s="274">
        <f t="shared" si="266"/>
        <v>0</v>
      </c>
      <c r="P1080" s="274">
        <f t="shared" si="266"/>
        <v>0</v>
      </c>
      <c r="Q1080" s="326" t="str">
        <f>Q1081</f>
        <v>Х</v>
      </c>
      <c r="R1080" s="326" t="str">
        <f>R1081</f>
        <v>Х</v>
      </c>
      <c r="S1080" s="276">
        <v>43465</v>
      </c>
    </row>
    <row r="1081" spans="1:48" s="1" customFormat="1" ht="30.6" customHeight="1">
      <c r="A1081" s="268"/>
      <c r="B1081" s="1142" t="s">
        <v>86</v>
      </c>
      <c r="C1081" s="1142"/>
      <c r="D1081" s="1142"/>
      <c r="E1081" s="1142"/>
      <c r="F1081" s="1142"/>
      <c r="G1081" s="1142"/>
      <c r="H1081" s="326">
        <v>0</v>
      </c>
      <c r="I1081" s="326">
        <v>0</v>
      </c>
      <c r="J1081" s="326">
        <v>0</v>
      </c>
      <c r="K1081" s="326">
        <v>0</v>
      </c>
      <c r="L1081" s="618">
        <v>0</v>
      </c>
      <c r="M1081" s="618">
        <v>0</v>
      </c>
      <c r="N1081" s="618">
        <v>0</v>
      </c>
      <c r="O1081" s="618">
        <v>0</v>
      </c>
      <c r="P1081" s="618">
        <v>0</v>
      </c>
      <c r="Q1081" s="326" t="s">
        <v>40</v>
      </c>
      <c r="R1081" s="322" t="s">
        <v>40</v>
      </c>
      <c r="S1081" s="276">
        <v>43465</v>
      </c>
    </row>
    <row r="1082" spans="1:48" s="1" customFormat="1" ht="24.6" customHeight="1">
      <c r="A1082" s="322"/>
      <c r="B1082" s="1142" t="s">
        <v>85</v>
      </c>
      <c r="C1082" s="1142"/>
      <c r="D1082" s="1142"/>
      <c r="E1082" s="1142"/>
      <c r="F1082" s="1142"/>
      <c r="G1082" s="1142"/>
      <c r="H1082" s="272">
        <v>0</v>
      </c>
      <c r="I1082" s="272">
        <v>0</v>
      </c>
      <c r="J1082" s="272">
        <v>0</v>
      </c>
      <c r="K1082" s="272">
        <v>0</v>
      </c>
      <c r="L1082" s="808">
        <v>0</v>
      </c>
      <c r="M1082" s="808">
        <v>0</v>
      </c>
      <c r="N1082" s="808">
        <v>0</v>
      </c>
      <c r="O1082" s="808">
        <v>0</v>
      </c>
      <c r="P1082" s="808">
        <v>0</v>
      </c>
      <c r="Q1082" s="275" t="s">
        <v>40</v>
      </c>
      <c r="R1082" s="270" t="s">
        <v>40</v>
      </c>
      <c r="S1082" s="276">
        <v>43465</v>
      </c>
    </row>
    <row r="1083" spans="1:48" s="1" customFormat="1" ht="15.75">
      <c r="A1083" s="1135" t="s">
        <v>476</v>
      </c>
      <c r="B1083" s="1136"/>
      <c r="C1083" s="1136"/>
      <c r="D1083" s="1136"/>
      <c r="E1083" s="1136"/>
      <c r="F1083" s="1136"/>
      <c r="G1083" s="1136"/>
      <c r="H1083" s="1136"/>
      <c r="I1083" s="1136"/>
      <c r="J1083" s="1136"/>
      <c r="K1083" s="1136"/>
      <c r="L1083" s="1136"/>
      <c r="M1083" s="1136"/>
      <c r="N1083" s="1136"/>
      <c r="O1083" s="1136"/>
      <c r="P1083" s="1136"/>
      <c r="Q1083" s="1136"/>
      <c r="R1083" s="1136"/>
      <c r="S1083" s="1137"/>
    </row>
    <row r="1084" spans="1:48">
      <c r="A1084" s="1080" t="s">
        <v>34</v>
      </c>
      <c r="B1084" s="1080"/>
      <c r="C1084" s="1080"/>
      <c r="D1084" s="1080"/>
      <c r="E1084" s="1080"/>
      <c r="F1084" s="1080"/>
      <c r="G1084" s="1080"/>
      <c r="H1084" s="1080"/>
      <c r="I1084" s="1080"/>
      <c r="J1084" s="1080"/>
      <c r="K1084" s="1080"/>
      <c r="L1084" s="1080"/>
      <c r="M1084" s="1080"/>
      <c r="N1084" s="1080"/>
      <c r="O1084" s="1080"/>
      <c r="P1084" s="1080"/>
      <c r="Q1084" s="1080"/>
      <c r="R1084" s="1080"/>
      <c r="S1084" s="1080"/>
    </row>
    <row r="1085" spans="1:48" ht="18.75" customHeight="1">
      <c r="A1085" s="232"/>
      <c r="B1085" s="1102" t="s">
        <v>205</v>
      </c>
      <c r="C1085" s="1102"/>
      <c r="D1085" s="1102"/>
      <c r="E1085" s="1102"/>
      <c r="F1085" s="1102"/>
      <c r="G1085" s="1102"/>
      <c r="H1085" s="84">
        <f t="shared" ref="H1085:O1085" si="267">H1086+H1255+H1267+H1269+H1295+H1308+H1322+H1331+H1338+H1341+H1360+H1364+H1379+H1383+H1386+H1391+H1403+H1414+H1426+H1434+H1466+H1471+H1476+H1487+H1490+H1507+H1501+H1510+H1519+H1522+H1527+H1533+H1538+H1545+H1557</f>
        <v>315906.74</v>
      </c>
      <c r="I1085" s="84">
        <f t="shared" si="267"/>
        <v>259539.99000000002</v>
      </c>
      <c r="J1085" s="84">
        <f t="shared" si="267"/>
        <v>233989.83999999997</v>
      </c>
      <c r="K1085" s="85">
        <f t="shared" si="267"/>
        <v>10894</v>
      </c>
      <c r="L1085" s="92">
        <f t="shared" si="267"/>
        <v>604339375.76000011</v>
      </c>
      <c r="M1085" s="92">
        <f t="shared" si="267"/>
        <v>0</v>
      </c>
      <c r="N1085" s="92">
        <f t="shared" si="267"/>
        <v>2372919.13</v>
      </c>
      <c r="O1085" s="92">
        <f t="shared" si="267"/>
        <v>601966416.62999988</v>
      </c>
      <c r="P1085" s="92">
        <f>P1086+P1255+P1267+P1269+P1295+P1308+P1322+P1331+P1338+P1341+P1360+P1364+P1379+P1383+P1386+P1391+P1403+P1414+P1426+P1434+P1466+P1471+P1476+P1487+P1490+P1507+P1501+P1510+P1519+P1522+P1527+P1538+P1545+P1557</f>
        <v>0</v>
      </c>
      <c r="Q1085" s="86" t="s">
        <v>40</v>
      </c>
      <c r="R1085" s="86" t="s">
        <v>40</v>
      </c>
      <c r="S1085" s="86" t="s">
        <v>40</v>
      </c>
    </row>
    <row r="1086" spans="1:48" s="1" customFormat="1" ht="15.75" customHeight="1">
      <c r="A1086" s="232"/>
      <c r="B1086" s="1102" t="s">
        <v>89</v>
      </c>
      <c r="C1086" s="1102"/>
      <c r="D1086" s="1102"/>
      <c r="E1086" s="1102"/>
      <c r="F1086" s="1102"/>
      <c r="G1086" s="1102"/>
      <c r="H1086" s="84">
        <f>SUM(H1087:H1254)</f>
        <v>0</v>
      </c>
      <c r="I1086" s="84">
        <f>SUM(I1087:I1254)</f>
        <v>0</v>
      </c>
      <c r="J1086" s="84">
        <f>SUM(J1087:J1254)</f>
        <v>0</v>
      </c>
      <c r="K1086" s="85">
        <f>SUM(K1087:K1254)</f>
        <v>0</v>
      </c>
      <c r="L1086" s="92">
        <v>336230870.63</v>
      </c>
      <c r="M1086" s="92">
        <f>SUM(M1087:M1254)</f>
        <v>0</v>
      </c>
      <c r="N1086" s="92">
        <f>SUM(N1087:N1254)</f>
        <v>0</v>
      </c>
      <c r="O1086" s="92">
        <f>SUM(O1087:O1254)</f>
        <v>336230870.63</v>
      </c>
      <c r="P1086" s="92">
        <f>SUM(P1087:P1254)</f>
        <v>0</v>
      </c>
      <c r="Q1086" s="86" t="s">
        <v>40</v>
      </c>
      <c r="R1086" s="86" t="s">
        <v>40</v>
      </c>
      <c r="S1086" s="86" t="s">
        <v>40</v>
      </c>
    </row>
    <row r="1087" spans="1:48" s="1" customFormat="1" ht="15.75">
      <c r="A1087" s="87">
        <v>1</v>
      </c>
      <c r="B1087" s="225" t="s">
        <v>324</v>
      </c>
      <c r="C1087" s="88">
        <v>1975</v>
      </c>
      <c r="D1087" s="88"/>
      <c r="E1087" s="89" t="s">
        <v>219</v>
      </c>
      <c r="F1087" s="88">
        <v>5</v>
      </c>
      <c r="G1087" s="88">
        <v>10</v>
      </c>
      <c r="H1087" s="90"/>
      <c r="I1087" s="90"/>
      <c r="J1087" s="90"/>
      <c r="K1087" s="91"/>
      <c r="L1087" s="92">
        <v>5982216</v>
      </c>
      <c r="M1087" s="92">
        <v>0</v>
      </c>
      <c r="N1087" s="92">
        <v>0</v>
      </c>
      <c r="O1087" s="92">
        <f t="shared" ref="O1087:O1150" si="268">L1087</f>
        <v>5982216</v>
      </c>
      <c r="P1087" s="92">
        <v>0</v>
      </c>
      <c r="Q1087" s="93" t="e">
        <f t="shared" ref="Q1087:Q1150" si="269">L1087/I1087</f>
        <v>#DIV/0!</v>
      </c>
      <c r="R1087" s="94"/>
      <c r="S1087" s="285">
        <v>43830</v>
      </c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</row>
    <row r="1088" spans="1:48" customFormat="1" ht="15.75">
      <c r="A1088" s="87">
        <f>A1087+1</f>
        <v>2</v>
      </c>
      <c r="B1088" s="225" t="s">
        <v>325</v>
      </c>
      <c r="C1088" s="88">
        <v>1978</v>
      </c>
      <c r="D1088" s="88"/>
      <c r="E1088" s="89" t="s">
        <v>219</v>
      </c>
      <c r="F1088" s="88">
        <v>9</v>
      </c>
      <c r="G1088" s="88">
        <v>5</v>
      </c>
      <c r="H1088" s="90"/>
      <c r="I1088" s="90"/>
      <c r="J1088" s="90"/>
      <c r="K1088" s="91"/>
      <c r="L1088" s="92">
        <v>9379653</v>
      </c>
      <c r="M1088" s="92">
        <v>0</v>
      </c>
      <c r="N1088" s="92">
        <v>0</v>
      </c>
      <c r="O1088" s="92">
        <f t="shared" si="268"/>
        <v>9379653</v>
      </c>
      <c r="P1088" s="92">
        <v>0</v>
      </c>
      <c r="Q1088" s="93" t="e">
        <f t="shared" si="269"/>
        <v>#DIV/0!</v>
      </c>
      <c r="R1088" s="94"/>
      <c r="S1088" s="285">
        <v>43830</v>
      </c>
    </row>
    <row r="1089" spans="1:30" customFormat="1" ht="15.75">
      <c r="A1089" s="87">
        <f t="shared" ref="A1089:A1152" si="270">A1088+1</f>
        <v>3</v>
      </c>
      <c r="B1089" s="234" t="s">
        <v>321</v>
      </c>
      <c r="C1089" s="88">
        <v>1982</v>
      </c>
      <c r="D1089" s="88"/>
      <c r="E1089" s="89" t="s">
        <v>219</v>
      </c>
      <c r="F1089" s="88">
        <v>9</v>
      </c>
      <c r="G1089" s="88">
        <v>2</v>
      </c>
      <c r="H1089" s="90"/>
      <c r="I1089" s="90"/>
      <c r="J1089" s="90"/>
      <c r="K1089" s="91"/>
      <c r="L1089" s="92">
        <v>3763756</v>
      </c>
      <c r="M1089" s="92">
        <v>0</v>
      </c>
      <c r="N1089" s="92">
        <v>0</v>
      </c>
      <c r="O1089" s="92">
        <f t="shared" si="268"/>
        <v>3763756</v>
      </c>
      <c r="P1089" s="92">
        <v>0</v>
      </c>
      <c r="Q1089" s="93" t="e">
        <f t="shared" si="269"/>
        <v>#DIV/0!</v>
      </c>
      <c r="R1089" s="94"/>
      <c r="S1089" s="285">
        <v>43830</v>
      </c>
    </row>
    <row r="1090" spans="1:30" customFormat="1" ht="15.75">
      <c r="A1090" s="87">
        <f t="shared" si="270"/>
        <v>4</v>
      </c>
      <c r="B1090" s="234" t="s">
        <v>346</v>
      </c>
      <c r="C1090" s="88">
        <v>1982</v>
      </c>
      <c r="D1090" s="88"/>
      <c r="E1090" s="89" t="s">
        <v>219</v>
      </c>
      <c r="F1090" s="88">
        <v>9</v>
      </c>
      <c r="G1090" s="88">
        <v>1</v>
      </c>
      <c r="H1090" s="90"/>
      <c r="I1090" s="90"/>
      <c r="J1090" s="90"/>
      <c r="K1090" s="91"/>
      <c r="L1090" s="92">
        <v>1095812</v>
      </c>
      <c r="M1090" s="92">
        <v>0</v>
      </c>
      <c r="N1090" s="92">
        <v>0</v>
      </c>
      <c r="O1090" s="92">
        <f t="shared" si="268"/>
        <v>1095812</v>
      </c>
      <c r="P1090" s="92">
        <v>0</v>
      </c>
      <c r="Q1090" s="93" t="e">
        <f t="shared" si="269"/>
        <v>#DIV/0!</v>
      </c>
      <c r="R1090" s="94"/>
      <c r="S1090" s="285">
        <v>43830</v>
      </c>
    </row>
    <row r="1091" spans="1:30" customFormat="1" ht="15.75">
      <c r="A1091" s="87">
        <f t="shared" si="270"/>
        <v>5</v>
      </c>
      <c r="B1091" s="234" t="s">
        <v>322</v>
      </c>
      <c r="C1091" s="88">
        <v>1976</v>
      </c>
      <c r="D1091" s="88"/>
      <c r="E1091" s="89" t="s">
        <v>219</v>
      </c>
      <c r="F1091" s="88">
        <v>9</v>
      </c>
      <c r="G1091" s="88">
        <v>3</v>
      </c>
      <c r="H1091" s="90"/>
      <c r="I1091" s="90"/>
      <c r="J1091" s="90"/>
      <c r="K1091" s="91"/>
      <c r="L1091" s="92">
        <v>5619141</v>
      </c>
      <c r="M1091" s="92">
        <v>0</v>
      </c>
      <c r="N1091" s="92">
        <v>0</v>
      </c>
      <c r="O1091" s="92">
        <f t="shared" si="268"/>
        <v>5619141</v>
      </c>
      <c r="P1091" s="92">
        <v>0</v>
      </c>
      <c r="Q1091" s="93" t="e">
        <f t="shared" si="269"/>
        <v>#DIV/0!</v>
      </c>
      <c r="R1091" s="94"/>
      <c r="S1091" s="285">
        <v>43830</v>
      </c>
    </row>
    <row r="1092" spans="1:30" customFormat="1" ht="15.75">
      <c r="A1092" s="87">
        <f t="shared" si="270"/>
        <v>6</v>
      </c>
      <c r="B1092" s="234" t="s">
        <v>320</v>
      </c>
      <c r="C1092" s="87">
        <v>1982</v>
      </c>
      <c r="D1092" s="88"/>
      <c r="E1092" s="89" t="s">
        <v>219</v>
      </c>
      <c r="F1092" s="88">
        <v>9</v>
      </c>
      <c r="G1092" s="88">
        <v>2</v>
      </c>
      <c r="H1092" s="96"/>
      <c r="I1092" s="96"/>
      <c r="J1092" s="96"/>
      <c r="K1092" s="81"/>
      <c r="L1092" s="92">
        <v>3748388</v>
      </c>
      <c r="M1092" s="92">
        <v>0</v>
      </c>
      <c r="N1092" s="92">
        <v>0</v>
      </c>
      <c r="O1092" s="92">
        <f t="shared" si="268"/>
        <v>3748388</v>
      </c>
      <c r="P1092" s="92">
        <v>0</v>
      </c>
      <c r="Q1092" s="93" t="e">
        <f t="shared" si="269"/>
        <v>#DIV/0!</v>
      </c>
      <c r="R1092" s="94"/>
      <c r="S1092" s="285">
        <v>43830</v>
      </c>
    </row>
    <row r="1093" spans="1:30" customFormat="1" ht="15.75">
      <c r="A1093" s="87">
        <f t="shared" si="270"/>
        <v>7</v>
      </c>
      <c r="B1093" s="225" t="s">
        <v>327</v>
      </c>
      <c r="C1093" s="88">
        <v>1981</v>
      </c>
      <c r="D1093" s="88"/>
      <c r="E1093" s="89" t="s">
        <v>219</v>
      </c>
      <c r="F1093" s="88">
        <v>9</v>
      </c>
      <c r="G1093" s="88">
        <v>8</v>
      </c>
      <c r="H1093" s="90"/>
      <c r="I1093" s="90"/>
      <c r="J1093" s="90"/>
      <c r="K1093" s="91"/>
      <c r="L1093" s="92">
        <v>15157748</v>
      </c>
      <c r="M1093" s="92">
        <v>0</v>
      </c>
      <c r="N1093" s="92">
        <v>0</v>
      </c>
      <c r="O1093" s="92">
        <f t="shared" si="268"/>
        <v>15157748</v>
      </c>
      <c r="P1093" s="92">
        <v>0</v>
      </c>
      <c r="Q1093" s="93" t="e">
        <f t="shared" si="269"/>
        <v>#DIV/0!</v>
      </c>
      <c r="R1093" s="94"/>
      <c r="S1093" s="285">
        <v>43830</v>
      </c>
    </row>
    <row r="1094" spans="1:30" customFormat="1" ht="31.5">
      <c r="A1094" s="87">
        <f t="shared" si="270"/>
        <v>8</v>
      </c>
      <c r="B1094" s="225" t="s">
        <v>323</v>
      </c>
      <c r="C1094" s="88">
        <v>1954</v>
      </c>
      <c r="D1094" s="88"/>
      <c r="E1094" s="89" t="s">
        <v>218</v>
      </c>
      <c r="F1094" s="88">
        <v>2</v>
      </c>
      <c r="G1094" s="88">
        <v>2</v>
      </c>
      <c r="H1094" s="90"/>
      <c r="I1094" s="90"/>
      <c r="J1094" s="90"/>
      <c r="K1094" s="91"/>
      <c r="L1094" s="92">
        <v>1030213</v>
      </c>
      <c r="M1094" s="92">
        <v>0</v>
      </c>
      <c r="N1094" s="92">
        <v>0</v>
      </c>
      <c r="O1094" s="92">
        <f t="shared" si="268"/>
        <v>1030213</v>
      </c>
      <c r="P1094" s="92">
        <v>0</v>
      </c>
      <c r="Q1094" s="93" t="e">
        <f t="shared" si="269"/>
        <v>#DIV/0!</v>
      </c>
      <c r="R1094" s="94"/>
      <c r="S1094" s="285">
        <v>43830</v>
      </c>
    </row>
    <row r="1095" spans="1:30" customFormat="1" ht="31.5">
      <c r="A1095" s="87">
        <f t="shared" si="270"/>
        <v>9</v>
      </c>
      <c r="B1095" s="234" t="s">
        <v>319</v>
      </c>
      <c r="C1095" s="97">
        <v>1860</v>
      </c>
      <c r="D1095" s="97"/>
      <c r="E1095" s="89" t="s">
        <v>218</v>
      </c>
      <c r="F1095" s="97">
        <v>3</v>
      </c>
      <c r="G1095" s="97">
        <v>1</v>
      </c>
      <c r="H1095" s="97"/>
      <c r="I1095" s="97"/>
      <c r="J1095" s="97"/>
      <c r="K1095" s="98"/>
      <c r="L1095" s="92">
        <v>530465</v>
      </c>
      <c r="M1095" s="92">
        <v>0</v>
      </c>
      <c r="N1095" s="92">
        <v>0</v>
      </c>
      <c r="O1095" s="92">
        <f t="shared" si="268"/>
        <v>530465</v>
      </c>
      <c r="P1095" s="92">
        <v>0</v>
      </c>
      <c r="Q1095" s="93" t="e">
        <f t="shared" si="269"/>
        <v>#DIV/0!</v>
      </c>
      <c r="R1095" s="94"/>
      <c r="S1095" s="285">
        <v>43830</v>
      </c>
    </row>
    <row r="1096" spans="1:30" customFormat="1" ht="31.5">
      <c r="A1096" s="87">
        <f t="shared" si="270"/>
        <v>10</v>
      </c>
      <c r="B1096" s="234" t="s">
        <v>326</v>
      </c>
      <c r="C1096" s="88">
        <v>1958</v>
      </c>
      <c r="D1096" s="88"/>
      <c r="E1096" s="89" t="s">
        <v>218</v>
      </c>
      <c r="F1096" s="88">
        <v>2</v>
      </c>
      <c r="G1096" s="88">
        <v>2</v>
      </c>
      <c r="H1096" s="90"/>
      <c r="I1096" s="90"/>
      <c r="J1096" s="90"/>
      <c r="K1096" s="91"/>
      <c r="L1096" s="92">
        <v>1983854</v>
      </c>
      <c r="M1096" s="92">
        <v>0</v>
      </c>
      <c r="N1096" s="92">
        <v>0</v>
      </c>
      <c r="O1096" s="92">
        <f t="shared" si="268"/>
        <v>1983854</v>
      </c>
      <c r="P1096" s="92">
        <v>0</v>
      </c>
      <c r="Q1096" s="93" t="e">
        <f t="shared" si="269"/>
        <v>#DIV/0!</v>
      </c>
      <c r="R1096" s="94"/>
      <c r="S1096" s="285">
        <v>43830</v>
      </c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</row>
    <row r="1097" spans="1:30" customFormat="1" ht="31.5">
      <c r="A1097" s="87">
        <f t="shared" si="270"/>
        <v>11</v>
      </c>
      <c r="B1097" s="234" t="s">
        <v>388</v>
      </c>
      <c r="C1097" s="88">
        <v>1961</v>
      </c>
      <c r="D1097" s="88"/>
      <c r="E1097" s="89" t="s">
        <v>218</v>
      </c>
      <c r="F1097" s="88">
        <v>5</v>
      </c>
      <c r="G1097" s="88">
        <v>2</v>
      </c>
      <c r="H1097" s="90"/>
      <c r="I1097" s="90"/>
      <c r="J1097" s="90"/>
      <c r="K1097" s="91"/>
      <c r="L1097" s="92">
        <v>1206304</v>
      </c>
      <c r="M1097" s="92">
        <v>0</v>
      </c>
      <c r="N1097" s="92">
        <v>0</v>
      </c>
      <c r="O1097" s="92">
        <f t="shared" si="268"/>
        <v>1206304</v>
      </c>
      <c r="P1097" s="92">
        <v>0</v>
      </c>
      <c r="Q1097" s="93" t="e">
        <f t="shared" si="269"/>
        <v>#DIV/0!</v>
      </c>
      <c r="R1097" s="94"/>
      <c r="S1097" s="285">
        <v>43830</v>
      </c>
    </row>
    <row r="1098" spans="1:30" customFormat="1" ht="31.5">
      <c r="A1098" s="87">
        <f t="shared" si="270"/>
        <v>12</v>
      </c>
      <c r="B1098" s="225" t="s">
        <v>419</v>
      </c>
      <c r="C1098" s="88">
        <v>1961</v>
      </c>
      <c r="D1098" s="95"/>
      <c r="E1098" s="89" t="s">
        <v>218</v>
      </c>
      <c r="F1098" s="88">
        <v>5</v>
      </c>
      <c r="G1098" s="88">
        <v>3</v>
      </c>
      <c r="H1098" s="90"/>
      <c r="I1098" s="90"/>
      <c r="J1098" s="90"/>
      <c r="K1098" s="91"/>
      <c r="L1098" s="92">
        <v>402530.2</v>
      </c>
      <c r="M1098" s="92">
        <v>0</v>
      </c>
      <c r="N1098" s="92">
        <v>0</v>
      </c>
      <c r="O1098" s="92">
        <f t="shared" si="268"/>
        <v>402530.2</v>
      </c>
      <c r="P1098" s="92">
        <v>0</v>
      </c>
      <c r="Q1098" s="93" t="e">
        <f t="shared" si="269"/>
        <v>#DIV/0!</v>
      </c>
      <c r="R1098" s="94"/>
      <c r="S1098" s="285">
        <v>43830</v>
      </c>
      <c r="T1098" s="33"/>
      <c r="U1098" s="33"/>
      <c r="V1098" s="33"/>
      <c r="W1098" s="33"/>
      <c r="X1098" s="33"/>
      <c r="Y1098" s="33"/>
      <c r="Z1098" s="33"/>
      <c r="AA1098" s="33"/>
      <c r="AB1098" s="33"/>
      <c r="AC1098" s="33"/>
      <c r="AD1098" s="33"/>
    </row>
    <row r="1099" spans="1:30" customFormat="1" ht="31.5">
      <c r="A1099" s="87">
        <f t="shared" si="270"/>
        <v>13</v>
      </c>
      <c r="B1099" s="225" t="s">
        <v>387</v>
      </c>
      <c r="C1099" s="97">
        <v>1967</v>
      </c>
      <c r="D1099" s="97"/>
      <c r="E1099" s="89" t="s">
        <v>218</v>
      </c>
      <c r="F1099" s="97">
        <v>5</v>
      </c>
      <c r="G1099" s="97">
        <v>8</v>
      </c>
      <c r="H1099" s="90"/>
      <c r="I1099" s="90"/>
      <c r="J1099" s="90"/>
      <c r="K1099" s="91"/>
      <c r="L1099" s="92">
        <v>2861497</v>
      </c>
      <c r="M1099" s="92">
        <v>0</v>
      </c>
      <c r="N1099" s="92">
        <v>0</v>
      </c>
      <c r="O1099" s="92">
        <f t="shared" si="268"/>
        <v>2861497</v>
      </c>
      <c r="P1099" s="92">
        <v>0</v>
      </c>
      <c r="Q1099" s="93" t="e">
        <f t="shared" si="269"/>
        <v>#DIV/0!</v>
      </c>
      <c r="R1099" s="94"/>
      <c r="S1099" s="285">
        <v>43830</v>
      </c>
    </row>
    <row r="1100" spans="1:30" customFormat="1" ht="15.75">
      <c r="A1100" s="87">
        <f t="shared" si="270"/>
        <v>14</v>
      </c>
      <c r="B1100" s="234" t="s">
        <v>334</v>
      </c>
      <c r="C1100" s="88">
        <v>1974</v>
      </c>
      <c r="D1100" s="88"/>
      <c r="E1100" s="89" t="s">
        <v>219</v>
      </c>
      <c r="F1100" s="88">
        <v>5</v>
      </c>
      <c r="G1100" s="88">
        <v>4</v>
      </c>
      <c r="H1100" s="90"/>
      <c r="I1100" s="90"/>
      <c r="J1100" s="90"/>
      <c r="K1100" s="91"/>
      <c r="L1100" s="92">
        <v>1535065.47</v>
      </c>
      <c r="M1100" s="92">
        <v>0</v>
      </c>
      <c r="N1100" s="92">
        <v>0</v>
      </c>
      <c r="O1100" s="92">
        <f t="shared" si="268"/>
        <v>1535065.47</v>
      </c>
      <c r="P1100" s="92">
        <v>0</v>
      </c>
      <c r="Q1100" s="93" t="e">
        <f t="shared" si="269"/>
        <v>#DIV/0!</v>
      </c>
      <c r="R1100" s="94"/>
      <c r="S1100" s="285">
        <v>43830</v>
      </c>
    </row>
    <row r="1101" spans="1:30" customFormat="1" ht="15.75">
      <c r="A1101" s="87">
        <f t="shared" si="270"/>
        <v>15</v>
      </c>
      <c r="B1101" s="234" t="s">
        <v>330</v>
      </c>
      <c r="C1101" s="97">
        <v>1966</v>
      </c>
      <c r="D1101" s="97"/>
      <c r="E1101" s="89" t="s">
        <v>219</v>
      </c>
      <c r="F1101" s="97">
        <v>5</v>
      </c>
      <c r="G1101" s="97">
        <v>4</v>
      </c>
      <c r="H1101" s="90"/>
      <c r="I1101" s="90"/>
      <c r="J1101" s="90"/>
      <c r="K1101" s="91"/>
      <c r="L1101" s="92">
        <v>930534</v>
      </c>
      <c r="M1101" s="92">
        <v>0</v>
      </c>
      <c r="N1101" s="92">
        <v>0</v>
      </c>
      <c r="O1101" s="92">
        <f t="shared" si="268"/>
        <v>930534</v>
      </c>
      <c r="P1101" s="92">
        <v>0</v>
      </c>
      <c r="Q1101" s="93" t="e">
        <f t="shared" si="269"/>
        <v>#DIV/0!</v>
      </c>
      <c r="R1101" s="94"/>
      <c r="S1101" s="285">
        <v>43830</v>
      </c>
    </row>
    <row r="1102" spans="1:30" customFormat="1" ht="15.75">
      <c r="A1102" s="87">
        <f t="shared" si="270"/>
        <v>16</v>
      </c>
      <c r="B1102" s="234" t="s">
        <v>328</v>
      </c>
      <c r="C1102" s="97">
        <v>1970</v>
      </c>
      <c r="D1102" s="97"/>
      <c r="E1102" s="89" t="s">
        <v>219</v>
      </c>
      <c r="F1102" s="97">
        <v>5</v>
      </c>
      <c r="G1102" s="97">
        <v>4</v>
      </c>
      <c r="H1102" s="90"/>
      <c r="I1102" s="90"/>
      <c r="J1102" s="90"/>
      <c r="K1102" s="91"/>
      <c r="L1102" s="92">
        <v>662518</v>
      </c>
      <c r="M1102" s="92">
        <v>0</v>
      </c>
      <c r="N1102" s="92">
        <v>0</v>
      </c>
      <c r="O1102" s="92">
        <f t="shared" si="268"/>
        <v>662518</v>
      </c>
      <c r="P1102" s="92">
        <v>0</v>
      </c>
      <c r="Q1102" s="93" t="e">
        <f t="shared" si="269"/>
        <v>#DIV/0!</v>
      </c>
      <c r="R1102" s="94"/>
      <c r="S1102" s="285">
        <v>43830</v>
      </c>
    </row>
    <row r="1103" spans="1:30" customFormat="1" ht="31.5">
      <c r="A1103" s="87">
        <f t="shared" si="270"/>
        <v>17</v>
      </c>
      <c r="B1103" s="234" t="s">
        <v>333</v>
      </c>
      <c r="C1103" s="88">
        <v>1979</v>
      </c>
      <c r="D1103" s="88"/>
      <c r="E1103" s="89" t="s">
        <v>218</v>
      </c>
      <c r="F1103" s="88">
        <v>5</v>
      </c>
      <c r="G1103" s="88">
        <v>4</v>
      </c>
      <c r="H1103" s="90"/>
      <c r="I1103" s="90"/>
      <c r="J1103" s="90"/>
      <c r="K1103" s="91"/>
      <c r="L1103" s="92">
        <v>2346663</v>
      </c>
      <c r="M1103" s="92">
        <v>0</v>
      </c>
      <c r="N1103" s="92">
        <v>0</v>
      </c>
      <c r="O1103" s="92">
        <f t="shared" si="268"/>
        <v>2346663</v>
      </c>
      <c r="P1103" s="92">
        <v>0</v>
      </c>
      <c r="Q1103" s="93" t="e">
        <f t="shared" si="269"/>
        <v>#DIV/0!</v>
      </c>
      <c r="R1103" s="94"/>
      <c r="S1103" s="285">
        <v>43830</v>
      </c>
    </row>
    <row r="1104" spans="1:30" customFormat="1" ht="15.75">
      <c r="A1104" s="87">
        <f t="shared" si="270"/>
        <v>18</v>
      </c>
      <c r="B1104" s="234" t="s">
        <v>331</v>
      </c>
      <c r="C1104" s="97">
        <v>1972</v>
      </c>
      <c r="D1104" s="97"/>
      <c r="E1104" s="89" t="s">
        <v>219</v>
      </c>
      <c r="F1104" s="97">
        <v>5</v>
      </c>
      <c r="G1104" s="97">
        <v>4</v>
      </c>
      <c r="H1104" s="90"/>
      <c r="I1104" s="90"/>
      <c r="J1104" s="90"/>
      <c r="K1104" s="91"/>
      <c r="L1104" s="92">
        <v>727019</v>
      </c>
      <c r="M1104" s="92">
        <v>0</v>
      </c>
      <c r="N1104" s="92">
        <v>0</v>
      </c>
      <c r="O1104" s="92">
        <f t="shared" si="268"/>
        <v>727019</v>
      </c>
      <c r="P1104" s="92">
        <v>0</v>
      </c>
      <c r="Q1104" s="93" t="e">
        <f t="shared" si="269"/>
        <v>#DIV/0!</v>
      </c>
      <c r="R1104" s="94"/>
      <c r="S1104" s="285">
        <v>43830</v>
      </c>
    </row>
    <row r="1105" spans="1:19" customFormat="1" ht="31.5">
      <c r="A1105" s="87">
        <f t="shared" si="270"/>
        <v>19</v>
      </c>
      <c r="B1105" s="234" t="s">
        <v>329</v>
      </c>
      <c r="C1105" s="97">
        <v>1963</v>
      </c>
      <c r="D1105" s="97"/>
      <c r="E1105" s="89" t="s">
        <v>218</v>
      </c>
      <c r="F1105" s="97">
        <v>4</v>
      </c>
      <c r="G1105" s="97">
        <v>3</v>
      </c>
      <c r="H1105" s="97"/>
      <c r="I1105" s="97"/>
      <c r="J1105" s="97"/>
      <c r="K1105" s="98"/>
      <c r="L1105" s="92">
        <v>538121</v>
      </c>
      <c r="M1105" s="92">
        <v>0</v>
      </c>
      <c r="N1105" s="92">
        <v>0</v>
      </c>
      <c r="O1105" s="92">
        <f t="shared" si="268"/>
        <v>538121</v>
      </c>
      <c r="P1105" s="92">
        <v>0</v>
      </c>
      <c r="Q1105" s="93" t="e">
        <f t="shared" si="269"/>
        <v>#DIV/0!</v>
      </c>
      <c r="R1105" s="94"/>
      <c r="S1105" s="285">
        <v>43830</v>
      </c>
    </row>
    <row r="1106" spans="1:19" customFormat="1" ht="31.5">
      <c r="A1106" s="87">
        <f t="shared" si="270"/>
        <v>20</v>
      </c>
      <c r="B1106" s="234" t="s">
        <v>332</v>
      </c>
      <c r="C1106" s="97">
        <v>1963</v>
      </c>
      <c r="D1106" s="97"/>
      <c r="E1106" s="89" t="s">
        <v>218</v>
      </c>
      <c r="F1106" s="97">
        <v>4</v>
      </c>
      <c r="G1106" s="97">
        <v>3</v>
      </c>
      <c r="H1106" s="97"/>
      <c r="I1106" s="97"/>
      <c r="J1106" s="97"/>
      <c r="K1106" s="98"/>
      <c r="L1106" s="92">
        <v>1756852</v>
      </c>
      <c r="M1106" s="92">
        <v>0</v>
      </c>
      <c r="N1106" s="92">
        <v>0</v>
      </c>
      <c r="O1106" s="92">
        <f t="shared" si="268"/>
        <v>1756852</v>
      </c>
      <c r="P1106" s="92">
        <v>0</v>
      </c>
      <c r="Q1106" s="93" t="e">
        <f t="shared" si="269"/>
        <v>#DIV/0!</v>
      </c>
      <c r="R1106" s="94"/>
      <c r="S1106" s="285">
        <v>43830</v>
      </c>
    </row>
    <row r="1107" spans="1:19" customFormat="1" ht="15.75">
      <c r="A1107" s="87">
        <f t="shared" si="270"/>
        <v>21</v>
      </c>
      <c r="B1107" s="234" t="s">
        <v>316</v>
      </c>
      <c r="C1107" s="88">
        <v>1974</v>
      </c>
      <c r="D1107" s="88"/>
      <c r="E1107" s="89" t="s">
        <v>219</v>
      </c>
      <c r="F1107" s="88">
        <v>5</v>
      </c>
      <c r="G1107" s="88">
        <v>4</v>
      </c>
      <c r="H1107" s="90"/>
      <c r="I1107" s="90"/>
      <c r="J1107" s="90"/>
      <c r="K1107" s="91"/>
      <c r="L1107" s="92">
        <v>676398.28</v>
      </c>
      <c r="M1107" s="92">
        <v>0</v>
      </c>
      <c r="N1107" s="92">
        <v>0</v>
      </c>
      <c r="O1107" s="92">
        <f t="shared" si="268"/>
        <v>676398.28</v>
      </c>
      <c r="P1107" s="92">
        <v>0</v>
      </c>
      <c r="Q1107" s="93" t="e">
        <f t="shared" si="269"/>
        <v>#DIV/0!</v>
      </c>
      <c r="R1107" s="94"/>
      <c r="S1107" s="285">
        <v>43830</v>
      </c>
    </row>
    <row r="1108" spans="1:19" customFormat="1" ht="31.5">
      <c r="A1108" s="87">
        <f t="shared" si="270"/>
        <v>22</v>
      </c>
      <c r="B1108" s="225" t="s">
        <v>313</v>
      </c>
      <c r="C1108" s="88">
        <v>1951</v>
      </c>
      <c r="D1108" s="88"/>
      <c r="E1108" s="89" t="s">
        <v>218</v>
      </c>
      <c r="F1108" s="88">
        <v>2</v>
      </c>
      <c r="G1108" s="88">
        <v>1</v>
      </c>
      <c r="H1108" s="90"/>
      <c r="I1108" s="90"/>
      <c r="J1108" s="90"/>
      <c r="K1108" s="91"/>
      <c r="L1108" s="92">
        <v>766539</v>
      </c>
      <c r="M1108" s="92">
        <v>0</v>
      </c>
      <c r="N1108" s="92">
        <v>0</v>
      </c>
      <c r="O1108" s="92">
        <f t="shared" si="268"/>
        <v>766539</v>
      </c>
      <c r="P1108" s="92">
        <v>0</v>
      </c>
      <c r="Q1108" s="93" t="e">
        <f t="shared" si="269"/>
        <v>#DIV/0!</v>
      </c>
      <c r="R1108" s="94"/>
      <c r="S1108" s="285">
        <v>43830</v>
      </c>
    </row>
    <row r="1109" spans="1:19" customFormat="1" ht="31.5">
      <c r="A1109" s="87">
        <f t="shared" si="270"/>
        <v>23</v>
      </c>
      <c r="B1109" s="234" t="s">
        <v>312</v>
      </c>
      <c r="C1109" s="97">
        <v>1983</v>
      </c>
      <c r="D1109" s="97"/>
      <c r="E1109" s="89" t="s">
        <v>218</v>
      </c>
      <c r="F1109" s="97">
        <v>9</v>
      </c>
      <c r="G1109" s="97">
        <v>2</v>
      </c>
      <c r="H1109" s="97"/>
      <c r="I1109" s="97"/>
      <c r="J1109" s="97"/>
      <c r="K1109" s="98"/>
      <c r="L1109" s="92">
        <v>1186114</v>
      </c>
      <c r="M1109" s="92">
        <v>0</v>
      </c>
      <c r="N1109" s="92">
        <v>0</v>
      </c>
      <c r="O1109" s="92">
        <f t="shared" si="268"/>
        <v>1186114</v>
      </c>
      <c r="P1109" s="92">
        <v>0</v>
      </c>
      <c r="Q1109" s="93" t="e">
        <f t="shared" si="269"/>
        <v>#DIV/0!</v>
      </c>
      <c r="R1109" s="94"/>
      <c r="S1109" s="285">
        <v>43830</v>
      </c>
    </row>
    <row r="1110" spans="1:19" customFormat="1" ht="31.5">
      <c r="A1110" s="87">
        <f t="shared" si="270"/>
        <v>24</v>
      </c>
      <c r="B1110" s="225" t="s">
        <v>311</v>
      </c>
      <c r="C1110" s="97">
        <v>1958</v>
      </c>
      <c r="D1110" s="97"/>
      <c r="E1110" s="89" t="s">
        <v>218</v>
      </c>
      <c r="F1110" s="97">
        <v>3</v>
      </c>
      <c r="G1110" s="97">
        <v>2</v>
      </c>
      <c r="H1110" s="97"/>
      <c r="I1110" s="97"/>
      <c r="J1110" s="97"/>
      <c r="K1110" s="98"/>
      <c r="L1110" s="92">
        <v>178272.59</v>
      </c>
      <c r="M1110" s="92">
        <v>0</v>
      </c>
      <c r="N1110" s="92">
        <v>0</v>
      </c>
      <c r="O1110" s="92">
        <f t="shared" si="268"/>
        <v>178272.59</v>
      </c>
      <c r="P1110" s="92">
        <v>0</v>
      </c>
      <c r="Q1110" s="93" t="e">
        <f t="shared" si="269"/>
        <v>#DIV/0!</v>
      </c>
      <c r="R1110" s="94"/>
      <c r="S1110" s="285">
        <v>43830</v>
      </c>
    </row>
    <row r="1111" spans="1:19" customFormat="1" ht="31.5">
      <c r="A1111" s="87">
        <f t="shared" si="270"/>
        <v>25</v>
      </c>
      <c r="B1111" s="234" t="s">
        <v>315</v>
      </c>
      <c r="C1111" s="88">
        <v>1963</v>
      </c>
      <c r="D1111" s="88"/>
      <c r="E1111" s="89" t="s">
        <v>218</v>
      </c>
      <c r="F1111" s="88">
        <v>4</v>
      </c>
      <c r="G1111" s="88">
        <v>2</v>
      </c>
      <c r="H1111" s="90"/>
      <c r="I1111" s="90"/>
      <c r="J1111" s="90"/>
      <c r="K1111" s="91"/>
      <c r="L1111" s="92">
        <v>1087116</v>
      </c>
      <c r="M1111" s="92">
        <v>0</v>
      </c>
      <c r="N1111" s="92">
        <v>0</v>
      </c>
      <c r="O1111" s="92">
        <f t="shared" si="268"/>
        <v>1087116</v>
      </c>
      <c r="P1111" s="92">
        <v>0</v>
      </c>
      <c r="Q1111" s="93" t="e">
        <f t="shared" si="269"/>
        <v>#DIV/0!</v>
      </c>
      <c r="R1111" s="94"/>
      <c r="S1111" s="285">
        <v>43830</v>
      </c>
    </row>
    <row r="1112" spans="1:19" customFormat="1" ht="31.5">
      <c r="A1112" s="87">
        <f t="shared" si="270"/>
        <v>26</v>
      </c>
      <c r="B1112" s="234" t="s">
        <v>351</v>
      </c>
      <c r="C1112" s="88">
        <v>1984</v>
      </c>
      <c r="D1112" s="88"/>
      <c r="E1112" s="89" t="s">
        <v>218</v>
      </c>
      <c r="F1112" s="88">
        <v>9</v>
      </c>
      <c r="G1112" s="88">
        <v>2</v>
      </c>
      <c r="H1112" s="90"/>
      <c r="I1112" s="90"/>
      <c r="J1112" s="90"/>
      <c r="K1112" s="91"/>
      <c r="L1112" s="92">
        <v>1411363</v>
      </c>
      <c r="M1112" s="92">
        <v>0</v>
      </c>
      <c r="N1112" s="92">
        <v>0</v>
      </c>
      <c r="O1112" s="92">
        <f t="shared" si="268"/>
        <v>1411363</v>
      </c>
      <c r="P1112" s="92">
        <v>0</v>
      </c>
      <c r="Q1112" s="93" t="e">
        <f t="shared" si="269"/>
        <v>#DIV/0!</v>
      </c>
      <c r="R1112" s="94"/>
      <c r="S1112" s="285">
        <v>43830</v>
      </c>
    </row>
    <row r="1113" spans="1:19" customFormat="1" ht="31.5">
      <c r="A1113" s="87">
        <f t="shared" si="270"/>
        <v>27</v>
      </c>
      <c r="B1113" s="234" t="s">
        <v>314</v>
      </c>
      <c r="C1113" s="88">
        <v>1964</v>
      </c>
      <c r="D1113" s="88"/>
      <c r="E1113" s="89" t="s">
        <v>218</v>
      </c>
      <c r="F1113" s="88">
        <v>4</v>
      </c>
      <c r="G1113" s="88">
        <v>2</v>
      </c>
      <c r="H1113" s="90"/>
      <c r="I1113" s="90"/>
      <c r="J1113" s="90"/>
      <c r="K1113" s="91"/>
      <c r="L1113" s="92">
        <v>1136666</v>
      </c>
      <c r="M1113" s="92">
        <v>0</v>
      </c>
      <c r="N1113" s="92">
        <v>0</v>
      </c>
      <c r="O1113" s="92">
        <f t="shared" si="268"/>
        <v>1136666</v>
      </c>
      <c r="P1113" s="92">
        <v>0</v>
      </c>
      <c r="Q1113" s="93" t="e">
        <f t="shared" si="269"/>
        <v>#DIV/0!</v>
      </c>
      <c r="R1113" s="94"/>
      <c r="S1113" s="285">
        <v>43830</v>
      </c>
    </row>
    <row r="1114" spans="1:19" customFormat="1" ht="31.5">
      <c r="A1114" s="87">
        <f t="shared" si="270"/>
        <v>28</v>
      </c>
      <c r="B1114" s="234" t="s">
        <v>369</v>
      </c>
      <c r="C1114" s="97">
        <v>1959</v>
      </c>
      <c r="D1114" s="97"/>
      <c r="E1114" s="89" t="s">
        <v>218</v>
      </c>
      <c r="F1114" s="97">
        <v>4</v>
      </c>
      <c r="G1114" s="97">
        <v>6</v>
      </c>
      <c r="H1114" s="97"/>
      <c r="I1114" s="97"/>
      <c r="J1114" s="97"/>
      <c r="K1114" s="98"/>
      <c r="L1114" s="92">
        <v>1385674</v>
      </c>
      <c r="M1114" s="92">
        <v>0</v>
      </c>
      <c r="N1114" s="92">
        <v>0</v>
      </c>
      <c r="O1114" s="92">
        <f t="shared" si="268"/>
        <v>1385674</v>
      </c>
      <c r="P1114" s="92">
        <v>0</v>
      </c>
      <c r="Q1114" s="93" t="e">
        <f t="shared" si="269"/>
        <v>#DIV/0!</v>
      </c>
      <c r="R1114" s="94"/>
      <c r="S1114" s="285">
        <v>43830</v>
      </c>
    </row>
    <row r="1115" spans="1:19" customFormat="1" ht="31.5">
      <c r="A1115" s="87">
        <f t="shared" si="270"/>
        <v>29</v>
      </c>
      <c r="B1115" s="234" t="s">
        <v>370</v>
      </c>
      <c r="C1115" s="97">
        <v>1937</v>
      </c>
      <c r="D1115" s="97"/>
      <c r="E1115" s="89" t="s">
        <v>218</v>
      </c>
      <c r="F1115" s="97">
        <v>4</v>
      </c>
      <c r="G1115" s="97">
        <v>9</v>
      </c>
      <c r="H1115" s="97"/>
      <c r="I1115" s="97"/>
      <c r="J1115" s="97"/>
      <c r="K1115" s="98"/>
      <c r="L1115" s="92">
        <v>4619990</v>
      </c>
      <c r="M1115" s="92">
        <v>0</v>
      </c>
      <c r="N1115" s="92">
        <v>0</v>
      </c>
      <c r="O1115" s="92">
        <f t="shared" si="268"/>
        <v>4619990</v>
      </c>
      <c r="P1115" s="92">
        <v>0</v>
      </c>
      <c r="Q1115" s="93" t="e">
        <f t="shared" si="269"/>
        <v>#DIV/0!</v>
      </c>
      <c r="R1115" s="94"/>
      <c r="S1115" s="285">
        <v>43830</v>
      </c>
    </row>
    <row r="1116" spans="1:19" customFormat="1" ht="31.5">
      <c r="A1116" s="87">
        <f t="shared" si="270"/>
        <v>30</v>
      </c>
      <c r="B1116" s="234" t="s">
        <v>373</v>
      </c>
      <c r="C1116" s="97">
        <v>1960</v>
      </c>
      <c r="D1116" s="97"/>
      <c r="E1116" s="89" t="s">
        <v>218</v>
      </c>
      <c r="F1116" s="97">
        <v>4</v>
      </c>
      <c r="G1116" s="97">
        <v>3</v>
      </c>
      <c r="H1116" s="97"/>
      <c r="I1116" s="97"/>
      <c r="J1116" s="97"/>
      <c r="K1116" s="98"/>
      <c r="L1116" s="92">
        <v>1865304</v>
      </c>
      <c r="M1116" s="92">
        <v>0</v>
      </c>
      <c r="N1116" s="92">
        <v>0</v>
      </c>
      <c r="O1116" s="92">
        <f t="shared" si="268"/>
        <v>1865304</v>
      </c>
      <c r="P1116" s="92">
        <v>0</v>
      </c>
      <c r="Q1116" s="93" t="e">
        <f t="shared" si="269"/>
        <v>#DIV/0!</v>
      </c>
      <c r="R1116" s="94"/>
      <c r="S1116" s="285">
        <v>43830</v>
      </c>
    </row>
    <row r="1117" spans="1:19" customFormat="1" ht="31.5">
      <c r="A1117" s="87">
        <f t="shared" si="270"/>
        <v>31</v>
      </c>
      <c r="B1117" s="234" t="s">
        <v>381</v>
      </c>
      <c r="C1117" s="88">
        <v>1961</v>
      </c>
      <c r="D1117" s="88"/>
      <c r="E1117" s="89" t="s">
        <v>218</v>
      </c>
      <c r="F1117" s="88">
        <v>5</v>
      </c>
      <c r="G1117" s="88">
        <v>4</v>
      </c>
      <c r="H1117" s="90"/>
      <c r="I1117" s="90"/>
      <c r="J1117" s="90"/>
      <c r="K1117" s="91"/>
      <c r="L1117" s="92">
        <v>1870910</v>
      </c>
      <c r="M1117" s="92">
        <v>0</v>
      </c>
      <c r="N1117" s="92">
        <v>0</v>
      </c>
      <c r="O1117" s="92">
        <f t="shared" si="268"/>
        <v>1870910</v>
      </c>
      <c r="P1117" s="92">
        <v>0</v>
      </c>
      <c r="Q1117" s="93" t="e">
        <f t="shared" si="269"/>
        <v>#DIV/0!</v>
      </c>
      <c r="R1117" s="94"/>
      <c r="S1117" s="285">
        <v>43830</v>
      </c>
    </row>
    <row r="1118" spans="1:19" customFormat="1" ht="31.5">
      <c r="A1118" s="87">
        <f t="shared" si="270"/>
        <v>32</v>
      </c>
      <c r="B1118" s="234" t="s">
        <v>382</v>
      </c>
      <c r="C1118" s="88">
        <v>1960</v>
      </c>
      <c r="D1118" s="88"/>
      <c r="E1118" s="89" t="s">
        <v>218</v>
      </c>
      <c r="F1118" s="88">
        <v>5</v>
      </c>
      <c r="G1118" s="88">
        <v>4</v>
      </c>
      <c r="H1118" s="90"/>
      <c r="I1118" s="90"/>
      <c r="J1118" s="90"/>
      <c r="K1118" s="91"/>
      <c r="L1118" s="92">
        <v>1533757</v>
      </c>
      <c r="M1118" s="92">
        <v>0</v>
      </c>
      <c r="N1118" s="92">
        <v>0</v>
      </c>
      <c r="O1118" s="92">
        <f t="shared" si="268"/>
        <v>1533757</v>
      </c>
      <c r="P1118" s="92">
        <v>0</v>
      </c>
      <c r="Q1118" s="93" t="e">
        <f t="shared" si="269"/>
        <v>#DIV/0!</v>
      </c>
      <c r="R1118" s="94"/>
      <c r="S1118" s="285">
        <v>43830</v>
      </c>
    </row>
    <row r="1119" spans="1:19" customFormat="1" ht="31.5">
      <c r="A1119" s="87">
        <f t="shared" si="270"/>
        <v>33</v>
      </c>
      <c r="B1119" s="234" t="s">
        <v>371</v>
      </c>
      <c r="C1119" s="97">
        <v>1960</v>
      </c>
      <c r="D1119" s="97"/>
      <c r="E1119" s="89" t="s">
        <v>218</v>
      </c>
      <c r="F1119" s="97">
        <v>5</v>
      </c>
      <c r="G1119" s="97">
        <v>4</v>
      </c>
      <c r="H1119" s="97"/>
      <c r="I1119" s="97"/>
      <c r="J1119" s="97"/>
      <c r="K1119" s="98"/>
      <c r="L1119" s="92">
        <v>939858</v>
      </c>
      <c r="M1119" s="92">
        <v>0</v>
      </c>
      <c r="N1119" s="92">
        <v>0</v>
      </c>
      <c r="O1119" s="92">
        <f t="shared" si="268"/>
        <v>939858</v>
      </c>
      <c r="P1119" s="92">
        <v>0</v>
      </c>
      <c r="Q1119" s="93" t="e">
        <f t="shared" si="269"/>
        <v>#DIV/0!</v>
      </c>
      <c r="R1119" s="94"/>
      <c r="S1119" s="285">
        <v>43830</v>
      </c>
    </row>
    <row r="1120" spans="1:19" customFormat="1" ht="15.75">
      <c r="A1120" s="87">
        <f t="shared" si="270"/>
        <v>34</v>
      </c>
      <c r="B1120" s="225" t="s">
        <v>377</v>
      </c>
      <c r="C1120" s="88">
        <v>1973</v>
      </c>
      <c r="D1120" s="88"/>
      <c r="E1120" s="89" t="s">
        <v>219</v>
      </c>
      <c r="F1120" s="88">
        <v>5</v>
      </c>
      <c r="G1120" s="88">
        <v>6</v>
      </c>
      <c r="H1120" s="90"/>
      <c r="I1120" s="90"/>
      <c r="J1120" s="90"/>
      <c r="K1120" s="91"/>
      <c r="L1120" s="92">
        <v>2368392</v>
      </c>
      <c r="M1120" s="92">
        <v>0</v>
      </c>
      <c r="N1120" s="92">
        <v>0</v>
      </c>
      <c r="O1120" s="92">
        <f t="shared" si="268"/>
        <v>2368392</v>
      </c>
      <c r="P1120" s="92">
        <v>0</v>
      </c>
      <c r="Q1120" s="93" t="e">
        <f t="shared" si="269"/>
        <v>#DIV/0!</v>
      </c>
      <c r="R1120" s="94"/>
      <c r="S1120" s="285">
        <v>43830</v>
      </c>
    </row>
    <row r="1121" spans="1:48" customFormat="1" ht="31.5">
      <c r="A1121" s="87">
        <f t="shared" si="270"/>
        <v>35</v>
      </c>
      <c r="B1121" s="225" t="s">
        <v>378</v>
      </c>
      <c r="C1121" s="88">
        <v>1961</v>
      </c>
      <c r="D1121" s="88"/>
      <c r="E1121" s="89" t="s">
        <v>218</v>
      </c>
      <c r="F1121" s="88">
        <v>5</v>
      </c>
      <c r="G1121" s="88">
        <v>2</v>
      </c>
      <c r="H1121" s="90"/>
      <c r="I1121" s="90"/>
      <c r="J1121" s="90"/>
      <c r="K1121" s="91"/>
      <c r="L1121" s="92">
        <v>2433930.91</v>
      </c>
      <c r="M1121" s="92">
        <v>0</v>
      </c>
      <c r="N1121" s="92">
        <v>0</v>
      </c>
      <c r="O1121" s="92">
        <f t="shared" si="268"/>
        <v>2433930.91</v>
      </c>
      <c r="P1121" s="92">
        <v>0</v>
      </c>
      <c r="Q1121" s="93" t="e">
        <f t="shared" si="269"/>
        <v>#DIV/0!</v>
      </c>
      <c r="R1121" s="94"/>
      <c r="S1121" s="285">
        <v>43830</v>
      </c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</row>
    <row r="1122" spans="1:48" customFormat="1" ht="31.5">
      <c r="A1122" s="87">
        <f t="shared" si="270"/>
        <v>36</v>
      </c>
      <c r="B1122" s="234" t="s">
        <v>383</v>
      </c>
      <c r="C1122" s="88">
        <v>1964</v>
      </c>
      <c r="D1122" s="88"/>
      <c r="E1122" s="89" t="s">
        <v>218</v>
      </c>
      <c r="F1122" s="88">
        <v>5</v>
      </c>
      <c r="G1122" s="88">
        <v>4</v>
      </c>
      <c r="H1122" s="90"/>
      <c r="I1122" s="90"/>
      <c r="J1122" s="90"/>
      <c r="K1122" s="91"/>
      <c r="L1122" s="92">
        <v>1721850</v>
      </c>
      <c r="M1122" s="92">
        <v>0</v>
      </c>
      <c r="N1122" s="92">
        <v>0</v>
      </c>
      <c r="O1122" s="92">
        <f t="shared" si="268"/>
        <v>1721850</v>
      </c>
      <c r="P1122" s="92">
        <v>0</v>
      </c>
      <c r="Q1122" s="93" t="e">
        <f t="shared" si="269"/>
        <v>#DIV/0!</v>
      </c>
      <c r="R1122" s="94"/>
      <c r="S1122" s="285">
        <v>43830</v>
      </c>
    </row>
    <row r="1123" spans="1:48" s="1" customFormat="1" ht="31.5">
      <c r="A1123" s="87">
        <f t="shared" si="270"/>
        <v>37</v>
      </c>
      <c r="B1123" s="234" t="s">
        <v>368</v>
      </c>
      <c r="C1123" s="97">
        <v>1957</v>
      </c>
      <c r="D1123" s="97"/>
      <c r="E1123" s="89" t="s">
        <v>218</v>
      </c>
      <c r="F1123" s="97">
        <v>4</v>
      </c>
      <c r="G1123" s="97">
        <v>4</v>
      </c>
      <c r="H1123" s="97"/>
      <c r="I1123" s="97"/>
      <c r="J1123" s="97"/>
      <c r="K1123" s="98"/>
      <c r="L1123" s="92">
        <v>814117</v>
      </c>
      <c r="M1123" s="92">
        <v>0</v>
      </c>
      <c r="N1123" s="92">
        <v>0</v>
      </c>
      <c r="O1123" s="92">
        <f t="shared" si="268"/>
        <v>814117</v>
      </c>
      <c r="P1123" s="92">
        <v>0</v>
      </c>
      <c r="Q1123" s="93" t="e">
        <f t="shared" si="269"/>
        <v>#DIV/0!</v>
      </c>
      <c r="R1123" s="94"/>
      <c r="S1123" s="285">
        <v>43830</v>
      </c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</row>
    <row r="1124" spans="1:48" customFormat="1" ht="31.5">
      <c r="A1124" s="87">
        <f t="shared" si="270"/>
        <v>38</v>
      </c>
      <c r="B1124" s="234" t="s">
        <v>375</v>
      </c>
      <c r="C1124" s="88">
        <v>1957</v>
      </c>
      <c r="D1124" s="88"/>
      <c r="E1124" s="89" t="s">
        <v>218</v>
      </c>
      <c r="F1124" s="88">
        <v>4</v>
      </c>
      <c r="G1124" s="88">
        <v>4</v>
      </c>
      <c r="H1124" s="90"/>
      <c r="I1124" s="90"/>
      <c r="J1124" s="90"/>
      <c r="K1124" s="91"/>
      <c r="L1124" s="92">
        <v>3045081</v>
      </c>
      <c r="M1124" s="92">
        <v>0</v>
      </c>
      <c r="N1124" s="92">
        <v>0</v>
      </c>
      <c r="O1124" s="92">
        <f t="shared" si="268"/>
        <v>3045081</v>
      </c>
      <c r="P1124" s="92">
        <v>0</v>
      </c>
      <c r="Q1124" s="93" t="e">
        <f t="shared" si="269"/>
        <v>#DIV/0!</v>
      </c>
      <c r="R1124" s="94"/>
      <c r="S1124" s="285">
        <v>43830</v>
      </c>
    </row>
    <row r="1125" spans="1:48" customFormat="1" ht="31.5">
      <c r="A1125" s="87">
        <f t="shared" si="270"/>
        <v>39</v>
      </c>
      <c r="B1125" s="234" t="s">
        <v>380</v>
      </c>
      <c r="C1125" s="88">
        <v>1954</v>
      </c>
      <c r="D1125" s="88"/>
      <c r="E1125" s="89" t="s">
        <v>218</v>
      </c>
      <c r="F1125" s="88">
        <v>3</v>
      </c>
      <c r="G1125" s="88">
        <v>3</v>
      </c>
      <c r="H1125" s="90"/>
      <c r="I1125" s="90"/>
      <c r="J1125" s="90"/>
      <c r="K1125" s="91"/>
      <c r="L1125" s="92">
        <v>2244806</v>
      </c>
      <c r="M1125" s="92">
        <v>0</v>
      </c>
      <c r="N1125" s="92">
        <v>0</v>
      </c>
      <c r="O1125" s="92">
        <f t="shared" si="268"/>
        <v>2244806</v>
      </c>
      <c r="P1125" s="92">
        <v>0</v>
      </c>
      <c r="Q1125" s="93" t="e">
        <f t="shared" si="269"/>
        <v>#DIV/0!</v>
      </c>
      <c r="R1125" s="94"/>
      <c r="S1125" s="285">
        <v>43830</v>
      </c>
    </row>
    <row r="1126" spans="1:48" customFormat="1" ht="31.5">
      <c r="A1126" s="87">
        <f t="shared" si="270"/>
        <v>40</v>
      </c>
      <c r="B1126" s="234" t="s">
        <v>374</v>
      </c>
      <c r="C1126" s="88">
        <v>1963</v>
      </c>
      <c r="D1126" s="88"/>
      <c r="E1126" s="89" t="s">
        <v>218</v>
      </c>
      <c r="F1126" s="88">
        <v>4</v>
      </c>
      <c r="G1126" s="88">
        <v>2</v>
      </c>
      <c r="H1126" s="90"/>
      <c r="I1126" s="90"/>
      <c r="J1126" s="90"/>
      <c r="K1126" s="91"/>
      <c r="L1126" s="92">
        <v>1361273</v>
      </c>
      <c r="M1126" s="92">
        <v>0</v>
      </c>
      <c r="N1126" s="92">
        <v>0</v>
      </c>
      <c r="O1126" s="92">
        <f t="shared" si="268"/>
        <v>1361273</v>
      </c>
      <c r="P1126" s="92">
        <v>0</v>
      </c>
      <c r="Q1126" s="93" t="e">
        <f t="shared" si="269"/>
        <v>#DIV/0!</v>
      </c>
      <c r="R1126" s="94"/>
      <c r="S1126" s="285">
        <v>43830</v>
      </c>
    </row>
    <row r="1127" spans="1:48" customFormat="1" ht="31.5">
      <c r="A1127" s="87">
        <f t="shared" si="270"/>
        <v>41</v>
      </c>
      <c r="B1127" s="234" t="s">
        <v>469</v>
      </c>
      <c r="C1127" s="88">
        <v>1959</v>
      </c>
      <c r="D1127" s="88"/>
      <c r="E1127" s="89" t="s">
        <v>218</v>
      </c>
      <c r="F1127" s="88">
        <v>4</v>
      </c>
      <c r="G1127" s="88">
        <v>4</v>
      </c>
      <c r="H1127" s="90"/>
      <c r="I1127" s="90"/>
      <c r="J1127" s="90"/>
      <c r="K1127" s="91"/>
      <c r="L1127" s="92">
        <v>2421596</v>
      </c>
      <c r="M1127" s="92">
        <v>0</v>
      </c>
      <c r="N1127" s="92">
        <v>0</v>
      </c>
      <c r="O1127" s="92">
        <f t="shared" si="268"/>
        <v>2421596</v>
      </c>
      <c r="P1127" s="92">
        <v>0</v>
      </c>
      <c r="Q1127" s="93" t="e">
        <f t="shared" si="269"/>
        <v>#DIV/0!</v>
      </c>
      <c r="R1127" s="94"/>
      <c r="S1127" s="285">
        <v>43830</v>
      </c>
    </row>
    <row r="1128" spans="1:48" customFormat="1" ht="31.5">
      <c r="A1128" s="87">
        <f t="shared" si="270"/>
        <v>42</v>
      </c>
      <c r="B1128" s="234" t="s">
        <v>379</v>
      </c>
      <c r="C1128" s="88">
        <v>1967</v>
      </c>
      <c r="D1128" s="88"/>
      <c r="E1128" s="89" t="s">
        <v>218</v>
      </c>
      <c r="F1128" s="88">
        <v>6</v>
      </c>
      <c r="G1128" s="88">
        <v>5</v>
      </c>
      <c r="H1128" s="90"/>
      <c r="I1128" s="90"/>
      <c r="J1128" s="90"/>
      <c r="K1128" s="91"/>
      <c r="L1128" s="92">
        <v>2056315</v>
      </c>
      <c r="M1128" s="92">
        <v>0</v>
      </c>
      <c r="N1128" s="92">
        <v>0</v>
      </c>
      <c r="O1128" s="92">
        <f t="shared" si="268"/>
        <v>2056315</v>
      </c>
      <c r="P1128" s="92">
        <v>0</v>
      </c>
      <c r="Q1128" s="93" t="e">
        <f t="shared" si="269"/>
        <v>#DIV/0!</v>
      </c>
      <c r="R1128" s="94"/>
      <c r="S1128" s="285">
        <v>43830</v>
      </c>
    </row>
    <row r="1129" spans="1:48" customFormat="1" ht="31.5">
      <c r="A1129" s="87">
        <f t="shared" si="270"/>
        <v>43</v>
      </c>
      <c r="B1129" s="234" t="s">
        <v>372</v>
      </c>
      <c r="C1129" s="97">
        <v>1975</v>
      </c>
      <c r="D1129" s="97"/>
      <c r="E1129" s="89" t="s">
        <v>218</v>
      </c>
      <c r="F1129" s="97">
        <v>9</v>
      </c>
      <c r="G1129" s="97">
        <v>5</v>
      </c>
      <c r="H1129" s="97"/>
      <c r="I1129" s="97"/>
      <c r="J1129" s="97"/>
      <c r="K1129" s="98"/>
      <c r="L1129" s="92">
        <v>9473593</v>
      </c>
      <c r="M1129" s="92">
        <v>0</v>
      </c>
      <c r="N1129" s="92">
        <v>0</v>
      </c>
      <c r="O1129" s="92">
        <f t="shared" si="268"/>
        <v>9473593</v>
      </c>
      <c r="P1129" s="92">
        <v>0</v>
      </c>
      <c r="Q1129" s="93" t="e">
        <f t="shared" si="269"/>
        <v>#DIV/0!</v>
      </c>
      <c r="R1129" s="94"/>
      <c r="S1129" s="285">
        <v>43830</v>
      </c>
    </row>
    <row r="1130" spans="1:48" customFormat="1" ht="31.5">
      <c r="A1130" s="87">
        <f t="shared" si="270"/>
        <v>44</v>
      </c>
      <c r="B1130" s="225" t="s">
        <v>344</v>
      </c>
      <c r="C1130" s="87">
        <v>1968</v>
      </c>
      <c r="D1130" s="88"/>
      <c r="E1130" s="89" t="s">
        <v>218</v>
      </c>
      <c r="F1130" s="88">
        <v>5</v>
      </c>
      <c r="G1130" s="88">
        <v>6</v>
      </c>
      <c r="H1130" s="96"/>
      <c r="I1130" s="96"/>
      <c r="J1130" s="82"/>
      <c r="K1130" s="81"/>
      <c r="L1130" s="92">
        <v>4441828</v>
      </c>
      <c r="M1130" s="92">
        <v>0</v>
      </c>
      <c r="N1130" s="92">
        <v>0</v>
      </c>
      <c r="O1130" s="92">
        <f t="shared" si="268"/>
        <v>4441828</v>
      </c>
      <c r="P1130" s="92">
        <v>0</v>
      </c>
      <c r="Q1130" s="93" t="e">
        <f t="shared" si="269"/>
        <v>#DIV/0!</v>
      </c>
      <c r="R1130" s="94"/>
      <c r="S1130" s="285">
        <v>43830</v>
      </c>
    </row>
    <row r="1131" spans="1:48" customFormat="1" ht="15.75">
      <c r="A1131" s="87">
        <f t="shared" si="270"/>
        <v>45</v>
      </c>
      <c r="B1131" s="234" t="s">
        <v>348</v>
      </c>
      <c r="C1131" s="88">
        <v>1977</v>
      </c>
      <c r="D1131" s="88"/>
      <c r="E1131" s="89" t="s">
        <v>219</v>
      </c>
      <c r="F1131" s="88">
        <v>5</v>
      </c>
      <c r="G1131" s="88">
        <v>8</v>
      </c>
      <c r="H1131" s="90"/>
      <c r="I1131" s="90"/>
      <c r="J1131" s="90"/>
      <c r="K1131" s="91"/>
      <c r="L1131" s="92">
        <v>3051089</v>
      </c>
      <c r="M1131" s="92">
        <v>0</v>
      </c>
      <c r="N1131" s="92">
        <v>0</v>
      </c>
      <c r="O1131" s="92">
        <f t="shared" si="268"/>
        <v>3051089</v>
      </c>
      <c r="P1131" s="92">
        <v>0</v>
      </c>
      <c r="Q1131" s="93" t="e">
        <f t="shared" si="269"/>
        <v>#DIV/0!</v>
      </c>
      <c r="R1131" s="94"/>
      <c r="S1131" s="285">
        <v>43830</v>
      </c>
    </row>
    <row r="1132" spans="1:48" customFormat="1" ht="31.5">
      <c r="A1132" s="87">
        <f t="shared" si="270"/>
        <v>46</v>
      </c>
      <c r="B1132" s="225" t="s">
        <v>386</v>
      </c>
      <c r="C1132" s="97">
        <v>1956</v>
      </c>
      <c r="D1132" s="97"/>
      <c r="E1132" s="89" t="s">
        <v>218</v>
      </c>
      <c r="F1132" s="97">
        <v>2</v>
      </c>
      <c r="G1132" s="97">
        <v>2</v>
      </c>
      <c r="H1132" s="97"/>
      <c r="I1132" s="97"/>
      <c r="J1132" s="97"/>
      <c r="K1132" s="98"/>
      <c r="L1132" s="92">
        <v>869749</v>
      </c>
      <c r="M1132" s="92">
        <v>0</v>
      </c>
      <c r="N1132" s="92">
        <v>0</v>
      </c>
      <c r="O1132" s="92">
        <f t="shared" si="268"/>
        <v>869749</v>
      </c>
      <c r="P1132" s="92">
        <v>0</v>
      </c>
      <c r="Q1132" s="93" t="e">
        <f t="shared" si="269"/>
        <v>#DIV/0!</v>
      </c>
      <c r="R1132" s="94"/>
      <c r="S1132" s="285">
        <v>43830</v>
      </c>
    </row>
    <row r="1133" spans="1:48" customFormat="1" ht="31.5">
      <c r="A1133" s="87">
        <f t="shared" si="270"/>
        <v>47</v>
      </c>
      <c r="B1133" s="225" t="s">
        <v>461</v>
      </c>
      <c r="C1133" s="88">
        <v>1956</v>
      </c>
      <c r="D1133" s="88"/>
      <c r="E1133" s="89" t="s">
        <v>218</v>
      </c>
      <c r="F1133" s="88">
        <v>2</v>
      </c>
      <c r="G1133" s="88">
        <v>2</v>
      </c>
      <c r="H1133" s="90"/>
      <c r="I1133" s="90"/>
      <c r="J1133" s="90"/>
      <c r="K1133" s="91"/>
      <c r="L1133" s="92">
        <v>869880</v>
      </c>
      <c r="M1133" s="92">
        <v>0</v>
      </c>
      <c r="N1133" s="92">
        <v>0</v>
      </c>
      <c r="O1133" s="92">
        <f t="shared" si="268"/>
        <v>869880</v>
      </c>
      <c r="P1133" s="92">
        <v>0</v>
      </c>
      <c r="Q1133" s="93" t="e">
        <f t="shared" si="269"/>
        <v>#DIV/0!</v>
      </c>
      <c r="R1133" s="94"/>
      <c r="S1133" s="285">
        <v>43830</v>
      </c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</row>
    <row r="1134" spans="1:48" customFormat="1" ht="31.5">
      <c r="A1134" s="87">
        <f t="shared" si="270"/>
        <v>48</v>
      </c>
      <c r="B1134" s="234" t="s">
        <v>462</v>
      </c>
      <c r="C1134" s="88">
        <v>1959</v>
      </c>
      <c r="D1134" s="95"/>
      <c r="E1134" s="89" t="s">
        <v>218</v>
      </c>
      <c r="F1134" s="88">
        <v>2</v>
      </c>
      <c r="G1134" s="88">
        <v>2</v>
      </c>
      <c r="H1134" s="90"/>
      <c r="I1134" s="90"/>
      <c r="J1134" s="90"/>
      <c r="K1134" s="91"/>
      <c r="L1134" s="92">
        <v>172302</v>
      </c>
      <c r="M1134" s="92">
        <v>0</v>
      </c>
      <c r="N1134" s="92">
        <v>0</v>
      </c>
      <c r="O1134" s="92">
        <f t="shared" si="268"/>
        <v>172302</v>
      </c>
      <c r="P1134" s="92">
        <v>0</v>
      </c>
      <c r="Q1134" s="93" t="e">
        <f t="shared" si="269"/>
        <v>#DIV/0!</v>
      </c>
      <c r="R1134" s="94"/>
      <c r="S1134" s="285">
        <v>43830</v>
      </c>
    </row>
    <row r="1135" spans="1:48" customFormat="1" ht="31.5">
      <c r="A1135" s="87">
        <f t="shared" si="270"/>
        <v>49</v>
      </c>
      <c r="B1135" s="234" t="s">
        <v>389</v>
      </c>
      <c r="C1135" s="88">
        <v>1910</v>
      </c>
      <c r="D1135" s="88"/>
      <c r="E1135" s="89" t="s">
        <v>218</v>
      </c>
      <c r="F1135" s="88">
        <v>4</v>
      </c>
      <c r="G1135" s="88">
        <v>1</v>
      </c>
      <c r="H1135" s="90"/>
      <c r="I1135" s="90"/>
      <c r="J1135" s="90"/>
      <c r="K1135" s="91"/>
      <c r="L1135" s="92">
        <v>3706393</v>
      </c>
      <c r="M1135" s="92">
        <v>0</v>
      </c>
      <c r="N1135" s="92">
        <v>0</v>
      </c>
      <c r="O1135" s="92">
        <f t="shared" si="268"/>
        <v>3706393</v>
      </c>
      <c r="P1135" s="92">
        <v>0</v>
      </c>
      <c r="Q1135" s="93" t="e">
        <f t="shared" si="269"/>
        <v>#DIV/0!</v>
      </c>
      <c r="R1135" s="94"/>
      <c r="S1135" s="285">
        <v>43830</v>
      </c>
    </row>
    <row r="1136" spans="1:48" customFormat="1" ht="31.5">
      <c r="A1136" s="87">
        <f t="shared" si="270"/>
        <v>50</v>
      </c>
      <c r="B1136" s="234" t="s">
        <v>317</v>
      </c>
      <c r="C1136" s="97">
        <v>1914</v>
      </c>
      <c r="D1136" s="97"/>
      <c r="E1136" s="89" t="s">
        <v>218</v>
      </c>
      <c r="F1136" s="97">
        <v>4</v>
      </c>
      <c r="G1136" s="97">
        <v>5</v>
      </c>
      <c r="H1136" s="97"/>
      <c r="I1136" s="97"/>
      <c r="J1136" s="97"/>
      <c r="K1136" s="98"/>
      <c r="L1136" s="92">
        <v>698585</v>
      </c>
      <c r="M1136" s="92">
        <v>0</v>
      </c>
      <c r="N1136" s="92">
        <v>0</v>
      </c>
      <c r="O1136" s="92">
        <f t="shared" si="268"/>
        <v>698585</v>
      </c>
      <c r="P1136" s="92">
        <v>0</v>
      </c>
      <c r="Q1136" s="93" t="e">
        <f t="shared" si="269"/>
        <v>#DIV/0!</v>
      </c>
      <c r="R1136" s="94"/>
      <c r="S1136" s="285">
        <v>43830</v>
      </c>
    </row>
    <row r="1137" spans="1:19" customFormat="1" ht="31.5">
      <c r="A1137" s="87">
        <f t="shared" si="270"/>
        <v>51</v>
      </c>
      <c r="B1137" s="234" t="s">
        <v>384</v>
      </c>
      <c r="C1137" s="97" t="s">
        <v>190</v>
      </c>
      <c r="D1137" s="97"/>
      <c r="E1137" s="89" t="s">
        <v>218</v>
      </c>
      <c r="F1137" s="97">
        <v>2</v>
      </c>
      <c r="G1137" s="97">
        <v>3</v>
      </c>
      <c r="H1137" s="97"/>
      <c r="I1137" s="97"/>
      <c r="J1137" s="97"/>
      <c r="K1137" s="98"/>
      <c r="L1137" s="92">
        <v>951740</v>
      </c>
      <c r="M1137" s="92">
        <v>0</v>
      </c>
      <c r="N1137" s="92">
        <v>0</v>
      </c>
      <c r="O1137" s="92">
        <f t="shared" si="268"/>
        <v>951740</v>
      </c>
      <c r="P1137" s="92">
        <v>0</v>
      </c>
      <c r="Q1137" s="93" t="e">
        <f t="shared" si="269"/>
        <v>#DIV/0!</v>
      </c>
      <c r="R1137" s="94"/>
      <c r="S1137" s="285">
        <v>43830</v>
      </c>
    </row>
    <row r="1138" spans="1:19" customFormat="1" ht="31.5">
      <c r="A1138" s="87">
        <f t="shared" si="270"/>
        <v>52</v>
      </c>
      <c r="B1138" s="225" t="s">
        <v>247</v>
      </c>
      <c r="C1138" s="97">
        <v>1953</v>
      </c>
      <c r="D1138" s="97"/>
      <c r="E1138" s="89" t="s">
        <v>218</v>
      </c>
      <c r="F1138" s="97">
        <v>3</v>
      </c>
      <c r="G1138" s="97">
        <v>3</v>
      </c>
      <c r="H1138" s="97"/>
      <c r="I1138" s="97"/>
      <c r="J1138" s="97"/>
      <c r="K1138" s="98"/>
      <c r="L1138" s="92">
        <v>2056139</v>
      </c>
      <c r="M1138" s="92">
        <v>0</v>
      </c>
      <c r="N1138" s="92">
        <v>0</v>
      </c>
      <c r="O1138" s="92">
        <f t="shared" si="268"/>
        <v>2056139</v>
      </c>
      <c r="P1138" s="92">
        <v>0</v>
      </c>
      <c r="Q1138" s="93" t="e">
        <f t="shared" si="269"/>
        <v>#DIV/0!</v>
      </c>
      <c r="R1138" s="94"/>
      <c r="S1138" s="285">
        <v>43830</v>
      </c>
    </row>
    <row r="1139" spans="1:19" customFormat="1" ht="31.5">
      <c r="A1139" s="87">
        <f t="shared" si="270"/>
        <v>53</v>
      </c>
      <c r="B1139" s="234" t="s">
        <v>274</v>
      </c>
      <c r="C1139" s="87">
        <v>1958</v>
      </c>
      <c r="D1139" s="88"/>
      <c r="E1139" s="89" t="s">
        <v>218</v>
      </c>
      <c r="F1139" s="88">
        <v>2</v>
      </c>
      <c r="G1139" s="88">
        <v>2</v>
      </c>
      <c r="H1139" s="96"/>
      <c r="I1139" s="96"/>
      <c r="J1139" s="96"/>
      <c r="K1139" s="81"/>
      <c r="L1139" s="92">
        <v>1321356</v>
      </c>
      <c r="M1139" s="92">
        <v>0</v>
      </c>
      <c r="N1139" s="92">
        <v>0</v>
      </c>
      <c r="O1139" s="92">
        <f t="shared" si="268"/>
        <v>1321356</v>
      </c>
      <c r="P1139" s="92">
        <v>0</v>
      </c>
      <c r="Q1139" s="93" t="e">
        <f t="shared" si="269"/>
        <v>#DIV/0!</v>
      </c>
      <c r="R1139" s="94"/>
      <c r="S1139" s="285">
        <v>43830</v>
      </c>
    </row>
    <row r="1140" spans="1:19" customFormat="1" ht="31.5">
      <c r="A1140" s="87">
        <f t="shared" si="270"/>
        <v>54</v>
      </c>
      <c r="B1140" s="234" t="s">
        <v>338</v>
      </c>
      <c r="C1140" s="97">
        <v>1959</v>
      </c>
      <c r="D1140" s="97"/>
      <c r="E1140" s="89" t="s">
        <v>218</v>
      </c>
      <c r="F1140" s="97">
        <v>2</v>
      </c>
      <c r="G1140" s="97">
        <v>2</v>
      </c>
      <c r="H1140" s="97"/>
      <c r="I1140" s="97"/>
      <c r="J1140" s="97"/>
      <c r="K1140" s="98"/>
      <c r="L1140" s="92">
        <v>1679278</v>
      </c>
      <c r="M1140" s="92">
        <v>0</v>
      </c>
      <c r="N1140" s="92">
        <v>0</v>
      </c>
      <c r="O1140" s="92">
        <f t="shared" si="268"/>
        <v>1679278</v>
      </c>
      <c r="P1140" s="92">
        <v>0</v>
      </c>
      <c r="Q1140" s="93" t="e">
        <f t="shared" si="269"/>
        <v>#DIV/0!</v>
      </c>
      <c r="R1140" s="94"/>
      <c r="S1140" s="285">
        <v>43830</v>
      </c>
    </row>
    <row r="1141" spans="1:19" customFormat="1" ht="31.5">
      <c r="A1141" s="87">
        <f t="shared" si="270"/>
        <v>55</v>
      </c>
      <c r="B1141" s="234" t="s">
        <v>272</v>
      </c>
      <c r="C1141" s="97">
        <v>1959</v>
      </c>
      <c r="D1141" s="97"/>
      <c r="E1141" s="89" t="s">
        <v>218</v>
      </c>
      <c r="F1141" s="97">
        <v>2</v>
      </c>
      <c r="G1141" s="97">
        <v>2</v>
      </c>
      <c r="H1141" s="97"/>
      <c r="I1141" s="97"/>
      <c r="J1141" s="97"/>
      <c r="K1141" s="98"/>
      <c r="L1141" s="92">
        <v>1100896</v>
      </c>
      <c r="M1141" s="92">
        <v>0</v>
      </c>
      <c r="N1141" s="92">
        <v>0</v>
      </c>
      <c r="O1141" s="92">
        <f t="shared" si="268"/>
        <v>1100896</v>
      </c>
      <c r="P1141" s="92">
        <v>0</v>
      </c>
      <c r="Q1141" s="93" t="e">
        <f t="shared" si="269"/>
        <v>#DIV/0!</v>
      </c>
      <c r="R1141" s="94"/>
      <c r="S1141" s="285">
        <v>43830</v>
      </c>
    </row>
    <row r="1142" spans="1:19" customFormat="1" ht="31.5">
      <c r="A1142" s="87">
        <f t="shared" si="270"/>
        <v>56</v>
      </c>
      <c r="B1142" s="234" t="s">
        <v>337</v>
      </c>
      <c r="C1142" s="97">
        <v>1959</v>
      </c>
      <c r="D1142" s="97"/>
      <c r="E1142" s="89" t="s">
        <v>218</v>
      </c>
      <c r="F1142" s="97">
        <v>2</v>
      </c>
      <c r="G1142" s="97">
        <v>2</v>
      </c>
      <c r="H1142" s="97"/>
      <c r="I1142" s="97"/>
      <c r="J1142" s="97"/>
      <c r="K1142" s="98"/>
      <c r="L1142" s="92">
        <v>1729707</v>
      </c>
      <c r="M1142" s="92">
        <v>0</v>
      </c>
      <c r="N1142" s="92">
        <v>0</v>
      </c>
      <c r="O1142" s="92">
        <f t="shared" si="268"/>
        <v>1729707</v>
      </c>
      <c r="P1142" s="92">
        <v>0</v>
      </c>
      <c r="Q1142" s="93" t="e">
        <f t="shared" si="269"/>
        <v>#DIV/0!</v>
      </c>
      <c r="R1142" s="94"/>
      <c r="S1142" s="285">
        <v>43830</v>
      </c>
    </row>
    <row r="1143" spans="1:19" customFormat="1" ht="31.5">
      <c r="A1143" s="87">
        <f t="shared" si="270"/>
        <v>57</v>
      </c>
      <c r="B1143" s="225" t="s">
        <v>257</v>
      </c>
      <c r="C1143" s="97">
        <v>1959</v>
      </c>
      <c r="D1143" s="97"/>
      <c r="E1143" s="89" t="s">
        <v>218</v>
      </c>
      <c r="F1143" s="97">
        <v>2</v>
      </c>
      <c r="G1143" s="97">
        <v>2</v>
      </c>
      <c r="H1143" s="97"/>
      <c r="I1143" s="97"/>
      <c r="J1143" s="97"/>
      <c r="K1143" s="98"/>
      <c r="L1143" s="92">
        <v>451222.57</v>
      </c>
      <c r="M1143" s="92">
        <v>0</v>
      </c>
      <c r="N1143" s="92">
        <v>0</v>
      </c>
      <c r="O1143" s="92">
        <f t="shared" si="268"/>
        <v>451222.57</v>
      </c>
      <c r="P1143" s="92">
        <v>0</v>
      </c>
      <c r="Q1143" s="93" t="e">
        <f t="shared" si="269"/>
        <v>#DIV/0!</v>
      </c>
      <c r="R1143" s="94"/>
      <c r="S1143" s="285">
        <v>43830</v>
      </c>
    </row>
    <row r="1144" spans="1:19" customFormat="1" ht="31.5">
      <c r="A1144" s="87">
        <f t="shared" si="270"/>
        <v>58</v>
      </c>
      <c r="B1144" s="234" t="s">
        <v>307</v>
      </c>
      <c r="C1144" s="88">
        <v>1959</v>
      </c>
      <c r="D1144" s="88"/>
      <c r="E1144" s="89" t="s">
        <v>218</v>
      </c>
      <c r="F1144" s="88">
        <v>2</v>
      </c>
      <c r="G1144" s="88">
        <v>1</v>
      </c>
      <c r="H1144" s="90"/>
      <c r="I1144" s="90"/>
      <c r="J1144" s="90"/>
      <c r="K1144" s="91"/>
      <c r="L1144" s="92">
        <v>703675.57</v>
      </c>
      <c r="M1144" s="92">
        <v>0</v>
      </c>
      <c r="N1144" s="92">
        <v>0</v>
      </c>
      <c r="O1144" s="92">
        <f t="shared" si="268"/>
        <v>703675.57</v>
      </c>
      <c r="P1144" s="92">
        <v>0</v>
      </c>
      <c r="Q1144" s="93" t="e">
        <f t="shared" si="269"/>
        <v>#DIV/0!</v>
      </c>
      <c r="R1144" s="94"/>
      <c r="S1144" s="285">
        <v>43830</v>
      </c>
    </row>
    <row r="1145" spans="1:19" customFormat="1" ht="31.5">
      <c r="A1145" s="87">
        <f t="shared" si="270"/>
        <v>59</v>
      </c>
      <c r="B1145" s="234" t="s">
        <v>268</v>
      </c>
      <c r="C1145" s="97">
        <v>1959</v>
      </c>
      <c r="D1145" s="97"/>
      <c r="E1145" s="89" t="s">
        <v>218</v>
      </c>
      <c r="F1145" s="97">
        <v>4</v>
      </c>
      <c r="G1145" s="97">
        <v>3</v>
      </c>
      <c r="H1145" s="97"/>
      <c r="I1145" s="97"/>
      <c r="J1145" s="97"/>
      <c r="K1145" s="98"/>
      <c r="L1145" s="92">
        <v>1053533.22</v>
      </c>
      <c r="M1145" s="92">
        <v>0</v>
      </c>
      <c r="N1145" s="92">
        <v>0</v>
      </c>
      <c r="O1145" s="92">
        <f t="shared" si="268"/>
        <v>1053533.22</v>
      </c>
      <c r="P1145" s="92">
        <v>0</v>
      </c>
      <c r="Q1145" s="93" t="e">
        <f t="shared" si="269"/>
        <v>#DIV/0!</v>
      </c>
      <c r="R1145" s="94"/>
      <c r="S1145" s="285">
        <v>43830</v>
      </c>
    </row>
    <row r="1146" spans="1:19" customFormat="1" ht="31.5">
      <c r="A1146" s="87">
        <f t="shared" si="270"/>
        <v>60</v>
      </c>
      <c r="B1146" s="225" t="s">
        <v>246</v>
      </c>
      <c r="C1146" s="97">
        <v>1979</v>
      </c>
      <c r="D1146" s="97"/>
      <c r="E1146" s="89" t="s">
        <v>218</v>
      </c>
      <c r="F1146" s="97">
        <v>9</v>
      </c>
      <c r="G1146" s="97">
        <v>1</v>
      </c>
      <c r="H1146" s="97"/>
      <c r="I1146" s="97"/>
      <c r="J1146" s="97"/>
      <c r="K1146" s="98"/>
      <c r="L1146" s="92">
        <v>1253738</v>
      </c>
      <c r="M1146" s="92">
        <v>0</v>
      </c>
      <c r="N1146" s="92">
        <v>0</v>
      </c>
      <c r="O1146" s="92">
        <f t="shared" si="268"/>
        <v>1253738</v>
      </c>
      <c r="P1146" s="92">
        <v>0</v>
      </c>
      <c r="Q1146" s="93" t="e">
        <f t="shared" si="269"/>
        <v>#DIV/0!</v>
      </c>
      <c r="R1146" s="94"/>
      <c r="S1146" s="285">
        <v>43830</v>
      </c>
    </row>
    <row r="1147" spans="1:19" customFormat="1" ht="15.75">
      <c r="A1147" s="87">
        <f t="shared" si="270"/>
        <v>61</v>
      </c>
      <c r="B1147" s="234" t="s">
        <v>470</v>
      </c>
      <c r="C1147" s="88">
        <v>1984</v>
      </c>
      <c r="D1147" s="88"/>
      <c r="E1147" s="89" t="s">
        <v>219</v>
      </c>
      <c r="F1147" s="88">
        <v>9</v>
      </c>
      <c r="G1147" s="88">
        <v>1</v>
      </c>
      <c r="H1147" s="90"/>
      <c r="I1147" s="90"/>
      <c r="J1147" s="90"/>
      <c r="K1147" s="91"/>
      <c r="L1147" s="92">
        <v>1870046</v>
      </c>
      <c r="M1147" s="92">
        <v>0</v>
      </c>
      <c r="N1147" s="92">
        <v>0</v>
      </c>
      <c r="O1147" s="92">
        <f t="shared" si="268"/>
        <v>1870046</v>
      </c>
      <c r="P1147" s="92">
        <v>0</v>
      </c>
      <c r="Q1147" s="93" t="e">
        <f t="shared" si="269"/>
        <v>#DIV/0!</v>
      </c>
      <c r="R1147" s="94"/>
      <c r="S1147" s="285">
        <v>43830</v>
      </c>
    </row>
    <row r="1148" spans="1:19" customFormat="1" ht="15.75">
      <c r="A1148" s="87">
        <f t="shared" si="270"/>
        <v>62</v>
      </c>
      <c r="B1148" s="234" t="s">
        <v>350</v>
      </c>
      <c r="C1148" s="88">
        <v>1984</v>
      </c>
      <c r="D1148" s="88"/>
      <c r="E1148" s="89" t="s">
        <v>219</v>
      </c>
      <c r="F1148" s="88">
        <v>9</v>
      </c>
      <c r="G1148" s="88">
        <v>2</v>
      </c>
      <c r="H1148" s="90"/>
      <c r="I1148" s="90"/>
      <c r="J1148" s="90"/>
      <c r="K1148" s="91"/>
      <c r="L1148" s="92">
        <v>3720676</v>
      </c>
      <c r="M1148" s="92">
        <v>0</v>
      </c>
      <c r="N1148" s="92">
        <v>0</v>
      </c>
      <c r="O1148" s="92">
        <f t="shared" si="268"/>
        <v>3720676</v>
      </c>
      <c r="P1148" s="92">
        <v>0</v>
      </c>
      <c r="Q1148" s="93" t="e">
        <f t="shared" si="269"/>
        <v>#DIV/0!</v>
      </c>
      <c r="R1148" s="94"/>
      <c r="S1148" s="285">
        <v>43830</v>
      </c>
    </row>
    <row r="1149" spans="1:19" customFormat="1" ht="31.5">
      <c r="A1149" s="87">
        <f t="shared" si="270"/>
        <v>63</v>
      </c>
      <c r="B1149" s="234" t="s">
        <v>251</v>
      </c>
      <c r="C1149" s="97">
        <v>1977</v>
      </c>
      <c r="D1149" s="97"/>
      <c r="E1149" s="89" t="s">
        <v>218</v>
      </c>
      <c r="F1149" s="97">
        <v>5</v>
      </c>
      <c r="G1149" s="97">
        <v>6</v>
      </c>
      <c r="H1149" s="97"/>
      <c r="I1149" s="97"/>
      <c r="J1149" s="97"/>
      <c r="K1149" s="98"/>
      <c r="L1149" s="92">
        <v>3687908</v>
      </c>
      <c r="M1149" s="92">
        <v>0</v>
      </c>
      <c r="N1149" s="92">
        <v>0</v>
      </c>
      <c r="O1149" s="92">
        <f t="shared" si="268"/>
        <v>3687908</v>
      </c>
      <c r="P1149" s="92">
        <v>0</v>
      </c>
      <c r="Q1149" s="93" t="e">
        <f t="shared" si="269"/>
        <v>#DIV/0!</v>
      </c>
      <c r="R1149" s="94"/>
      <c r="S1149" s="285">
        <v>43830</v>
      </c>
    </row>
    <row r="1150" spans="1:19" customFormat="1" ht="31.5">
      <c r="A1150" s="87">
        <f t="shared" si="270"/>
        <v>64</v>
      </c>
      <c r="B1150" s="234" t="s">
        <v>226</v>
      </c>
      <c r="C1150" s="97">
        <v>1933</v>
      </c>
      <c r="D1150" s="97"/>
      <c r="E1150" s="89" t="s">
        <v>218</v>
      </c>
      <c r="F1150" s="97">
        <v>4</v>
      </c>
      <c r="G1150" s="97">
        <v>5</v>
      </c>
      <c r="H1150" s="97"/>
      <c r="I1150" s="97"/>
      <c r="J1150" s="97"/>
      <c r="K1150" s="98"/>
      <c r="L1150" s="92">
        <v>1760967.35</v>
      </c>
      <c r="M1150" s="92">
        <v>0</v>
      </c>
      <c r="N1150" s="92">
        <v>0</v>
      </c>
      <c r="O1150" s="92">
        <f t="shared" si="268"/>
        <v>1760967.35</v>
      </c>
      <c r="P1150" s="92">
        <v>0</v>
      </c>
      <c r="Q1150" s="93" t="e">
        <f t="shared" si="269"/>
        <v>#DIV/0!</v>
      </c>
      <c r="R1150" s="94"/>
      <c r="S1150" s="285">
        <v>43830</v>
      </c>
    </row>
    <row r="1151" spans="1:19" customFormat="1" ht="31.5">
      <c r="A1151" s="87">
        <f t="shared" si="270"/>
        <v>65</v>
      </c>
      <c r="B1151" s="234" t="s">
        <v>271</v>
      </c>
      <c r="C1151" s="97">
        <v>1961</v>
      </c>
      <c r="D1151" s="97"/>
      <c r="E1151" s="89" t="s">
        <v>218</v>
      </c>
      <c r="F1151" s="97">
        <v>5</v>
      </c>
      <c r="G1151" s="97">
        <v>4</v>
      </c>
      <c r="H1151" s="97"/>
      <c r="I1151" s="97"/>
      <c r="J1151" s="97"/>
      <c r="K1151" s="98"/>
      <c r="L1151" s="92">
        <v>881947</v>
      </c>
      <c r="M1151" s="92">
        <v>0</v>
      </c>
      <c r="N1151" s="92">
        <v>0</v>
      </c>
      <c r="O1151" s="92">
        <f t="shared" ref="O1151:O1214" si="271">L1151</f>
        <v>881947</v>
      </c>
      <c r="P1151" s="92">
        <v>0</v>
      </c>
      <c r="Q1151" s="93" t="e">
        <f t="shared" ref="Q1151:Q1214" si="272">L1151/I1151</f>
        <v>#DIV/0!</v>
      </c>
      <c r="R1151" s="94"/>
      <c r="S1151" s="285">
        <v>43830</v>
      </c>
    </row>
    <row r="1152" spans="1:19" customFormat="1" ht="31.5">
      <c r="A1152" s="87">
        <f t="shared" si="270"/>
        <v>66</v>
      </c>
      <c r="B1152" s="234" t="s">
        <v>287</v>
      </c>
      <c r="C1152" s="88">
        <v>1960</v>
      </c>
      <c r="D1152" s="88"/>
      <c r="E1152" s="89" t="s">
        <v>218</v>
      </c>
      <c r="F1152" s="88">
        <v>2</v>
      </c>
      <c r="G1152" s="88">
        <v>2</v>
      </c>
      <c r="H1152" s="90"/>
      <c r="I1152" s="90"/>
      <c r="J1152" s="90"/>
      <c r="K1152" s="91"/>
      <c r="L1152" s="92">
        <v>517739</v>
      </c>
      <c r="M1152" s="92">
        <v>0</v>
      </c>
      <c r="N1152" s="92">
        <v>0</v>
      </c>
      <c r="O1152" s="92">
        <f t="shared" si="271"/>
        <v>517739</v>
      </c>
      <c r="P1152" s="92">
        <v>0</v>
      </c>
      <c r="Q1152" s="93" t="e">
        <f t="shared" si="272"/>
        <v>#DIV/0!</v>
      </c>
      <c r="R1152" s="94"/>
      <c r="S1152" s="285">
        <v>43830</v>
      </c>
    </row>
    <row r="1153" spans="1:19" customFormat="1" ht="31.5">
      <c r="A1153" s="87">
        <f t="shared" ref="A1153:A1216" si="273">A1152+1</f>
        <v>67</v>
      </c>
      <c r="B1153" s="225" t="s">
        <v>289</v>
      </c>
      <c r="C1153" s="88">
        <v>1966</v>
      </c>
      <c r="D1153" s="88"/>
      <c r="E1153" s="89" t="s">
        <v>218</v>
      </c>
      <c r="F1153" s="88">
        <v>5</v>
      </c>
      <c r="G1153" s="88">
        <v>4</v>
      </c>
      <c r="H1153" s="90"/>
      <c r="I1153" s="90"/>
      <c r="J1153" s="90"/>
      <c r="K1153" s="91"/>
      <c r="L1153" s="92">
        <v>1728895</v>
      </c>
      <c r="M1153" s="92">
        <v>0</v>
      </c>
      <c r="N1153" s="92">
        <v>0</v>
      </c>
      <c r="O1153" s="92">
        <f t="shared" si="271"/>
        <v>1728895</v>
      </c>
      <c r="P1153" s="92">
        <v>0</v>
      </c>
      <c r="Q1153" s="93" t="e">
        <f t="shared" si="272"/>
        <v>#DIV/0!</v>
      </c>
      <c r="R1153" s="94"/>
      <c r="S1153" s="285">
        <v>43830</v>
      </c>
    </row>
    <row r="1154" spans="1:19" customFormat="1" ht="15.75">
      <c r="A1154" s="87">
        <f t="shared" si="273"/>
        <v>68</v>
      </c>
      <c r="B1154" s="234" t="s">
        <v>259</v>
      </c>
      <c r="C1154" s="97">
        <v>1925</v>
      </c>
      <c r="D1154" s="97"/>
      <c r="E1154" s="89" t="s">
        <v>221</v>
      </c>
      <c r="F1154" s="97">
        <v>2</v>
      </c>
      <c r="G1154" s="97">
        <v>2</v>
      </c>
      <c r="H1154" s="97"/>
      <c r="I1154" s="97"/>
      <c r="J1154" s="97"/>
      <c r="K1154" s="98"/>
      <c r="L1154" s="92">
        <v>682529</v>
      </c>
      <c r="M1154" s="92">
        <v>0</v>
      </c>
      <c r="N1154" s="92">
        <v>0</v>
      </c>
      <c r="O1154" s="92">
        <f t="shared" si="271"/>
        <v>682529</v>
      </c>
      <c r="P1154" s="92">
        <v>0</v>
      </c>
      <c r="Q1154" s="93" t="e">
        <f t="shared" si="272"/>
        <v>#DIV/0!</v>
      </c>
      <c r="R1154" s="94"/>
      <c r="S1154" s="285">
        <v>43830</v>
      </c>
    </row>
    <row r="1155" spans="1:19" customFormat="1" ht="15.75">
      <c r="A1155" s="87">
        <f t="shared" si="273"/>
        <v>69</v>
      </c>
      <c r="B1155" s="234" t="s">
        <v>291</v>
      </c>
      <c r="C1155" s="88">
        <v>1900</v>
      </c>
      <c r="D1155" s="88"/>
      <c r="E1155" s="89" t="s">
        <v>221</v>
      </c>
      <c r="F1155" s="88">
        <v>2</v>
      </c>
      <c r="G1155" s="88">
        <v>2</v>
      </c>
      <c r="H1155" s="90"/>
      <c r="I1155" s="90"/>
      <c r="J1155" s="90"/>
      <c r="K1155" s="91"/>
      <c r="L1155" s="92">
        <v>582157</v>
      </c>
      <c r="M1155" s="92">
        <v>0</v>
      </c>
      <c r="N1155" s="92">
        <v>0</v>
      </c>
      <c r="O1155" s="92">
        <f t="shared" si="271"/>
        <v>582157</v>
      </c>
      <c r="P1155" s="92">
        <v>0</v>
      </c>
      <c r="Q1155" s="93" t="e">
        <f t="shared" si="272"/>
        <v>#DIV/0!</v>
      </c>
      <c r="R1155" s="94"/>
      <c r="S1155" s="285">
        <v>43830</v>
      </c>
    </row>
    <row r="1156" spans="1:19" customFormat="1" ht="31.5">
      <c r="A1156" s="87">
        <f t="shared" si="273"/>
        <v>70</v>
      </c>
      <c r="B1156" s="234" t="s">
        <v>224</v>
      </c>
      <c r="C1156" s="97">
        <v>1934</v>
      </c>
      <c r="D1156" s="97"/>
      <c r="E1156" s="89" t="s">
        <v>218</v>
      </c>
      <c r="F1156" s="97">
        <v>3</v>
      </c>
      <c r="G1156" s="97">
        <v>5</v>
      </c>
      <c r="H1156" s="97"/>
      <c r="I1156" s="97"/>
      <c r="J1156" s="97"/>
      <c r="K1156" s="98"/>
      <c r="L1156" s="92">
        <v>701704</v>
      </c>
      <c r="M1156" s="92">
        <v>0</v>
      </c>
      <c r="N1156" s="92">
        <v>0</v>
      </c>
      <c r="O1156" s="92">
        <f t="shared" si="271"/>
        <v>701704</v>
      </c>
      <c r="P1156" s="92">
        <v>0</v>
      </c>
      <c r="Q1156" s="93" t="e">
        <f t="shared" si="272"/>
        <v>#DIV/0!</v>
      </c>
      <c r="R1156" s="94"/>
      <c r="S1156" s="285">
        <v>43830</v>
      </c>
    </row>
    <row r="1157" spans="1:19" customFormat="1" ht="15.75">
      <c r="A1157" s="87">
        <f t="shared" si="273"/>
        <v>71</v>
      </c>
      <c r="B1157" s="234" t="s">
        <v>261</v>
      </c>
      <c r="C1157" s="97">
        <v>1970</v>
      </c>
      <c r="D1157" s="97"/>
      <c r="E1157" s="89" t="s">
        <v>219</v>
      </c>
      <c r="F1157" s="97">
        <v>5</v>
      </c>
      <c r="G1157" s="97">
        <v>6</v>
      </c>
      <c r="H1157" s="97"/>
      <c r="I1157" s="97"/>
      <c r="J1157" s="97"/>
      <c r="K1157" s="98"/>
      <c r="L1157" s="92">
        <v>1969149</v>
      </c>
      <c r="M1157" s="92">
        <v>0</v>
      </c>
      <c r="N1157" s="92">
        <v>0</v>
      </c>
      <c r="O1157" s="92">
        <f t="shared" si="271"/>
        <v>1969149</v>
      </c>
      <c r="P1157" s="92">
        <v>0</v>
      </c>
      <c r="Q1157" s="93" t="e">
        <f t="shared" si="272"/>
        <v>#DIV/0!</v>
      </c>
      <c r="R1157" s="94"/>
      <c r="S1157" s="285">
        <v>43830</v>
      </c>
    </row>
    <row r="1158" spans="1:19" customFormat="1" ht="31.5">
      <c r="A1158" s="87">
        <f t="shared" si="273"/>
        <v>72</v>
      </c>
      <c r="B1158" s="234" t="s">
        <v>239</v>
      </c>
      <c r="C1158" s="97">
        <v>1956</v>
      </c>
      <c r="D1158" s="97"/>
      <c r="E1158" s="89" t="s">
        <v>218</v>
      </c>
      <c r="F1158" s="97">
        <v>3</v>
      </c>
      <c r="G1158" s="97">
        <v>3</v>
      </c>
      <c r="H1158" s="97"/>
      <c r="I1158" s="97"/>
      <c r="J1158" s="97"/>
      <c r="K1158" s="98"/>
      <c r="L1158" s="92">
        <v>1023088</v>
      </c>
      <c r="M1158" s="92">
        <v>0</v>
      </c>
      <c r="N1158" s="92">
        <v>0</v>
      </c>
      <c r="O1158" s="92">
        <f t="shared" si="271"/>
        <v>1023088</v>
      </c>
      <c r="P1158" s="92">
        <v>0</v>
      </c>
      <c r="Q1158" s="93" t="e">
        <f t="shared" si="272"/>
        <v>#DIV/0!</v>
      </c>
      <c r="R1158" s="94"/>
      <c r="S1158" s="285">
        <v>43830</v>
      </c>
    </row>
    <row r="1159" spans="1:19" customFormat="1" ht="31.5">
      <c r="A1159" s="87">
        <f t="shared" si="273"/>
        <v>73</v>
      </c>
      <c r="B1159" s="234" t="s">
        <v>336</v>
      </c>
      <c r="C1159" s="97">
        <v>1957</v>
      </c>
      <c r="D1159" s="97"/>
      <c r="E1159" s="89" t="s">
        <v>218</v>
      </c>
      <c r="F1159" s="97">
        <v>3</v>
      </c>
      <c r="G1159" s="97">
        <v>3</v>
      </c>
      <c r="H1159" s="97"/>
      <c r="I1159" s="97"/>
      <c r="J1159" s="97"/>
      <c r="K1159" s="98"/>
      <c r="L1159" s="92">
        <v>3334570</v>
      </c>
      <c r="M1159" s="92">
        <v>0</v>
      </c>
      <c r="N1159" s="92">
        <v>0</v>
      </c>
      <c r="O1159" s="92">
        <f t="shared" si="271"/>
        <v>3334570</v>
      </c>
      <c r="P1159" s="92">
        <v>0</v>
      </c>
      <c r="Q1159" s="93" t="e">
        <f t="shared" si="272"/>
        <v>#DIV/0!</v>
      </c>
      <c r="R1159" s="94"/>
      <c r="S1159" s="285">
        <v>43830</v>
      </c>
    </row>
    <row r="1160" spans="1:19" customFormat="1" ht="31.5">
      <c r="A1160" s="87">
        <f t="shared" si="273"/>
        <v>74</v>
      </c>
      <c r="B1160" s="234" t="s">
        <v>306</v>
      </c>
      <c r="C1160" s="88">
        <v>1970</v>
      </c>
      <c r="D1160" s="88"/>
      <c r="E1160" s="89" t="s">
        <v>218</v>
      </c>
      <c r="F1160" s="88">
        <v>5</v>
      </c>
      <c r="G1160" s="88">
        <v>2</v>
      </c>
      <c r="H1160" s="90"/>
      <c r="I1160" s="90"/>
      <c r="J1160" s="90"/>
      <c r="K1160" s="91"/>
      <c r="L1160" s="92">
        <v>1127374.33</v>
      </c>
      <c r="M1160" s="92">
        <v>0</v>
      </c>
      <c r="N1160" s="92">
        <v>0</v>
      </c>
      <c r="O1160" s="92">
        <f t="shared" si="271"/>
        <v>1127374.33</v>
      </c>
      <c r="P1160" s="92">
        <v>0</v>
      </c>
      <c r="Q1160" s="93" t="e">
        <f t="shared" si="272"/>
        <v>#DIV/0!</v>
      </c>
      <c r="R1160" s="94"/>
      <c r="S1160" s="285">
        <v>43830</v>
      </c>
    </row>
    <row r="1161" spans="1:19" customFormat="1" ht="15.75">
      <c r="A1161" s="87">
        <f t="shared" si="273"/>
        <v>75</v>
      </c>
      <c r="B1161" s="225" t="s">
        <v>234</v>
      </c>
      <c r="C1161" s="97">
        <v>1968</v>
      </c>
      <c r="D1161" s="97"/>
      <c r="E1161" s="89" t="s">
        <v>219</v>
      </c>
      <c r="F1161" s="97">
        <v>5</v>
      </c>
      <c r="G1161" s="97">
        <v>6</v>
      </c>
      <c r="H1161" s="90"/>
      <c r="I1161" s="97"/>
      <c r="J1161" s="97"/>
      <c r="K1161" s="98"/>
      <c r="L1161" s="92">
        <v>1161456</v>
      </c>
      <c r="M1161" s="92">
        <v>0</v>
      </c>
      <c r="N1161" s="92">
        <v>0</v>
      </c>
      <c r="O1161" s="92">
        <f t="shared" si="271"/>
        <v>1161456</v>
      </c>
      <c r="P1161" s="92">
        <v>0</v>
      </c>
      <c r="Q1161" s="93" t="e">
        <f t="shared" si="272"/>
        <v>#DIV/0!</v>
      </c>
      <c r="R1161" s="94"/>
      <c r="S1161" s="285">
        <v>43830</v>
      </c>
    </row>
    <row r="1162" spans="1:19" customFormat="1" ht="31.5">
      <c r="A1162" s="87">
        <f t="shared" si="273"/>
        <v>76</v>
      </c>
      <c r="B1162" s="225" t="s">
        <v>277</v>
      </c>
      <c r="C1162" s="87">
        <v>1971</v>
      </c>
      <c r="D1162" s="88"/>
      <c r="E1162" s="89" t="s">
        <v>218</v>
      </c>
      <c r="F1162" s="88">
        <v>5</v>
      </c>
      <c r="G1162" s="88">
        <v>4</v>
      </c>
      <c r="H1162" s="96"/>
      <c r="I1162" s="96"/>
      <c r="J1162" s="96"/>
      <c r="K1162" s="81"/>
      <c r="L1162" s="92">
        <v>1197250.23</v>
      </c>
      <c r="M1162" s="92">
        <v>0</v>
      </c>
      <c r="N1162" s="92">
        <v>0</v>
      </c>
      <c r="O1162" s="92">
        <f t="shared" si="271"/>
        <v>1197250.23</v>
      </c>
      <c r="P1162" s="92">
        <v>0</v>
      </c>
      <c r="Q1162" s="93" t="e">
        <f t="shared" si="272"/>
        <v>#DIV/0!</v>
      </c>
      <c r="R1162" s="94"/>
      <c r="S1162" s="285">
        <v>43830</v>
      </c>
    </row>
    <row r="1163" spans="1:19" customFormat="1" ht="31.5">
      <c r="A1163" s="87">
        <f t="shared" si="273"/>
        <v>77</v>
      </c>
      <c r="B1163" s="234" t="s">
        <v>303</v>
      </c>
      <c r="C1163" s="88">
        <v>1954</v>
      </c>
      <c r="D1163" s="88"/>
      <c r="E1163" s="89" t="s">
        <v>218</v>
      </c>
      <c r="F1163" s="88">
        <v>4</v>
      </c>
      <c r="G1163" s="88">
        <v>3</v>
      </c>
      <c r="H1163" s="90"/>
      <c r="I1163" s="90"/>
      <c r="J1163" s="90"/>
      <c r="K1163" s="91"/>
      <c r="L1163" s="92">
        <v>2784233</v>
      </c>
      <c r="M1163" s="92">
        <v>0</v>
      </c>
      <c r="N1163" s="92">
        <v>0</v>
      </c>
      <c r="O1163" s="92">
        <f t="shared" si="271"/>
        <v>2784233</v>
      </c>
      <c r="P1163" s="92">
        <v>0</v>
      </c>
      <c r="Q1163" s="93" t="e">
        <f t="shared" si="272"/>
        <v>#DIV/0!</v>
      </c>
      <c r="R1163" s="94"/>
      <c r="S1163" s="285">
        <v>43830</v>
      </c>
    </row>
    <row r="1164" spans="1:19" customFormat="1" ht="31.5">
      <c r="A1164" s="87">
        <f t="shared" si="273"/>
        <v>78</v>
      </c>
      <c r="B1164" s="234" t="s">
        <v>293</v>
      </c>
      <c r="C1164" s="88">
        <v>1968</v>
      </c>
      <c r="D1164" s="88"/>
      <c r="E1164" s="89" t="s">
        <v>218</v>
      </c>
      <c r="F1164" s="88">
        <v>5</v>
      </c>
      <c r="G1164" s="88">
        <v>4</v>
      </c>
      <c r="H1164" s="90"/>
      <c r="I1164" s="90"/>
      <c r="J1164" s="90"/>
      <c r="K1164" s="91"/>
      <c r="L1164" s="92">
        <v>2369961</v>
      </c>
      <c r="M1164" s="92">
        <v>0</v>
      </c>
      <c r="N1164" s="92">
        <v>0</v>
      </c>
      <c r="O1164" s="92">
        <f t="shared" si="271"/>
        <v>2369961</v>
      </c>
      <c r="P1164" s="92">
        <v>0</v>
      </c>
      <c r="Q1164" s="93" t="e">
        <f t="shared" si="272"/>
        <v>#DIV/0!</v>
      </c>
      <c r="R1164" s="94"/>
      <c r="S1164" s="285">
        <v>43830</v>
      </c>
    </row>
    <row r="1165" spans="1:19" customFormat="1" ht="31.5">
      <c r="A1165" s="87">
        <f t="shared" si="273"/>
        <v>79</v>
      </c>
      <c r="B1165" s="225" t="s">
        <v>463</v>
      </c>
      <c r="C1165" s="87">
        <v>1959</v>
      </c>
      <c r="D1165" s="88"/>
      <c r="E1165" s="89" t="s">
        <v>218</v>
      </c>
      <c r="F1165" s="88">
        <v>2</v>
      </c>
      <c r="G1165" s="88">
        <v>1</v>
      </c>
      <c r="H1165" s="96"/>
      <c r="I1165" s="96"/>
      <c r="J1165" s="96"/>
      <c r="K1165" s="81"/>
      <c r="L1165" s="92">
        <v>672819</v>
      </c>
      <c r="M1165" s="92">
        <v>0</v>
      </c>
      <c r="N1165" s="92">
        <v>0</v>
      </c>
      <c r="O1165" s="92">
        <f t="shared" si="271"/>
        <v>672819</v>
      </c>
      <c r="P1165" s="92">
        <v>0</v>
      </c>
      <c r="Q1165" s="93" t="e">
        <f t="shared" si="272"/>
        <v>#DIV/0!</v>
      </c>
      <c r="R1165" s="94"/>
      <c r="S1165" s="285">
        <v>43830</v>
      </c>
    </row>
    <row r="1166" spans="1:19" customFormat="1" ht="15.75">
      <c r="A1166" s="87">
        <f t="shared" si="273"/>
        <v>80</v>
      </c>
      <c r="B1166" s="234" t="s">
        <v>340</v>
      </c>
      <c r="C1166" s="87">
        <v>1968</v>
      </c>
      <c r="D1166" s="88"/>
      <c r="E1166" s="89" t="s">
        <v>219</v>
      </c>
      <c r="F1166" s="88">
        <v>5</v>
      </c>
      <c r="G1166" s="88">
        <v>5</v>
      </c>
      <c r="H1166" s="96"/>
      <c r="I1166" s="96"/>
      <c r="J1166" s="96"/>
      <c r="K1166" s="81"/>
      <c r="L1166" s="92">
        <v>1651491</v>
      </c>
      <c r="M1166" s="92">
        <v>0</v>
      </c>
      <c r="N1166" s="92">
        <v>0</v>
      </c>
      <c r="O1166" s="92">
        <f t="shared" si="271"/>
        <v>1651491</v>
      </c>
      <c r="P1166" s="92">
        <v>0</v>
      </c>
      <c r="Q1166" s="93" t="e">
        <f t="shared" si="272"/>
        <v>#DIV/0!</v>
      </c>
      <c r="R1166" s="94"/>
      <c r="S1166" s="285">
        <v>43830</v>
      </c>
    </row>
    <row r="1167" spans="1:19" customFormat="1" ht="31.5">
      <c r="A1167" s="87">
        <f t="shared" si="273"/>
        <v>81</v>
      </c>
      <c r="B1167" s="225" t="s">
        <v>254</v>
      </c>
      <c r="C1167" s="97">
        <v>1962</v>
      </c>
      <c r="D1167" s="97"/>
      <c r="E1167" s="89" t="s">
        <v>218</v>
      </c>
      <c r="F1167" s="97">
        <v>3</v>
      </c>
      <c r="G1167" s="97">
        <v>3</v>
      </c>
      <c r="H1167" s="97"/>
      <c r="I1167" s="97"/>
      <c r="J1167" s="97"/>
      <c r="K1167" s="98"/>
      <c r="L1167" s="92">
        <v>1432926</v>
      </c>
      <c r="M1167" s="92">
        <v>0</v>
      </c>
      <c r="N1167" s="92">
        <v>0</v>
      </c>
      <c r="O1167" s="92">
        <f t="shared" si="271"/>
        <v>1432926</v>
      </c>
      <c r="P1167" s="92">
        <v>0</v>
      </c>
      <c r="Q1167" s="93" t="e">
        <f t="shared" si="272"/>
        <v>#DIV/0!</v>
      </c>
      <c r="R1167" s="94"/>
      <c r="S1167" s="285">
        <v>43830</v>
      </c>
    </row>
    <row r="1168" spans="1:19" customFormat="1" ht="31.5">
      <c r="A1168" s="87">
        <f t="shared" si="273"/>
        <v>82</v>
      </c>
      <c r="B1168" s="225" t="s">
        <v>343</v>
      </c>
      <c r="C1168" s="87">
        <v>1955</v>
      </c>
      <c r="D1168" s="88"/>
      <c r="E1168" s="89" t="s">
        <v>218</v>
      </c>
      <c r="F1168" s="88">
        <v>2</v>
      </c>
      <c r="G1168" s="88">
        <v>2</v>
      </c>
      <c r="H1168" s="96"/>
      <c r="I1168" s="96"/>
      <c r="J1168" s="96"/>
      <c r="K1168" s="81"/>
      <c r="L1168" s="92">
        <v>1137886</v>
      </c>
      <c r="M1168" s="92">
        <v>0</v>
      </c>
      <c r="N1168" s="92">
        <v>0</v>
      </c>
      <c r="O1168" s="92">
        <f t="shared" si="271"/>
        <v>1137886</v>
      </c>
      <c r="P1168" s="92">
        <v>0</v>
      </c>
      <c r="Q1168" s="93" t="e">
        <f t="shared" si="272"/>
        <v>#DIV/0!</v>
      </c>
      <c r="R1168" s="94"/>
      <c r="S1168" s="285">
        <v>43830</v>
      </c>
    </row>
    <row r="1169" spans="1:30" customFormat="1" ht="31.5">
      <c r="A1169" s="87">
        <f t="shared" si="273"/>
        <v>83</v>
      </c>
      <c r="B1169" s="234" t="s">
        <v>305</v>
      </c>
      <c r="C1169" s="88">
        <v>1971</v>
      </c>
      <c r="D1169" s="88"/>
      <c r="E1169" s="89" t="s">
        <v>218</v>
      </c>
      <c r="F1169" s="88">
        <v>5</v>
      </c>
      <c r="G1169" s="88">
        <v>4</v>
      </c>
      <c r="H1169" s="90"/>
      <c r="I1169" s="90"/>
      <c r="J1169" s="90"/>
      <c r="K1169" s="91"/>
      <c r="L1169" s="92">
        <v>1814838</v>
      </c>
      <c r="M1169" s="92">
        <v>0</v>
      </c>
      <c r="N1169" s="92">
        <v>0</v>
      </c>
      <c r="O1169" s="92">
        <f t="shared" si="271"/>
        <v>1814838</v>
      </c>
      <c r="P1169" s="92">
        <v>0</v>
      </c>
      <c r="Q1169" s="93" t="e">
        <f t="shared" si="272"/>
        <v>#DIV/0!</v>
      </c>
      <c r="R1169" s="94"/>
      <c r="S1169" s="285">
        <v>43830</v>
      </c>
    </row>
    <row r="1170" spans="1:30" customFormat="1" ht="31.5">
      <c r="A1170" s="87">
        <f t="shared" si="273"/>
        <v>84</v>
      </c>
      <c r="B1170" s="234" t="s">
        <v>345</v>
      </c>
      <c r="C1170" s="88">
        <v>1970</v>
      </c>
      <c r="D1170" s="88"/>
      <c r="E1170" s="89" t="s">
        <v>218</v>
      </c>
      <c r="F1170" s="88">
        <v>5</v>
      </c>
      <c r="G1170" s="88">
        <v>4</v>
      </c>
      <c r="H1170" s="90"/>
      <c r="I1170" s="90"/>
      <c r="J1170" s="90"/>
      <c r="K1170" s="91"/>
      <c r="L1170" s="92">
        <v>1544359.54</v>
      </c>
      <c r="M1170" s="92">
        <v>0</v>
      </c>
      <c r="N1170" s="92">
        <v>0</v>
      </c>
      <c r="O1170" s="92">
        <f t="shared" si="271"/>
        <v>1544359.54</v>
      </c>
      <c r="P1170" s="92">
        <v>0</v>
      </c>
      <c r="Q1170" s="93" t="e">
        <f t="shared" si="272"/>
        <v>#DIV/0!</v>
      </c>
      <c r="R1170" s="94"/>
      <c r="S1170" s="285">
        <v>43830</v>
      </c>
    </row>
    <row r="1171" spans="1:30" customFormat="1" ht="31.5">
      <c r="A1171" s="87">
        <f t="shared" si="273"/>
        <v>85</v>
      </c>
      <c r="B1171" s="225" t="s">
        <v>447</v>
      </c>
      <c r="C1171" s="88">
        <v>1987</v>
      </c>
      <c r="D1171" s="88"/>
      <c r="E1171" s="89" t="s">
        <v>219</v>
      </c>
      <c r="F1171" s="88">
        <v>9</v>
      </c>
      <c r="G1171" s="88">
        <v>1</v>
      </c>
      <c r="H1171" s="90"/>
      <c r="I1171" s="90"/>
      <c r="J1171" s="90"/>
      <c r="K1171" s="91"/>
      <c r="L1171" s="92">
        <v>1787034</v>
      </c>
      <c r="M1171" s="92">
        <v>0</v>
      </c>
      <c r="N1171" s="92">
        <v>0</v>
      </c>
      <c r="O1171" s="92">
        <f t="shared" si="271"/>
        <v>1787034</v>
      </c>
      <c r="P1171" s="92">
        <v>0</v>
      </c>
      <c r="Q1171" s="93" t="e">
        <f t="shared" si="272"/>
        <v>#DIV/0!</v>
      </c>
      <c r="R1171" s="94"/>
      <c r="S1171" s="285">
        <v>43830</v>
      </c>
    </row>
    <row r="1172" spans="1:30" customFormat="1" ht="31.5">
      <c r="A1172" s="87">
        <f t="shared" si="273"/>
        <v>86</v>
      </c>
      <c r="B1172" s="225" t="s">
        <v>223</v>
      </c>
      <c r="C1172" s="97">
        <v>1983</v>
      </c>
      <c r="D1172" s="97"/>
      <c r="E1172" s="89" t="s">
        <v>219</v>
      </c>
      <c r="F1172" s="97">
        <v>9</v>
      </c>
      <c r="G1172" s="97">
        <v>4</v>
      </c>
      <c r="H1172" s="97"/>
      <c r="I1172" s="97"/>
      <c r="J1172" s="97"/>
      <c r="K1172" s="98"/>
      <c r="L1172" s="92">
        <v>437998.57</v>
      </c>
      <c r="M1172" s="92">
        <v>0</v>
      </c>
      <c r="N1172" s="92">
        <v>0</v>
      </c>
      <c r="O1172" s="92">
        <f t="shared" si="271"/>
        <v>437998.57</v>
      </c>
      <c r="P1172" s="92">
        <v>0</v>
      </c>
      <c r="Q1172" s="93" t="e">
        <f t="shared" si="272"/>
        <v>#DIV/0!</v>
      </c>
      <c r="R1172" s="94"/>
      <c r="S1172" s="285">
        <v>43830</v>
      </c>
      <c r="T1172" s="1"/>
      <c r="U1172" s="1"/>
      <c r="V1172" s="1"/>
      <c r="W1172" s="1"/>
      <c r="X1172" s="1"/>
      <c r="Y1172" s="1"/>
    </row>
    <row r="1173" spans="1:30" customFormat="1" ht="31.5">
      <c r="A1173" s="87">
        <f t="shared" si="273"/>
        <v>87</v>
      </c>
      <c r="B1173" s="225" t="s">
        <v>446</v>
      </c>
      <c r="C1173" s="88">
        <v>1976</v>
      </c>
      <c r="D1173" s="88"/>
      <c r="E1173" s="89" t="s">
        <v>219</v>
      </c>
      <c r="F1173" s="88">
        <v>5</v>
      </c>
      <c r="G1173" s="88">
        <v>4</v>
      </c>
      <c r="H1173" s="90"/>
      <c r="I1173" s="90"/>
      <c r="J1173" s="90"/>
      <c r="K1173" s="91"/>
      <c r="L1173" s="92">
        <v>1116228</v>
      </c>
      <c r="M1173" s="92">
        <v>0</v>
      </c>
      <c r="N1173" s="92">
        <v>0</v>
      </c>
      <c r="O1173" s="92">
        <f t="shared" si="271"/>
        <v>1116228</v>
      </c>
      <c r="P1173" s="92">
        <v>0</v>
      </c>
      <c r="Q1173" s="93" t="e">
        <f t="shared" si="272"/>
        <v>#DIV/0!</v>
      </c>
      <c r="R1173" s="94"/>
      <c r="S1173" s="285">
        <v>43830</v>
      </c>
      <c r="Z1173" s="1"/>
      <c r="AA1173" s="1"/>
      <c r="AB1173" s="1"/>
      <c r="AC1173" s="1"/>
      <c r="AD1173" s="1"/>
    </row>
    <row r="1174" spans="1:30" customFormat="1" ht="31.5">
      <c r="A1174" s="87">
        <f t="shared" si="273"/>
        <v>88</v>
      </c>
      <c r="B1174" s="225" t="s">
        <v>448</v>
      </c>
      <c r="C1174" s="88">
        <v>1983</v>
      </c>
      <c r="D1174" s="88"/>
      <c r="E1174" s="89" t="s">
        <v>219</v>
      </c>
      <c r="F1174" s="88">
        <v>5</v>
      </c>
      <c r="G1174" s="88">
        <v>3</v>
      </c>
      <c r="H1174" s="90"/>
      <c r="I1174" s="90"/>
      <c r="J1174" s="90"/>
      <c r="K1174" s="91"/>
      <c r="L1174" s="92">
        <v>1313728</v>
      </c>
      <c r="M1174" s="92">
        <v>0</v>
      </c>
      <c r="N1174" s="92">
        <v>0</v>
      </c>
      <c r="O1174" s="92">
        <f t="shared" si="271"/>
        <v>1313728</v>
      </c>
      <c r="P1174" s="92">
        <v>0</v>
      </c>
      <c r="Q1174" s="93" t="e">
        <f t="shared" si="272"/>
        <v>#DIV/0!</v>
      </c>
      <c r="R1174" s="94"/>
      <c r="S1174" s="285">
        <v>43830</v>
      </c>
      <c r="T1174" s="33"/>
      <c r="U1174" s="33"/>
      <c r="V1174" s="33"/>
      <c r="W1174" s="33"/>
      <c r="X1174" s="33"/>
      <c r="Y1174" s="33"/>
    </row>
    <row r="1175" spans="1:30" customFormat="1" ht="31.5">
      <c r="A1175" s="87">
        <f t="shared" si="273"/>
        <v>89</v>
      </c>
      <c r="B1175" s="234" t="s">
        <v>241</v>
      </c>
      <c r="C1175" s="97">
        <v>1958</v>
      </c>
      <c r="D1175" s="97"/>
      <c r="E1175" s="89" t="s">
        <v>218</v>
      </c>
      <c r="F1175" s="97">
        <v>2</v>
      </c>
      <c r="G1175" s="97">
        <v>1</v>
      </c>
      <c r="H1175" s="97"/>
      <c r="I1175" s="97"/>
      <c r="J1175" s="97"/>
      <c r="K1175" s="98"/>
      <c r="L1175" s="92">
        <v>359651</v>
      </c>
      <c r="M1175" s="92">
        <v>0</v>
      </c>
      <c r="N1175" s="92">
        <v>0</v>
      </c>
      <c r="O1175" s="92">
        <f t="shared" si="271"/>
        <v>359651</v>
      </c>
      <c r="P1175" s="92">
        <v>0</v>
      </c>
      <c r="Q1175" s="93" t="e">
        <f t="shared" si="272"/>
        <v>#DIV/0!</v>
      </c>
      <c r="R1175" s="94"/>
      <c r="S1175" s="285">
        <v>43830</v>
      </c>
      <c r="Z1175" s="33"/>
      <c r="AA1175" s="33"/>
      <c r="AB1175" s="33"/>
      <c r="AC1175" s="33"/>
      <c r="AD1175" s="33"/>
    </row>
    <row r="1176" spans="1:30" customFormat="1" ht="15.75">
      <c r="A1176" s="87">
        <f t="shared" si="273"/>
        <v>90</v>
      </c>
      <c r="B1176" s="234" t="s">
        <v>233</v>
      </c>
      <c r="C1176" s="97">
        <v>1965</v>
      </c>
      <c r="D1176" s="97"/>
      <c r="E1176" s="89" t="s">
        <v>219</v>
      </c>
      <c r="F1176" s="97">
        <v>5</v>
      </c>
      <c r="G1176" s="97">
        <v>5</v>
      </c>
      <c r="H1176" s="97"/>
      <c r="I1176" s="97"/>
      <c r="J1176" s="97"/>
      <c r="K1176" s="98"/>
      <c r="L1176" s="92">
        <v>906779</v>
      </c>
      <c r="M1176" s="92">
        <v>0</v>
      </c>
      <c r="N1176" s="92">
        <v>0</v>
      </c>
      <c r="O1176" s="92">
        <f t="shared" si="271"/>
        <v>906779</v>
      </c>
      <c r="P1176" s="92">
        <v>0</v>
      </c>
      <c r="Q1176" s="93" t="e">
        <f t="shared" si="272"/>
        <v>#DIV/0!</v>
      </c>
      <c r="R1176" s="94"/>
      <c r="S1176" s="285">
        <v>43830</v>
      </c>
    </row>
    <row r="1177" spans="1:30" customFormat="1" ht="31.5">
      <c r="A1177" s="87">
        <f t="shared" si="273"/>
        <v>91</v>
      </c>
      <c r="B1177" s="234" t="s">
        <v>278</v>
      </c>
      <c r="C1177" s="87">
        <v>1958</v>
      </c>
      <c r="D1177" s="88"/>
      <c r="E1177" s="89" t="s">
        <v>218</v>
      </c>
      <c r="F1177" s="88">
        <v>2</v>
      </c>
      <c r="G1177" s="88">
        <v>1</v>
      </c>
      <c r="H1177" s="96"/>
      <c r="I1177" s="96"/>
      <c r="J1177" s="96"/>
      <c r="K1177" s="81"/>
      <c r="L1177" s="92">
        <v>886559</v>
      </c>
      <c r="M1177" s="92">
        <v>0</v>
      </c>
      <c r="N1177" s="92">
        <v>0</v>
      </c>
      <c r="O1177" s="92">
        <f t="shared" si="271"/>
        <v>886559</v>
      </c>
      <c r="P1177" s="92">
        <v>0</v>
      </c>
      <c r="Q1177" s="93" t="e">
        <f t="shared" si="272"/>
        <v>#DIV/0!</v>
      </c>
      <c r="R1177" s="94"/>
      <c r="S1177" s="285">
        <v>43830</v>
      </c>
    </row>
    <row r="1178" spans="1:30" customFormat="1" ht="31.5">
      <c r="A1178" s="87">
        <f t="shared" si="273"/>
        <v>92</v>
      </c>
      <c r="B1178" s="234" t="s">
        <v>347</v>
      </c>
      <c r="C1178" s="88">
        <v>1959</v>
      </c>
      <c r="D1178" s="88"/>
      <c r="E1178" s="89" t="s">
        <v>218</v>
      </c>
      <c r="F1178" s="88">
        <v>2</v>
      </c>
      <c r="G1178" s="88">
        <v>1</v>
      </c>
      <c r="H1178" s="90"/>
      <c r="I1178" s="90"/>
      <c r="J1178" s="90"/>
      <c r="K1178" s="91"/>
      <c r="L1178" s="92">
        <v>642210</v>
      </c>
      <c r="M1178" s="92">
        <v>0</v>
      </c>
      <c r="N1178" s="92">
        <v>0</v>
      </c>
      <c r="O1178" s="92">
        <f t="shared" si="271"/>
        <v>642210</v>
      </c>
      <c r="P1178" s="92">
        <v>0</v>
      </c>
      <c r="Q1178" s="93" t="e">
        <f t="shared" si="272"/>
        <v>#DIV/0!</v>
      </c>
      <c r="R1178" s="94"/>
      <c r="S1178" s="285">
        <v>43830</v>
      </c>
    </row>
    <row r="1179" spans="1:30" customFormat="1" ht="31.5">
      <c r="A1179" s="87">
        <f t="shared" si="273"/>
        <v>93</v>
      </c>
      <c r="B1179" s="225" t="s">
        <v>266</v>
      </c>
      <c r="C1179" s="97">
        <v>1957</v>
      </c>
      <c r="D1179" s="97"/>
      <c r="E1179" s="89" t="s">
        <v>218</v>
      </c>
      <c r="F1179" s="97">
        <v>4</v>
      </c>
      <c r="G1179" s="97">
        <v>3</v>
      </c>
      <c r="H1179" s="97"/>
      <c r="I1179" s="97"/>
      <c r="J1179" s="97"/>
      <c r="K1179" s="98"/>
      <c r="L1179" s="92">
        <v>1952489</v>
      </c>
      <c r="M1179" s="92">
        <v>0</v>
      </c>
      <c r="N1179" s="92">
        <v>0</v>
      </c>
      <c r="O1179" s="92">
        <f t="shared" si="271"/>
        <v>1952489</v>
      </c>
      <c r="P1179" s="92">
        <v>0</v>
      </c>
      <c r="Q1179" s="93" t="e">
        <f t="shared" si="272"/>
        <v>#DIV/0!</v>
      </c>
      <c r="R1179" s="94"/>
      <c r="S1179" s="285">
        <v>43830</v>
      </c>
    </row>
    <row r="1180" spans="1:30" customFormat="1" ht="15.75">
      <c r="A1180" s="87">
        <f t="shared" si="273"/>
        <v>94</v>
      </c>
      <c r="B1180" s="225" t="s">
        <v>310</v>
      </c>
      <c r="C1180" s="88">
        <v>1983</v>
      </c>
      <c r="D1180" s="88"/>
      <c r="E1180" s="89" t="s">
        <v>219</v>
      </c>
      <c r="F1180" s="88">
        <v>9</v>
      </c>
      <c r="G1180" s="88">
        <v>8</v>
      </c>
      <c r="H1180" s="90"/>
      <c r="I1180" s="90"/>
      <c r="J1180" s="90"/>
      <c r="K1180" s="91"/>
      <c r="L1180" s="92">
        <v>15157748</v>
      </c>
      <c r="M1180" s="92">
        <v>0</v>
      </c>
      <c r="N1180" s="92">
        <v>0</v>
      </c>
      <c r="O1180" s="92">
        <f t="shared" si="271"/>
        <v>15157748</v>
      </c>
      <c r="P1180" s="92">
        <v>0</v>
      </c>
      <c r="Q1180" s="93" t="e">
        <f t="shared" si="272"/>
        <v>#DIV/0!</v>
      </c>
      <c r="R1180" s="94"/>
      <c r="S1180" s="285">
        <v>43830</v>
      </c>
    </row>
    <row r="1181" spans="1:30" customFormat="1" ht="31.5">
      <c r="A1181" s="87">
        <f t="shared" si="273"/>
        <v>95</v>
      </c>
      <c r="B1181" s="234" t="s">
        <v>281</v>
      </c>
      <c r="C1181" s="87">
        <v>1959</v>
      </c>
      <c r="D1181" s="88"/>
      <c r="E1181" s="89" t="s">
        <v>218</v>
      </c>
      <c r="F1181" s="88">
        <v>4</v>
      </c>
      <c r="G1181" s="88">
        <v>5</v>
      </c>
      <c r="H1181" s="96"/>
      <c r="I1181" s="96"/>
      <c r="J1181" s="96"/>
      <c r="K1181" s="81"/>
      <c r="L1181" s="92">
        <v>2542298.37</v>
      </c>
      <c r="M1181" s="92">
        <v>0</v>
      </c>
      <c r="N1181" s="92">
        <v>0</v>
      </c>
      <c r="O1181" s="92">
        <f t="shared" si="271"/>
        <v>2542298.37</v>
      </c>
      <c r="P1181" s="92">
        <v>0</v>
      </c>
      <c r="Q1181" s="93" t="e">
        <f t="shared" si="272"/>
        <v>#DIV/0!</v>
      </c>
      <c r="R1181" s="94"/>
      <c r="S1181" s="285">
        <v>43830</v>
      </c>
    </row>
    <row r="1182" spans="1:30" customFormat="1" ht="15.75">
      <c r="A1182" s="87">
        <f t="shared" si="273"/>
        <v>96</v>
      </c>
      <c r="B1182" s="225" t="s">
        <v>248</v>
      </c>
      <c r="C1182" s="97">
        <v>1983</v>
      </c>
      <c r="D1182" s="97"/>
      <c r="E1182" s="89" t="s">
        <v>219</v>
      </c>
      <c r="F1182" s="97">
        <v>9</v>
      </c>
      <c r="G1182" s="97">
        <v>1</v>
      </c>
      <c r="H1182" s="97"/>
      <c r="I1182" s="97"/>
      <c r="J1182" s="97"/>
      <c r="K1182" s="98"/>
      <c r="L1182" s="92">
        <v>1114586</v>
      </c>
      <c r="M1182" s="92">
        <v>0</v>
      </c>
      <c r="N1182" s="92">
        <v>0</v>
      </c>
      <c r="O1182" s="92">
        <f t="shared" si="271"/>
        <v>1114586</v>
      </c>
      <c r="P1182" s="92">
        <v>0</v>
      </c>
      <c r="Q1182" s="93" t="e">
        <f t="shared" si="272"/>
        <v>#DIV/0!</v>
      </c>
      <c r="R1182" s="94"/>
      <c r="S1182" s="285">
        <v>43830</v>
      </c>
      <c r="T1182" s="1"/>
      <c r="U1182" s="1"/>
      <c r="V1182" s="1"/>
      <c r="W1182" s="1"/>
      <c r="X1182" s="1"/>
      <c r="Y1182" s="1"/>
    </row>
    <row r="1183" spans="1:30" customFormat="1" ht="15.75">
      <c r="A1183" s="87">
        <f t="shared" si="273"/>
        <v>97</v>
      </c>
      <c r="B1183" s="225" t="s">
        <v>301</v>
      </c>
      <c r="C1183" s="88">
        <v>1975</v>
      </c>
      <c r="D1183" s="88"/>
      <c r="E1183" s="89" t="s">
        <v>219</v>
      </c>
      <c r="F1183" s="88">
        <v>9</v>
      </c>
      <c r="G1183" s="88">
        <v>3</v>
      </c>
      <c r="H1183" s="90"/>
      <c r="I1183" s="90"/>
      <c r="J1183" s="90"/>
      <c r="K1183" s="91"/>
      <c r="L1183" s="92">
        <v>5623853</v>
      </c>
      <c r="M1183" s="92">
        <v>0</v>
      </c>
      <c r="N1183" s="92">
        <v>0</v>
      </c>
      <c r="O1183" s="92">
        <f t="shared" si="271"/>
        <v>5623853</v>
      </c>
      <c r="P1183" s="92">
        <v>0</v>
      </c>
      <c r="Q1183" s="93" t="e">
        <f t="shared" si="272"/>
        <v>#DIV/0!</v>
      </c>
      <c r="R1183" s="94"/>
      <c r="S1183" s="285">
        <v>43830</v>
      </c>
      <c r="Z1183" s="1"/>
      <c r="AA1183" s="1"/>
      <c r="AB1183" s="1"/>
      <c r="AC1183" s="1"/>
      <c r="AD1183" s="1"/>
    </row>
    <row r="1184" spans="1:30" customFormat="1" ht="15.75">
      <c r="A1184" s="87">
        <f t="shared" si="273"/>
        <v>98</v>
      </c>
      <c r="B1184" s="225" t="s">
        <v>244</v>
      </c>
      <c r="C1184" s="97">
        <v>1976</v>
      </c>
      <c r="D1184" s="97"/>
      <c r="E1184" s="89" t="s">
        <v>219</v>
      </c>
      <c r="F1184" s="97">
        <v>9</v>
      </c>
      <c r="G1184" s="97">
        <v>4</v>
      </c>
      <c r="H1184" s="97"/>
      <c r="I1184" s="97"/>
      <c r="J1184" s="97"/>
      <c r="K1184" s="98"/>
      <c r="L1184" s="92">
        <v>2721106</v>
      </c>
      <c r="M1184" s="92">
        <v>0</v>
      </c>
      <c r="N1184" s="92">
        <v>0</v>
      </c>
      <c r="O1184" s="92">
        <f t="shared" si="271"/>
        <v>2721106</v>
      </c>
      <c r="P1184" s="92">
        <v>0</v>
      </c>
      <c r="Q1184" s="93" t="e">
        <f t="shared" si="272"/>
        <v>#DIV/0!</v>
      </c>
      <c r="R1184" s="94"/>
      <c r="S1184" s="285">
        <v>43830</v>
      </c>
    </row>
    <row r="1185" spans="1:30" customFormat="1" ht="15.75">
      <c r="A1185" s="87">
        <f t="shared" si="273"/>
        <v>99</v>
      </c>
      <c r="B1185" s="234" t="s">
        <v>288</v>
      </c>
      <c r="C1185" s="87">
        <v>1973</v>
      </c>
      <c r="D1185" s="88"/>
      <c r="E1185" s="89" t="s">
        <v>219</v>
      </c>
      <c r="F1185" s="88">
        <v>9</v>
      </c>
      <c r="G1185" s="88">
        <v>6</v>
      </c>
      <c r="H1185" s="96"/>
      <c r="I1185" s="96"/>
      <c r="J1185" s="96"/>
      <c r="K1185" s="81"/>
      <c r="L1185" s="92">
        <v>9789326.5500000007</v>
      </c>
      <c r="M1185" s="92">
        <v>0</v>
      </c>
      <c r="N1185" s="92">
        <v>0</v>
      </c>
      <c r="O1185" s="92">
        <f t="shared" si="271"/>
        <v>9789326.5500000007</v>
      </c>
      <c r="P1185" s="92">
        <v>0</v>
      </c>
      <c r="Q1185" s="93" t="e">
        <f t="shared" si="272"/>
        <v>#DIV/0!</v>
      </c>
      <c r="R1185" s="94"/>
      <c r="S1185" s="285">
        <v>43830</v>
      </c>
    </row>
    <row r="1186" spans="1:30" customFormat="1" ht="31.5">
      <c r="A1186" s="87">
        <f t="shared" si="273"/>
        <v>100</v>
      </c>
      <c r="B1186" s="234" t="s">
        <v>249</v>
      </c>
      <c r="C1186" s="97" t="s">
        <v>190</v>
      </c>
      <c r="D1186" s="97"/>
      <c r="E1186" s="89" t="s">
        <v>218</v>
      </c>
      <c r="F1186" s="97">
        <v>3</v>
      </c>
      <c r="G1186" s="97">
        <v>3</v>
      </c>
      <c r="H1186" s="97"/>
      <c r="I1186" s="97"/>
      <c r="J1186" s="97"/>
      <c r="K1186" s="98"/>
      <c r="L1186" s="92">
        <v>1615074</v>
      </c>
      <c r="M1186" s="92">
        <v>0</v>
      </c>
      <c r="N1186" s="92">
        <v>0</v>
      </c>
      <c r="O1186" s="92">
        <f t="shared" si="271"/>
        <v>1615074</v>
      </c>
      <c r="P1186" s="92">
        <v>0</v>
      </c>
      <c r="Q1186" s="93" t="e">
        <f t="shared" si="272"/>
        <v>#DIV/0!</v>
      </c>
      <c r="R1186" s="94"/>
      <c r="S1186" s="285">
        <v>43830</v>
      </c>
    </row>
    <row r="1187" spans="1:30" customFormat="1" ht="31.5">
      <c r="A1187" s="87">
        <f t="shared" si="273"/>
        <v>101</v>
      </c>
      <c r="B1187" s="225" t="s">
        <v>265</v>
      </c>
      <c r="C1187" s="97">
        <v>1953</v>
      </c>
      <c r="D1187" s="97"/>
      <c r="E1187" s="89" t="s">
        <v>218</v>
      </c>
      <c r="F1187" s="97">
        <v>2</v>
      </c>
      <c r="G1187" s="97">
        <v>2</v>
      </c>
      <c r="H1187" s="97"/>
      <c r="I1187" s="97"/>
      <c r="J1187" s="97"/>
      <c r="K1187" s="98"/>
      <c r="L1187" s="92">
        <v>824390</v>
      </c>
      <c r="M1187" s="92">
        <v>0</v>
      </c>
      <c r="N1187" s="92">
        <v>0</v>
      </c>
      <c r="O1187" s="92">
        <f t="shared" si="271"/>
        <v>824390</v>
      </c>
      <c r="P1187" s="92">
        <v>0</v>
      </c>
      <c r="Q1187" s="93" t="e">
        <f t="shared" si="272"/>
        <v>#DIV/0!</v>
      </c>
      <c r="R1187" s="94"/>
      <c r="S1187" s="285">
        <v>43830</v>
      </c>
    </row>
    <row r="1188" spans="1:30" customFormat="1" ht="15.75">
      <c r="A1188" s="87">
        <f t="shared" si="273"/>
        <v>102</v>
      </c>
      <c r="B1188" s="234" t="s">
        <v>292</v>
      </c>
      <c r="C1188" s="88">
        <v>1951</v>
      </c>
      <c r="D1188" s="88"/>
      <c r="E1188" s="89" t="s">
        <v>220</v>
      </c>
      <c r="F1188" s="88">
        <v>2</v>
      </c>
      <c r="G1188" s="88">
        <v>3</v>
      </c>
      <c r="H1188" s="90"/>
      <c r="I1188" s="90"/>
      <c r="J1188" s="90"/>
      <c r="K1188" s="91"/>
      <c r="L1188" s="92">
        <v>2661189</v>
      </c>
      <c r="M1188" s="92">
        <v>0</v>
      </c>
      <c r="N1188" s="92">
        <v>0</v>
      </c>
      <c r="O1188" s="92">
        <f t="shared" si="271"/>
        <v>2661189</v>
      </c>
      <c r="P1188" s="92">
        <v>0</v>
      </c>
      <c r="Q1188" s="93" t="e">
        <f t="shared" si="272"/>
        <v>#DIV/0!</v>
      </c>
      <c r="R1188" s="94"/>
      <c r="S1188" s="285">
        <v>43830</v>
      </c>
    </row>
    <row r="1189" spans="1:30" s="33" customFormat="1" ht="31.5">
      <c r="A1189" s="87">
        <f t="shared" si="273"/>
        <v>103</v>
      </c>
      <c r="B1189" s="234" t="s">
        <v>276</v>
      </c>
      <c r="C1189" s="87">
        <v>1959</v>
      </c>
      <c r="D1189" s="88"/>
      <c r="E1189" s="89" t="s">
        <v>218</v>
      </c>
      <c r="F1189" s="88">
        <v>2</v>
      </c>
      <c r="G1189" s="88">
        <v>1</v>
      </c>
      <c r="H1189" s="96"/>
      <c r="I1189" s="96"/>
      <c r="J1189" s="96"/>
      <c r="K1189" s="81"/>
      <c r="L1189" s="92">
        <v>278220</v>
      </c>
      <c r="M1189" s="92">
        <v>0</v>
      </c>
      <c r="N1189" s="92">
        <v>0</v>
      </c>
      <c r="O1189" s="92">
        <f t="shared" si="271"/>
        <v>278220</v>
      </c>
      <c r="P1189" s="92">
        <v>0</v>
      </c>
      <c r="Q1189" s="93" t="e">
        <f t="shared" si="272"/>
        <v>#DIV/0!</v>
      </c>
      <c r="R1189" s="94"/>
      <c r="S1189" s="285">
        <v>43830</v>
      </c>
      <c r="T1189"/>
      <c r="U1189"/>
      <c r="V1189"/>
      <c r="W1189"/>
      <c r="X1189"/>
      <c r="Y1189"/>
      <c r="Z1189"/>
      <c r="AA1189"/>
      <c r="AB1189"/>
      <c r="AC1189"/>
      <c r="AD1189"/>
    </row>
    <row r="1190" spans="1:30" customFormat="1" ht="31.5">
      <c r="A1190" s="87">
        <f t="shared" si="273"/>
        <v>104</v>
      </c>
      <c r="B1190" s="225" t="s">
        <v>229</v>
      </c>
      <c r="C1190" s="97">
        <v>1928</v>
      </c>
      <c r="D1190" s="97"/>
      <c r="E1190" s="89" t="s">
        <v>218</v>
      </c>
      <c r="F1190" s="97">
        <v>3</v>
      </c>
      <c r="G1190" s="97">
        <v>6</v>
      </c>
      <c r="H1190" s="97"/>
      <c r="I1190" s="97"/>
      <c r="J1190" s="97"/>
      <c r="K1190" s="98"/>
      <c r="L1190" s="92">
        <v>2511472</v>
      </c>
      <c r="M1190" s="92">
        <v>0</v>
      </c>
      <c r="N1190" s="92">
        <v>0</v>
      </c>
      <c r="O1190" s="92">
        <f t="shared" si="271"/>
        <v>2511472</v>
      </c>
      <c r="P1190" s="92">
        <v>0</v>
      </c>
      <c r="Q1190" s="93" t="e">
        <f t="shared" si="272"/>
        <v>#DIV/0!</v>
      </c>
      <c r="R1190" s="94"/>
      <c r="S1190" s="285">
        <v>43830</v>
      </c>
    </row>
    <row r="1191" spans="1:30" customFormat="1" ht="31.5">
      <c r="A1191" s="87">
        <f t="shared" si="273"/>
        <v>105</v>
      </c>
      <c r="B1191" s="225" t="s">
        <v>309</v>
      </c>
      <c r="C1191" s="88">
        <v>1964</v>
      </c>
      <c r="D1191" s="88"/>
      <c r="E1191" s="89" t="s">
        <v>218</v>
      </c>
      <c r="F1191" s="88">
        <v>4</v>
      </c>
      <c r="G1191" s="88">
        <v>2</v>
      </c>
      <c r="H1191" s="90"/>
      <c r="I1191" s="90"/>
      <c r="J1191" s="90"/>
      <c r="K1191" s="91"/>
      <c r="L1191" s="92">
        <v>871988</v>
      </c>
      <c r="M1191" s="92">
        <v>0</v>
      </c>
      <c r="N1191" s="92">
        <v>0</v>
      </c>
      <c r="O1191" s="92">
        <f t="shared" si="271"/>
        <v>871988</v>
      </c>
      <c r="P1191" s="92">
        <v>0</v>
      </c>
      <c r="Q1191" s="93" t="e">
        <f t="shared" si="272"/>
        <v>#DIV/0!</v>
      </c>
      <c r="R1191" s="94"/>
      <c r="S1191" s="285">
        <v>43830</v>
      </c>
    </row>
    <row r="1192" spans="1:30" customFormat="1" ht="31.5">
      <c r="A1192" s="87">
        <f t="shared" si="273"/>
        <v>106</v>
      </c>
      <c r="B1192" s="225" t="s">
        <v>308</v>
      </c>
      <c r="C1192" s="88">
        <v>1966</v>
      </c>
      <c r="D1192" s="88"/>
      <c r="E1192" s="89" t="s">
        <v>218</v>
      </c>
      <c r="F1192" s="88">
        <v>4</v>
      </c>
      <c r="G1192" s="88">
        <v>4</v>
      </c>
      <c r="H1192" s="90"/>
      <c r="I1192" s="90"/>
      <c r="J1192" s="90"/>
      <c r="K1192" s="91"/>
      <c r="L1192" s="92">
        <v>2113335</v>
      </c>
      <c r="M1192" s="92">
        <v>0</v>
      </c>
      <c r="N1192" s="92">
        <v>0</v>
      </c>
      <c r="O1192" s="92">
        <f t="shared" si="271"/>
        <v>2113335</v>
      </c>
      <c r="P1192" s="92">
        <v>0</v>
      </c>
      <c r="Q1192" s="93" t="e">
        <f t="shared" si="272"/>
        <v>#DIV/0!</v>
      </c>
      <c r="R1192" s="94"/>
      <c r="S1192" s="285">
        <v>43830</v>
      </c>
    </row>
    <row r="1193" spans="1:30" customFormat="1" ht="31.5">
      <c r="A1193" s="87">
        <f t="shared" si="273"/>
        <v>107</v>
      </c>
      <c r="B1193" s="234" t="s">
        <v>296</v>
      </c>
      <c r="C1193" s="88">
        <v>1960</v>
      </c>
      <c r="D1193" s="88"/>
      <c r="E1193" s="89" t="s">
        <v>218</v>
      </c>
      <c r="F1193" s="88">
        <v>2</v>
      </c>
      <c r="G1193" s="88">
        <v>2</v>
      </c>
      <c r="H1193" s="90"/>
      <c r="I1193" s="90"/>
      <c r="J1193" s="90"/>
      <c r="K1193" s="91"/>
      <c r="L1193" s="92">
        <v>996585</v>
      </c>
      <c r="M1193" s="92">
        <v>0</v>
      </c>
      <c r="N1193" s="92">
        <v>0</v>
      </c>
      <c r="O1193" s="92">
        <f t="shared" si="271"/>
        <v>996585</v>
      </c>
      <c r="P1193" s="92">
        <v>0</v>
      </c>
      <c r="Q1193" s="93" t="e">
        <f t="shared" si="272"/>
        <v>#DIV/0!</v>
      </c>
      <c r="R1193" s="94"/>
      <c r="S1193" s="285">
        <v>43830</v>
      </c>
    </row>
    <row r="1194" spans="1:30" customFormat="1" ht="31.5">
      <c r="A1194" s="87">
        <f t="shared" si="273"/>
        <v>108</v>
      </c>
      <c r="B1194" s="234" t="s">
        <v>240</v>
      </c>
      <c r="C1194" s="97">
        <v>1955</v>
      </c>
      <c r="D1194" s="97"/>
      <c r="E1194" s="89" t="s">
        <v>218</v>
      </c>
      <c r="F1194" s="97">
        <v>2</v>
      </c>
      <c r="G1194" s="97">
        <v>2</v>
      </c>
      <c r="H1194" s="97"/>
      <c r="I1194" s="97"/>
      <c r="J1194" s="97"/>
      <c r="K1194" s="98"/>
      <c r="L1194" s="92">
        <v>637739</v>
      </c>
      <c r="M1194" s="92">
        <v>0</v>
      </c>
      <c r="N1194" s="92">
        <v>0</v>
      </c>
      <c r="O1194" s="92">
        <f t="shared" si="271"/>
        <v>637739</v>
      </c>
      <c r="P1194" s="92">
        <v>0</v>
      </c>
      <c r="Q1194" s="93" t="e">
        <f t="shared" si="272"/>
        <v>#DIV/0!</v>
      </c>
      <c r="R1194" s="94"/>
      <c r="S1194" s="285">
        <v>43830</v>
      </c>
    </row>
    <row r="1195" spans="1:30" customFormat="1" ht="15.75">
      <c r="A1195" s="87">
        <f t="shared" si="273"/>
        <v>109</v>
      </c>
      <c r="B1195" s="225" t="s">
        <v>243</v>
      </c>
      <c r="C1195" s="97">
        <v>1976</v>
      </c>
      <c r="D1195" s="97"/>
      <c r="E1195" s="89" t="s">
        <v>219</v>
      </c>
      <c r="F1195" s="97">
        <v>9</v>
      </c>
      <c r="G1195" s="97">
        <v>2</v>
      </c>
      <c r="H1195" s="97"/>
      <c r="I1195" s="97"/>
      <c r="J1195" s="97"/>
      <c r="K1195" s="98"/>
      <c r="L1195" s="92">
        <v>1357217</v>
      </c>
      <c r="M1195" s="92">
        <v>0</v>
      </c>
      <c r="N1195" s="92">
        <v>0</v>
      </c>
      <c r="O1195" s="92">
        <f t="shared" si="271"/>
        <v>1357217</v>
      </c>
      <c r="P1195" s="92">
        <v>0</v>
      </c>
      <c r="Q1195" s="93" t="e">
        <f t="shared" si="272"/>
        <v>#DIV/0!</v>
      </c>
      <c r="R1195" s="94"/>
      <c r="S1195" s="285">
        <v>43830</v>
      </c>
    </row>
    <row r="1196" spans="1:30" customFormat="1" ht="31.5">
      <c r="A1196" s="87">
        <f t="shared" si="273"/>
        <v>110</v>
      </c>
      <c r="B1196" s="234" t="s">
        <v>269</v>
      </c>
      <c r="C1196" s="97">
        <v>1952</v>
      </c>
      <c r="D1196" s="97"/>
      <c r="E1196" s="89" t="s">
        <v>218</v>
      </c>
      <c r="F1196" s="97">
        <v>2</v>
      </c>
      <c r="G1196" s="97">
        <v>2</v>
      </c>
      <c r="H1196" s="97"/>
      <c r="I1196" s="97"/>
      <c r="J1196" s="97"/>
      <c r="K1196" s="98"/>
      <c r="L1196" s="92">
        <v>836226</v>
      </c>
      <c r="M1196" s="92">
        <v>0</v>
      </c>
      <c r="N1196" s="92">
        <v>0</v>
      </c>
      <c r="O1196" s="92">
        <f t="shared" si="271"/>
        <v>836226</v>
      </c>
      <c r="P1196" s="92">
        <v>0</v>
      </c>
      <c r="Q1196" s="93" t="e">
        <f t="shared" si="272"/>
        <v>#DIV/0!</v>
      </c>
      <c r="R1196" s="94"/>
      <c r="S1196" s="285">
        <v>43830</v>
      </c>
    </row>
    <row r="1197" spans="1:30" customFormat="1" ht="31.5">
      <c r="A1197" s="87">
        <f t="shared" si="273"/>
        <v>111</v>
      </c>
      <c r="B1197" s="234" t="s">
        <v>299</v>
      </c>
      <c r="C1197" s="88">
        <v>1952</v>
      </c>
      <c r="D1197" s="88"/>
      <c r="E1197" s="89" t="s">
        <v>218</v>
      </c>
      <c r="F1197" s="88">
        <v>2</v>
      </c>
      <c r="G1197" s="88">
        <v>2</v>
      </c>
      <c r="H1197" s="90"/>
      <c r="I1197" s="90"/>
      <c r="J1197" s="90"/>
      <c r="K1197" s="91"/>
      <c r="L1197" s="92">
        <v>640078</v>
      </c>
      <c r="M1197" s="92">
        <v>0</v>
      </c>
      <c r="N1197" s="92">
        <v>0</v>
      </c>
      <c r="O1197" s="92">
        <f t="shared" si="271"/>
        <v>640078</v>
      </c>
      <c r="P1197" s="92">
        <v>0</v>
      </c>
      <c r="Q1197" s="93" t="e">
        <f t="shared" si="272"/>
        <v>#DIV/0!</v>
      </c>
      <c r="R1197" s="94"/>
      <c r="S1197" s="285">
        <v>43830</v>
      </c>
    </row>
    <row r="1198" spans="1:30" customFormat="1" ht="31.5">
      <c r="A1198" s="87">
        <f t="shared" si="273"/>
        <v>112</v>
      </c>
      <c r="B1198" s="225" t="s">
        <v>236</v>
      </c>
      <c r="C1198" s="97">
        <v>1959</v>
      </c>
      <c r="D1198" s="97"/>
      <c r="E1198" s="89" t="s">
        <v>218</v>
      </c>
      <c r="F1198" s="97">
        <v>2</v>
      </c>
      <c r="G1198" s="97">
        <v>2</v>
      </c>
      <c r="H1198" s="97"/>
      <c r="I1198" s="97"/>
      <c r="J1198" s="97"/>
      <c r="K1198" s="98"/>
      <c r="L1198" s="92">
        <v>202649</v>
      </c>
      <c r="M1198" s="92">
        <v>0</v>
      </c>
      <c r="N1198" s="92">
        <v>0</v>
      </c>
      <c r="O1198" s="92">
        <f t="shared" si="271"/>
        <v>202649</v>
      </c>
      <c r="P1198" s="92">
        <v>0</v>
      </c>
      <c r="Q1198" s="93" t="e">
        <f t="shared" si="272"/>
        <v>#DIV/0!</v>
      </c>
      <c r="R1198" s="94"/>
      <c r="S1198" s="285">
        <v>43830</v>
      </c>
    </row>
    <row r="1199" spans="1:30" customFormat="1" ht="31.5">
      <c r="A1199" s="87">
        <f t="shared" si="273"/>
        <v>113</v>
      </c>
      <c r="B1199" s="234" t="s">
        <v>285</v>
      </c>
      <c r="C1199" s="88">
        <v>1954</v>
      </c>
      <c r="D1199" s="88"/>
      <c r="E1199" s="89" t="s">
        <v>218</v>
      </c>
      <c r="F1199" s="100" t="s">
        <v>191</v>
      </c>
      <c r="G1199" s="88">
        <v>10</v>
      </c>
      <c r="H1199" s="90"/>
      <c r="I1199" s="90"/>
      <c r="J1199" s="90"/>
      <c r="K1199" s="91"/>
      <c r="L1199" s="92">
        <v>7892437</v>
      </c>
      <c r="M1199" s="92">
        <v>0</v>
      </c>
      <c r="N1199" s="92">
        <v>0</v>
      </c>
      <c r="O1199" s="92">
        <f t="shared" si="271"/>
        <v>7892437</v>
      </c>
      <c r="P1199" s="92">
        <v>0</v>
      </c>
      <c r="Q1199" s="93" t="e">
        <f t="shared" si="272"/>
        <v>#DIV/0!</v>
      </c>
      <c r="R1199" s="94"/>
      <c r="S1199" s="285">
        <v>43830</v>
      </c>
    </row>
    <row r="1200" spans="1:30" customFormat="1" ht="31.5">
      <c r="A1200" s="87">
        <f t="shared" si="273"/>
        <v>114</v>
      </c>
      <c r="B1200" s="234" t="s">
        <v>237</v>
      </c>
      <c r="C1200" s="97">
        <v>1950</v>
      </c>
      <c r="D1200" s="97"/>
      <c r="E1200" s="89" t="s">
        <v>218</v>
      </c>
      <c r="F1200" s="97">
        <v>2</v>
      </c>
      <c r="G1200" s="97">
        <v>1</v>
      </c>
      <c r="H1200" s="97"/>
      <c r="I1200" s="97"/>
      <c r="J1200" s="97"/>
      <c r="K1200" s="98"/>
      <c r="L1200" s="92">
        <v>523389</v>
      </c>
      <c r="M1200" s="92">
        <v>0</v>
      </c>
      <c r="N1200" s="92">
        <v>0</v>
      </c>
      <c r="O1200" s="92">
        <f t="shared" si="271"/>
        <v>523389</v>
      </c>
      <c r="P1200" s="92">
        <v>0</v>
      </c>
      <c r="Q1200" s="93" t="e">
        <f t="shared" si="272"/>
        <v>#DIV/0!</v>
      </c>
      <c r="R1200" s="94"/>
      <c r="S1200" s="285">
        <v>43830</v>
      </c>
    </row>
    <row r="1201" spans="1:30" customFormat="1" ht="15.75">
      <c r="A1201" s="87">
        <f t="shared" si="273"/>
        <v>115</v>
      </c>
      <c r="B1201" s="234" t="s">
        <v>264</v>
      </c>
      <c r="C1201" s="97">
        <v>1950</v>
      </c>
      <c r="D1201" s="97"/>
      <c r="E1201" s="89" t="s">
        <v>220</v>
      </c>
      <c r="F1201" s="97">
        <v>2</v>
      </c>
      <c r="G1201" s="97">
        <v>3</v>
      </c>
      <c r="H1201" s="97"/>
      <c r="I1201" s="97"/>
      <c r="J1201" s="97"/>
      <c r="K1201" s="98"/>
      <c r="L1201" s="92">
        <v>1038920</v>
      </c>
      <c r="M1201" s="92">
        <v>0</v>
      </c>
      <c r="N1201" s="92">
        <v>0</v>
      </c>
      <c r="O1201" s="92">
        <f t="shared" si="271"/>
        <v>1038920</v>
      </c>
      <c r="P1201" s="92">
        <v>0</v>
      </c>
      <c r="Q1201" s="93" t="e">
        <f t="shared" si="272"/>
        <v>#DIV/0!</v>
      </c>
      <c r="R1201" s="94"/>
      <c r="S1201" s="285">
        <v>43830</v>
      </c>
    </row>
    <row r="1202" spans="1:30" s="1" customFormat="1" ht="15.75">
      <c r="A1202" s="87">
        <f t="shared" si="273"/>
        <v>116</v>
      </c>
      <c r="B1202" s="234" t="s">
        <v>258</v>
      </c>
      <c r="C1202" s="97">
        <v>1950</v>
      </c>
      <c r="D1202" s="97"/>
      <c r="E1202" s="89" t="s">
        <v>220</v>
      </c>
      <c r="F1202" s="97">
        <v>2</v>
      </c>
      <c r="G1202" s="97">
        <v>2</v>
      </c>
      <c r="H1202" s="97"/>
      <c r="I1202" s="97"/>
      <c r="J1202" s="97"/>
      <c r="K1202" s="98"/>
      <c r="L1202" s="92">
        <v>1742553</v>
      </c>
      <c r="M1202" s="92">
        <v>0</v>
      </c>
      <c r="N1202" s="92">
        <v>0</v>
      </c>
      <c r="O1202" s="92">
        <f t="shared" si="271"/>
        <v>1742553</v>
      </c>
      <c r="P1202" s="92">
        <v>0</v>
      </c>
      <c r="Q1202" s="93" t="e">
        <f t="shared" si="272"/>
        <v>#DIV/0!</v>
      </c>
      <c r="R1202" s="94"/>
      <c r="S1202" s="285">
        <v>43830</v>
      </c>
      <c r="T1202"/>
      <c r="U1202"/>
      <c r="V1202"/>
      <c r="W1202"/>
      <c r="X1202"/>
      <c r="Y1202"/>
      <c r="Z1202"/>
      <c r="AA1202"/>
      <c r="AB1202"/>
      <c r="AC1202"/>
      <c r="AD1202"/>
    </row>
    <row r="1203" spans="1:30" customFormat="1" ht="31.5">
      <c r="A1203" s="87">
        <f t="shared" si="273"/>
        <v>117</v>
      </c>
      <c r="B1203" s="234" t="s">
        <v>250</v>
      </c>
      <c r="C1203" s="97">
        <v>1948</v>
      </c>
      <c r="D1203" s="97"/>
      <c r="E1203" s="89" t="s">
        <v>218</v>
      </c>
      <c r="F1203" s="97">
        <v>2</v>
      </c>
      <c r="G1203" s="97">
        <v>3</v>
      </c>
      <c r="H1203" s="97"/>
      <c r="I1203" s="97"/>
      <c r="J1203" s="97"/>
      <c r="K1203" s="98"/>
      <c r="L1203" s="92">
        <v>2124581</v>
      </c>
      <c r="M1203" s="92">
        <v>0</v>
      </c>
      <c r="N1203" s="92">
        <v>0</v>
      </c>
      <c r="O1203" s="92">
        <f t="shared" si="271"/>
        <v>2124581</v>
      </c>
      <c r="P1203" s="92">
        <v>0</v>
      </c>
      <c r="Q1203" s="93" t="e">
        <f t="shared" si="272"/>
        <v>#DIV/0!</v>
      </c>
      <c r="R1203" s="94"/>
      <c r="S1203" s="285">
        <v>43830</v>
      </c>
    </row>
    <row r="1204" spans="1:30" customFormat="1" ht="15.75">
      <c r="A1204" s="87">
        <f t="shared" si="273"/>
        <v>118</v>
      </c>
      <c r="B1204" s="234" t="s">
        <v>282</v>
      </c>
      <c r="C1204" s="87">
        <v>1948</v>
      </c>
      <c r="D1204" s="88"/>
      <c r="E1204" s="89" t="s">
        <v>220</v>
      </c>
      <c r="F1204" s="88">
        <v>2</v>
      </c>
      <c r="G1204" s="88">
        <v>3</v>
      </c>
      <c r="H1204" s="96"/>
      <c r="I1204" s="96"/>
      <c r="J1204" s="96"/>
      <c r="K1204" s="81"/>
      <c r="L1204" s="92">
        <v>2347478</v>
      </c>
      <c r="M1204" s="92">
        <v>0</v>
      </c>
      <c r="N1204" s="92">
        <v>0</v>
      </c>
      <c r="O1204" s="92">
        <f t="shared" si="271"/>
        <v>2347478</v>
      </c>
      <c r="P1204" s="92">
        <v>0</v>
      </c>
      <c r="Q1204" s="93" t="e">
        <f t="shared" si="272"/>
        <v>#DIV/0!</v>
      </c>
      <c r="R1204" s="94"/>
      <c r="S1204" s="285">
        <v>43830</v>
      </c>
    </row>
    <row r="1205" spans="1:30" customFormat="1" ht="31.5">
      <c r="A1205" s="87">
        <f t="shared" si="273"/>
        <v>119</v>
      </c>
      <c r="B1205" s="225" t="s">
        <v>267</v>
      </c>
      <c r="C1205" s="97">
        <v>1948</v>
      </c>
      <c r="D1205" s="97"/>
      <c r="E1205" s="89" t="s">
        <v>218</v>
      </c>
      <c r="F1205" s="97">
        <v>2</v>
      </c>
      <c r="G1205" s="97">
        <v>3</v>
      </c>
      <c r="H1205" s="97"/>
      <c r="I1205" s="97"/>
      <c r="J1205" s="97"/>
      <c r="K1205" s="98"/>
      <c r="L1205" s="92">
        <v>2468472</v>
      </c>
      <c r="M1205" s="92">
        <v>0</v>
      </c>
      <c r="N1205" s="92">
        <v>0</v>
      </c>
      <c r="O1205" s="92">
        <f t="shared" si="271"/>
        <v>2468472</v>
      </c>
      <c r="P1205" s="92">
        <v>0</v>
      </c>
      <c r="Q1205" s="93" t="e">
        <f t="shared" si="272"/>
        <v>#DIV/0!</v>
      </c>
      <c r="R1205" s="94"/>
      <c r="S1205" s="285">
        <v>43830</v>
      </c>
    </row>
    <row r="1206" spans="1:30" customFormat="1" ht="31.5">
      <c r="A1206" s="87">
        <f t="shared" si="273"/>
        <v>120</v>
      </c>
      <c r="B1206" s="234" t="s">
        <v>284</v>
      </c>
      <c r="C1206" s="88">
        <v>1950</v>
      </c>
      <c r="D1206" s="95"/>
      <c r="E1206" s="89" t="s">
        <v>218</v>
      </c>
      <c r="F1206" s="88">
        <v>2</v>
      </c>
      <c r="G1206" s="88">
        <v>2</v>
      </c>
      <c r="H1206" s="90"/>
      <c r="I1206" s="90"/>
      <c r="J1206" s="90"/>
      <c r="K1206" s="91"/>
      <c r="L1206" s="92">
        <v>1612780</v>
      </c>
      <c r="M1206" s="92">
        <v>0</v>
      </c>
      <c r="N1206" s="92">
        <v>0</v>
      </c>
      <c r="O1206" s="92">
        <f t="shared" si="271"/>
        <v>1612780</v>
      </c>
      <c r="P1206" s="92">
        <v>0</v>
      </c>
      <c r="Q1206" s="93" t="e">
        <f t="shared" si="272"/>
        <v>#DIV/0!</v>
      </c>
      <c r="R1206" s="94"/>
      <c r="S1206" s="285">
        <v>43830</v>
      </c>
    </row>
    <row r="1207" spans="1:30" customFormat="1" ht="31.5">
      <c r="A1207" s="87">
        <f t="shared" si="273"/>
        <v>121</v>
      </c>
      <c r="B1207" s="234" t="s">
        <v>256</v>
      </c>
      <c r="C1207" s="97">
        <v>1947</v>
      </c>
      <c r="D1207" s="97"/>
      <c r="E1207" s="89" t="s">
        <v>218</v>
      </c>
      <c r="F1207" s="97">
        <v>2</v>
      </c>
      <c r="G1207" s="97">
        <v>2</v>
      </c>
      <c r="H1207" s="97"/>
      <c r="I1207" s="97"/>
      <c r="J1207" s="97"/>
      <c r="K1207" s="98"/>
      <c r="L1207" s="92">
        <v>2580419</v>
      </c>
      <c r="M1207" s="92">
        <v>0</v>
      </c>
      <c r="N1207" s="92">
        <v>0</v>
      </c>
      <c r="O1207" s="92">
        <f t="shared" si="271"/>
        <v>2580419</v>
      </c>
      <c r="P1207" s="92">
        <v>0</v>
      </c>
      <c r="Q1207" s="93" t="e">
        <f t="shared" si="272"/>
        <v>#DIV/0!</v>
      </c>
      <c r="R1207" s="94"/>
      <c r="S1207" s="285">
        <v>43830</v>
      </c>
    </row>
    <row r="1208" spans="1:30" customFormat="1" ht="15.75">
      <c r="A1208" s="87">
        <f t="shared" si="273"/>
        <v>122</v>
      </c>
      <c r="B1208" s="225" t="s">
        <v>335</v>
      </c>
      <c r="C1208" s="97">
        <v>1963</v>
      </c>
      <c r="D1208" s="97"/>
      <c r="E1208" s="89" t="s">
        <v>219</v>
      </c>
      <c r="F1208" s="97">
        <v>5</v>
      </c>
      <c r="G1208" s="97">
        <v>4</v>
      </c>
      <c r="H1208" s="97"/>
      <c r="I1208" s="97"/>
      <c r="J1208" s="97"/>
      <c r="K1208" s="98"/>
      <c r="L1208" s="92">
        <v>1681645</v>
      </c>
      <c r="M1208" s="92">
        <v>0</v>
      </c>
      <c r="N1208" s="92">
        <v>0</v>
      </c>
      <c r="O1208" s="92">
        <f t="shared" si="271"/>
        <v>1681645</v>
      </c>
      <c r="P1208" s="92">
        <v>0</v>
      </c>
      <c r="Q1208" s="93" t="e">
        <f t="shared" si="272"/>
        <v>#DIV/0!</v>
      </c>
      <c r="R1208" s="94"/>
      <c r="S1208" s="285">
        <v>43830</v>
      </c>
    </row>
    <row r="1209" spans="1:30" customFormat="1" ht="31.5">
      <c r="A1209" s="87">
        <f t="shared" si="273"/>
        <v>123</v>
      </c>
      <c r="B1209" s="234" t="s">
        <v>255</v>
      </c>
      <c r="C1209" s="97">
        <v>1950</v>
      </c>
      <c r="D1209" s="97"/>
      <c r="E1209" s="89" t="s">
        <v>218</v>
      </c>
      <c r="F1209" s="97">
        <v>2</v>
      </c>
      <c r="G1209" s="97">
        <v>2</v>
      </c>
      <c r="H1209" s="97"/>
      <c r="I1209" s="97"/>
      <c r="J1209" s="97"/>
      <c r="K1209" s="98"/>
      <c r="L1209" s="92">
        <v>1318880</v>
      </c>
      <c r="M1209" s="92">
        <v>0</v>
      </c>
      <c r="N1209" s="92">
        <v>0</v>
      </c>
      <c r="O1209" s="92">
        <f t="shared" si="271"/>
        <v>1318880</v>
      </c>
      <c r="P1209" s="92">
        <v>0</v>
      </c>
      <c r="Q1209" s="93" t="e">
        <f t="shared" si="272"/>
        <v>#DIV/0!</v>
      </c>
      <c r="R1209" s="94"/>
      <c r="S1209" s="285">
        <v>43830</v>
      </c>
    </row>
    <row r="1210" spans="1:30" customFormat="1" ht="15.75">
      <c r="A1210" s="87">
        <f t="shared" si="273"/>
        <v>124</v>
      </c>
      <c r="B1210" s="234" t="s">
        <v>245</v>
      </c>
      <c r="C1210" s="97">
        <v>1949</v>
      </c>
      <c r="D1210" s="97"/>
      <c r="E1210" s="89" t="s">
        <v>220</v>
      </c>
      <c r="F1210" s="97">
        <v>2</v>
      </c>
      <c r="G1210" s="97">
        <v>1</v>
      </c>
      <c r="H1210" s="97"/>
      <c r="I1210" s="97"/>
      <c r="J1210" s="97"/>
      <c r="K1210" s="98"/>
      <c r="L1210" s="92">
        <v>1566345</v>
      </c>
      <c r="M1210" s="92">
        <v>0</v>
      </c>
      <c r="N1210" s="92">
        <v>0</v>
      </c>
      <c r="O1210" s="92">
        <f t="shared" si="271"/>
        <v>1566345</v>
      </c>
      <c r="P1210" s="92">
        <v>0</v>
      </c>
      <c r="Q1210" s="93" t="e">
        <f t="shared" si="272"/>
        <v>#DIV/0!</v>
      </c>
      <c r="R1210" s="94"/>
      <c r="S1210" s="285">
        <v>43830</v>
      </c>
    </row>
    <row r="1211" spans="1:30" customFormat="1" ht="31.5">
      <c r="A1211" s="87">
        <f t="shared" si="273"/>
        <v>125</v>
      </c>
      <c r="B1211" s="225" t="s">
        <v>449</v>
      </c>
      <c r="C1211" s="88">
        <v>1984</v>
      </c>
      <c r="D1211" s="88"/>
      <c r="E1211" s="89" t="s">
        <v>219</v>
      </c>
      <c r="F1211" s="88">
        <v>9</v>
      </c>
      <c r="G1211" s="88">
        <v>1</v>
      </c>
      <c r="H1211" s="90"/>
      <c r="I1211" s="90"/>
      <c r="J1211" s="90"/>
      <c r="K1211" s="91"/>
      <c r="L1211" s="92">
        <v>1910088</v>
      </c>
      <c r="M1211" s="92">
        <v>0</v>
      </c>
      <c r="N1211" s="92">
        <v>0</v>
      </c>
      <c r="O1211" s="92">
        <f t="shared" si="271"/>
        <v>1910088</v>
      </c>
      <c r="P1211" s="92">
        <v>0</v>
      </c>
      <c r="Q1211" s="93" t="e">
        <f t="shared" si="272"/>
        <v>#DIV/0!</v>
      </c>
      <c r="R1211" s="94"/>
      <c r="S1211" s="285">
        <v>43830</v>
      </c>
    </row>
    <row r="1212" spans="1:30" customFormat="1" ht="31.5">
      <c r="A1212" s="87">
        <f t="shared" si="273"/>
        <v>126</v>
      </c>
      <c r="B1212" s="234" t="s">
        <v>280</v>
      </c>
      <c r="C1212" s="87">
        <v>1966</v>
      </c>
      <c r="D1212" s="88"/>
      <c r="E1212" s="89" t="s">
        <v>218</v>
      </c>
      <c r="F1212" s="88">
        <v>5</v>
      </c>
      <c r="G1212" s="88">
        <v>3</v>
      </c>
      <c r="H1212" s="96"/>
      <c r="I1212" s="96"/>
      <c r="J1212" s="96"/>
      <c r="K1212" s="81"/>
      <c r="L1212" s="92">
        <v>2694957</v>
      </c>
      <c r="M1212" s="92">
        <v>0</v>
      </c>
      <c r="N1212" s="92">
        <v>0</v>
      </c>
      <c r="O1212" s="92">
        <f t="shared" si="271"/>
        <v>2694957</v>
      </c>
      <c r="P1212" s="92">
        <v>0</v>
      </c>
      <c r="Q1212" s="93" t="e">
        <f t="shared" si="272"/>
        <v>#DIV/0!</v>
      </c>
      <c r="R1212" s="94"/>
      <c r="S1212" s="285">
        <v>43830</v>
      </c>
    </row>
    <row r="1213" spans="1:30" customFormat="1" ht="31.5">
      <c r="A1213" s="87">
        <f t="shared" si="273"/>
        <v>127</v>
      </c>
      <c r="B1213" s="234" t="s">
        <v>367</v>
      </c>
      <c r="C1213" s="97">
        <v>1958</v>
      </c>
      <c r="D1213" s="97"/>
      <c r="E1213" s="89" t="s">
        <v>218</v>
      </c>
      <c r="F1213" s="97">
        <v>2</v>
      </c>
      <c r="G1213" s="97">
        <v>1</v>
      </c>
      <c r="H1213" s="97"/>
      <c r="I1213" s="97"/>
      <c r="J1213" s="97"/>
      <c r="K1213" s="98"/>
      <c r="L1213" s="92">
        <v>580578</v>
      </c>
      <c r="M1213" s="92">
        <v>0</v>
      </c>
      <c r="N1213" s="92">
        <v>0</v>
      </c>
      <c r="O1213" s="92">
        <f t="shared" si="271"/>
        <v>580578</v>
      </c>
      <c r="P1213" s="92">
        <v>0</v>
      </c>
      <c r="Q1213" s="93" t="e">
        <f t="shared" si="272"/>
        <v>#DIV/0!</v>
      </c>
      <c r="R1213" s="94"/>
      <c r="S1213" s="285">
        <v>43830</v>
      </c>
    </row>
    <row r="1214" spans="1:30" customFormat="1" ht="31.5">
      <c r="A1214" s="87">
        <f t="shared" si="273"/>
        <v>128</v>
      </c>
      <c r="B1214" s="234" t="s">
        <v>464</v>
      </c>
      <c r="C1214" s="97">
        <v>1971</v>
      </c>
      <c r="D1214" s="97"/>
      <c r="E1214" s="89" t="s">
        <v>218</v>
      </c>
      <c r="F1214" s="97">
        <v>2</v>
      </c>
      <c r="G1214" s="97">
        <v>1</v>
      </c>
      <c r="H1214" s="97"/>
      <c r="I1214" s="97"/>
      <c r="J1214" s="97"/>
      <c r="K1214" s="98"/>
      <c r="L1214" s="92">
        <v>615357</v>
      </c>
      <c r="M1214" s="92">
        <v>0</v>
      </c>
      <c r="N1214" s="92">
        <v>0</v>
      </c>
      <c r="O1214" s="92">
        <f t="shared" si="271"/>
        <v>615357</v>
      </c>
      <c r="P1214" s="92">
        <v>0</v>
      </c>
      <c r="Q1214" s="93" t="e">
        <f t="shared" si="272"/>
        <v>#DIV/0!</v>
      </c>
      <c r="R1214" s="94"/>
      <c r="S1214" s="285">
        <v>43830</v>
      </c>
    </row>
    <row r="1215" spans="1:30" customFormat="1" ht="31.5">
      <c r="A1215" s="87">
        <f t="shared" si="273"/>
        <v>129</v>
      </c>
      <c r="B1215" s="234" t="s">
        <v>385</v>
      </c>
      <c r="C1215" s="97">
        <v>1957</v>
      </c>
      <c r="D1215" s="97"/>
      <c r="E1215" s="89" t="s">
        <v>218</v>
      </c>
      <c r="F1215" s="97">
        <v>2</v>
      </c>
      <c r="G1215" s="97">
        <v>1</v>
      </c>
      <c r="H1215" s="97"/>
      <c r="I1215" s="97"/>
      <c r="J1215" s="97"/>
      <c r="K1215" s="98"/>
      <c r="L1215" s="92">
        <v>269948.13</v>
      </c>
      <c r="M1215" s="92">
        <v>0</v>
      </c>
      <c r="N1215" s="92">
        <v>0</v>
      </c>
      <c r="O1215" s="92">
        <f t="shared" ref="O1215:O1254" si="274">L1215</f>
        <v>269948.13</v>
      </c>
      <c r="P1215" s="92">
        <v>0</v>
      </c>
      <c r="Q1215" s="93" t="e">
        <f t="shared" ref="Q1215:Q1254" si="275">L1215/I1215</f>
        <v>#DIV/0!</v>
      </c>
      <c r="R1215" s="94"/>
      <c r="S1215" s="285">
        <v>43830</v>
      </c>
    </row>
    <row r="1216" spans="1:30" customFormat="1" ht="15.75">
      <c r="A1216" s="87">
        <f t="shared" si="273"/>
        <v>130</v>
      </c>
      <c r="B1216" s="234" t="s">
        <v>238</v>
      </c>
      <c r="C1216" s="97">
        <v>1924</v>
      </c>
      <c r="D1216" s="97"/>
      <c r="E1216" s="89" t="s">
        <v>221</v>
      </c>
      <c r="F1216" s="97">
        <v>2</v>
      </c>
      <c r="G1216" s="97">
        <v>2</v>
      </c>
      <c r="H1216" s="97"/>
      <c r="I1216" s="97"/>
      <c r="J1216" s="97"/>
      <c r="K1216" s="98"/>
      <c r="L1216" s="92">
        <v>807980</v>
      </c>
      <c r="M1216" s="92">
        <v>0</v>
      </c>
      <c r="N1216" s="92">
        <v>0</v>
      </c>
      <c r="O1216" s="92">
        <f t="shared" si="274"/>
        <v>807980</v>
      </c>
      <c r="P1216" s="92">
        <v>0</v>
      </c>
      <c r="Q1216" s="93" t="e">
        <f t="shared" si="275"/>
        <v>#DIV/0!</v>
      </c>
      <c r="R1216" s="94"/>
      <c r="S1216" s="285">
        <v>43830</v>
      </c>
    </row>
    <row r="1217" spans="1:19" customFormat="1" ht="31.5">
      <c r="A1217" s="87">
        <f t="shared" ref="A1217:A1273" si="276">A1216+1</f>
        <v>131</v>
      </c>
      <c r="B1217" s="234" t="s">
        <v>273</v>
      </c>
      <c r="C1217" s="87">
        <v>1949</v>
      </c>
      <c r="D1217" s="88"/>
      <c r="E1217" s="89" t="s">
        <v>218</v>
      </c>
      <c r="F1217" s="88">
        <v>2</v>
      </c>
      <c r="G1217" s="88">
        <v>1</v>
      </c>
      <c r="H1217" s="96"/>
      <c r="I1217" s="96"/>
      <c r="J1217" s="96"/>
      <c r="K1217" s="81"/>
      <c r="L1217" s="92">
        <v>661525</v>
      </c>
      <c r="M1217" s="92">
        <v>0</v>
      </c>
      <c r="N1217" s="92">
        <v>0</v>
      </c>
      <c r="O1217" s="92">
        <f t="shared" si="274"/>
        <v>661525</v>
      </c>
      <c r="P1217" s="92">
        <v>0</v>
      </c>
      <c r="Q1217" s="93" t="e">
        <f t="shared" si="275"/>
        <v>#DIV/0!</v>
      </c>
      <c r="R1217" s="94"/>
      <c r="S1217" s="285">
        <v>43830</v>
      </c>
    </row>
    <row r="1218" spans="1:19" customFormat="1" ht="15.75">
      <c r="A1218" s="87">
        <f t="shared" si="276"/>
        <v>132</v>
      </c>
      <c r="B1218" s="234" t="s">
        <v>297</v>
      </c>
      <c r="C1218" s="88">
        <v>1981</v>
      </c>
      <c r="D1218" s="88"/>
      <c r="E1218" s="89" t="s">
        <v>219</v>
      </c>
      <c r="F1218" s="88">
        <v>9</v>
      </c>
      <c r="G1218" s="88">
        <v>2</v>
      </c>
      <c r="H1218" s="90"/>
      <c r="I1218" s="90"/>
      <c r="J1218" s="90"/>
      <c r="K1218" s="91"/>
      <c r="L1218" s="92">
        <v>3719885</v>
      </c>
      <c r="M1218" s="92">
        <v>0</v>
      </c>
      <c r="N1218" s="92">
        <v>0</v>
      </c>
      <c r="O1218" s="92">
        <f t="shared" si="274"/>
        <v>3719885</v>
      </c>
      <c r="P1218" s="92">
        <v>0</v>
      </c>
      <c r="Q1218" s="93" t="e">
        <f t="shared" si="275"/>
        <v>#DIV/0!</v>
      </c>
      <c r="R1218" s="94"/>
      <c r="S1218" s="285">
        <v>43830</v>
      </c>
    </row>
    <row r="1219" spans="1:19" customFormat="1" ht="31.5">
      <c r="A1219" s="87">
        <f t="shared" si="276"/>
        <v>133</v>
      </c>
      <c r="B1219" s="234" t="s">
        <v>263</v>
      </c>
      <c r="C1219" s="97">
        <v>1949</v>
      </c>
      <c r="D1219" s="97"/>
      <c r="E1219" s="89" t="s">
        <v>218</v>
      </c>
      <c r="F1219" s="97">
        <v>2</v>
      </c>
      <c r="G1219" s="97">
        <v>2</v>
      </c>
      <c r="H1219" s="97"/>
      <c r="I1219" s="97"/>
      <c r="J1219" s="97"/>
      <c r="K1219" s="98"/>
      <c r="L1219" s="92">
        <v>1726391</v>
      </c>
      <c r="M1219" s="92">
        <v>0</v>
      </c>
      <c r="N1219" s="92">
        <v>0</v>
      </c>
      <c r="O1219" s="92">
        <f t="shared" si="274"/>
        <v>1726391</v>
      </c>
      <c r="P1219" s="92">
        <v>0</v>
      </c>
      <c r="Q1219" s="93" t="e">
        <f t="shared" si="275"/>
        <v>#DIV/0!</v>
      </c>
      <c r="R1219" s="94"/>
      <c r="S1219" s="285">
        <v>43830</v>
      </c>
    </row>
    <row r="1220" spans="1:19" customFormat="1" ht="15.75">
      <c r="A1220" s="87">
        <f t="shared" si="276"/>
        <v>134</v>
      </c>
      <c r="B1220" s="234" t="s">
        <v>235</v>
      </c>
      <c r="C1220" s="97">
        <v>1950</v>
      </c>
      <c r="D1220" s="97"/>
      <c r="E1220" s="89" t="s">
        <v>220</v>
      </c>
      <c r="F1220" s="97">
        <v>2</v>
      </c>
      <c r="G1220" s="97">
        <v>1</v>
      </c>
      <c r="H1220" s="97"/>
      <c r="I1220" s="97"/>
      <c r="J1220" s="97"/>
      <c r="K1220" s="98"/>
      <c r="L1220" s="92">
        <v>1521754</v>
      </c>
      <c r="M1220" s="92">
        <v>0</v>
      </c>
      <c r="N1220" s="92">
        <v>0</v>
      </c>
      <c r="O1220" s="92">
        <f t="shared" si="274"/>
        <v>1521754</v>
      </c>
      <c r="P1220" s="92">
        <v>0</v>
      </c>
      <c r="Q1220" s="93" t="e">
        <f t="shared" si="275"/>
        <v>#DIV/0!</v>
      </c>
      <c r="R1220" s="94"/>
      <c r="S1220" s="285">
        <v>43830</v>
      </c>
    </row>
    <row r="1221" spans="1:19" customFormat="1" ht="31.5">
      <c r="A1221" s="87">
        <f t="shared" si="276"/>
        <v>135</v>
      </c>
      <c r="B1221" s="225" t="s">
        <v>227</v>
      </c>
      <c r="C1221" s="97">
        <v>1937</v>
      </c>
      <c r="D1221" s="97"/>
      <c r="E1221" s="89" t="s">
        <v>218</v>
      </c>
      <c r="F1221" s="97">
        <v>2</v>
      </c>
      <c r="G1221" s="97">
        <v>1</v>
      </c>
      <c r="H1221" s="97"/>
      <c r="I1221" s="97"/>
      <c r="J1221" s="97"/>
      <c r="K1221" s="98"/>
      <c r="L1221" s="92">
        <v>671505</v>
      </c>
      <c r="M1221" s="92">
        <v>0</v>
      </c>
      <c r="N1221" s="92">
        <v>0</v>
      </c>
      <c r="O1221" s="92">
        <f t="shared" si="274"/>
        <v>671505</v>
      </c>
      <c r="P1221" s="92">
        <v>0</v>
      </c>
      <c r="Q1221" s="93" t="e">
        <f t="shared" si="275"/>
        <v>#DIV/0!</v>
      </c>
      <c r="R1221" s="94"/>
      <c r="S1221" s="285">
        <v>43830</v>
      </c>
    </row>
    <row r="1222" spans="1:19" customFormat="1" ht="31.5">
      <c r="A1222" s="87">
        <f t="shared" si="276"/>
        <v>136</v>
      </c>
      <c r="B1222" s="234" t="s">
        <v>339</v>
      </c>
      <c r="C1222" s="97">
        <v>1961</v>
      </c>
      <c r="D1222" s="97"/>
      <c r="E1222" s="89" t="s">
        <v>218</v>
      </c>
      <c r="F1222" s="97">
        <v>3</v>
      </c>
      <c r="G1222" s="97">
        <v>2</v>
      </c>
      <c r="H1222" s="97"/>
      <c r="I1222" s="97"/>
      <c r="J1222" s="97"/>
      <c r="K1222" s="98"/>
      <c r="L1222" s="92">
        <v>1081718</v>
      </c>
      <c r="M1222" s="92">
        <v>0</v>
      </c>
      <c r="N1222" s="92">
        <v>0</v>
      </c>
      <c r="O1222" s="92">
        <f t="shared" si="274"/>
        <v>1081718</v>
      </c>
      <c r="P1222" s="92">
        <v>0</v>
      </c>
      <c r="Q1222" s="93" t="e">
        <f t="shared" si="275"/>
        <v>#DIV/0!</v>
      </c>
      <c r="R1222" s="94"/>
      <c r="S1222" s="285">
        <v>43830</v>
      </c>
    </row>
    <row r="1223" spans="1:19" customFormat="1" ht="15.75">
      <c r="A1223" s="87">
        <f t="shared" si="276"/>
        <v>137</v>
      </c>
      <c r="B1223" s="234" t="s">
        <v>231</v>
      </c>
      <c r="C1223" s="97">
        <v>1960</v>
      </c>
      <c r="D1223" s="97"/>
      <c r="E1223" s="89" t="s">
        <v>220</v>
      </c>
      <c r="F1223" s="97">
        <v>3</v>
      </c>
      <c r="G1223" s="97">
        <v>2</v>
      </c>
      <c r="H1223" s="97"/>
      <c r="I1223" s="97"/>
      <c r="J1223" s="97"/>
      <c r="K1223" s="98"/>
      <c r="L1223" s="92">
        <v>206635</v>
      </c>
      <c r="M1223" s="92">
        <v>0</v>
      </c>
      <c r="N1223" s="92">
        <v>0</v>
      </c>
      <c r="O1223" s="92">
        <f t="shared" si="274"/>
        <v>206635</v>
      </c>
      <c r="P1223" s="92">
        <v>0</v>
      </c>
      <c r="Q1223" s="93" t="e">
        <f t="shared" si="275"/>
        <v>#DIV/0!</v>
      </c>
      <c r="R1223" s="94"/>
      <c r="S1223" s="285">
        <v>43830</v>
      </c>
    </row>
    <row r="1224" spans="1:19" customFormat="1" ht="15.75">
      <c r="A1224" s="87">
        <f t="shared" si="276"/>
        <v>138</v>
      </c>
      <c r="B1224" s="225" t="s">
        <v>300</v>
      </c>
      <c r="C1224" s="88">
        <v>1961</v>
      </c>
      <c r="D1224" s="88"/>
      <c r="E1224" s="89" t="s">
        <v>220</v>
      </c>
      <c r="F1224" s="88">
        <v>3</v>
      </c>
      <c r="G1224" s="88">
        <v>2</v>
      </c>
      <c r="H1224" s="90"/>
      <c r="I1224" s="90"/>
      <c r="J1224" s="90"/>
      <c r="K1224" s="91"/>
      <c r="L1224" s="92">
        <v>1044081.04</v>
      </c>
      <c r="M1224" s="92">
        <v>0</v>
      </c>
      <c r="N1224" s="92">
        <v>0</v>
      </c>
      <c r="O1224" s="92">
        <f t="shared" si="274"/>
        <v>1044081.04</v>
      </c>
      <c r="P1224" s="92">
        <v>0</v>
      </c>
      <c r="Q1224" s="93" t="e">
        <f t="shared" si="275"/>
        <v>#DIV/0!</v>
      </c>
      <c r="R1224" s="94"/>
      <c r="S1224" s="285">
        <v>43830</v>
      </c>
    </row>
    <row r="1225" spans="1:19" customFormat="1" ht="31.5">
      <c r="A1225" s="87">
        <f t="shared" si="276"/>
        <v>139</v>
      </c>
      <c r="B1225" s="225" t="s">
        <v>283</v>
      </c>
      <c r="C1225" s="87">
        <v>1959</v>
      </c>
      <c r="D1225" s="88"/>
      <c r="E1225" s="89" t="s">
        <v>218</v>
      </c>
      <c r="F1225" s="88">
        <v>2</v>
      </c>
      <c r="G1225" s="88">
        <v>2</v>
      </c>
      <c r="H1225" s="96"/>
      <c r="I1225" s="96"/>
      <c r="J1225" s="96"/>
      <c r="K1225" s="81"/>
      <c r="L1225" s="92">
        <v>1340000</v>
      </c>
      <c r="M1225" s="92">
        <v>0</v>
      </c>
      <c r="N1225" s="92">
        <v>0</v>
      </c>
      <c r="O1225" s="92">
        <f t="shared" si="274"/>
        <v>1340000</v>
      </c>
      <c r="P1225" s="92">
        <v>0</v>
      </c>
      <c r="Q1225" s="93" t="e">
        <f t="shared" si="275"/>
        <v>#DIV/0!</v>
      </c>
      <c r="R1225" s="94"/>
      <c r="S1225" s="285">
        <v>43830</v>
      </c>
    </row>
    <row r="1226" spans="1:19" customFormat="1" ht="15.75">
      <c r="A1226" s="87">
        <f t="shared" si="276"/>
        <v>140</v>
      </c>
      <c r="B1226" s="234" t="s">
        <v>450</v>
      </c>
      <c r="C1226" s="87">
        <v>1975</v>
      </c>
      <c r="D1226" s="88"/>
      <c r="E1226" s="89" t="s">
        <v>219</v>
      </c>
      <c r="F1226" s="88">
        <v>5</v>
      </c>
      <c r="G1226" s="88">
        <v>6</v>
      </c>
      <c r="H1226" s="96"/>
      <c r="I1226" s="96"/>
      <c r="J1226" s="96"/>
      <c r="K1226" s="81"/>
      <c r="L1226" s="92">
        <v>2294529</v>
      </c>
      <c r="M1226" s="92">
        <v>0</v>
      </c>
      <c r="N1226" s="92">
        <v>0</v>
      </c>
      <c r="O1226" s="92">
        <f t="shared" si="274"/>
        <v>2294529</v>
      </c>
      <c r="P1226" s="92">
        <v>0</v>
      </c>
      <c r="Q1226" s="93" t="e">
        <f t="shared" si="275"/>
        <v>#DIV/0!</v>
      </c>
      <c r="R1226" s="94"/>
      <c r="S1226" s="285">
        <v>43830</v>
      </c>
    </row>
    <row r="1227" spans="1:19" customFormat="1" ht="15.75">
      <c r="A1227" s="87">
        <f t="shared" si="276"/>
        <v>141</v>
      </c>
      <c r="B1227" s="234" t="s">
        <v>230</v>
      </c>
      <c r="C1227" s="97">
        <v>1981</v>
      </c>
      <c r="D1227" s="97"/>
      <c r="E1227" s="89" t="s">
        <v>219</v>
      </c>
      <c r="F1227" s="97">
        <v>9</v>
      </c>
      <c r="G1227" s="97">
        <v>2</v>
      </c>
      <c r="H1227" s="97"/>
      <c r="I1227" s="97"/>
      <c r="J1227" s="97"/>
      <c r="K1227" s="98"/>
      <c r="L1227" s="92">
        <v>2615616.2000000002</v>
      </c>
      <c r="M1227" s="92">
        <v>0</v>
      </c>
      <c r="N1227" s="92">
        <v>0</v>
      </c>
      <c r="O1227" s="92">
        <f t="shared" si="274"/>
        <v>2615616.2000000002</v>
      </c>
      <c r="P1227" s="92">
        <v>0</v>
      </c>
      <c r="Q1227" s="93" t="e">
        <f t="shared" si="275"/>
        <v>#DIV/0!</v>
      </c>
      <c r="R1227" s="94"/>
      <c r="S1227" s="285">
        <v>43830</v>
      </c>
    </row>
    <row r="1228" spans="1:19" customFormat="1" ht="31.5">
      <c r="A1228" s="87">
        <f t="shared" si="276"/>
        <v>142</v>
      </c>
      <c r="B1228" s="225" t="s">
        <v>295</v>
      </c>
      <c r="C1228" s="88">
        <v>1964</v>
      </c>
      <c r="D1228" s="88"/>
      <c r="E1228" s="89" t="s">
        <v>218</v>
      </c>
      <c r="F1228" s="88">
        <v>5</v>
      </c>
      <c r="G1228" s="88">
        <v>3</v>
      </c>
      <c r="H1228" s="90"/>
      <c r="I1228" s="90"/>
      <c r="J1228" s="90"/>
      <c r="K1228" s="91"/>
      <c r="L1228" s="92">
        <v>1561539</v>
      </c>
      <c r="M1228" s="92">
        <v>0</v>
      </c>
      <c r="N1228" s="92">
        <v>0</v>
      </c>
      <c r="O1228" s="92">
        <f t="shared" si="274"/>
        <v>1561539</v>
      </c>
      <c r="P1228" s="92">
        <v>0</v>
      </c>
      <c r="Q1228" s="93" t="e">
        <f t="shared" si="275"/>
        <v>#DIV/0!</v>
      </c>
      <c r="R1228" s="94"/>
      <c r="S1228" s="285">
        <v>43830</v>
      </c>
    </row>
    <row r="1229" spans="1:19" customFormat="1" ht="31.5">
      <c r="A1229" s="87">
        <f t="shared" si="276"/>
        <v>143</v>
      </c>
      <c r="B1229" s="234" t="s">
        <v>294</v>
      </c>
      <c r="C1229" s="88">
        <v>1960</v>
      </c>
      <c r="D1229" s="88"/>
      <c r="E1229" s="89" t="s">
        <v>218</v>
      </c>
      <c r="F1229" s="88">
        <v>5</v>
      </c>
      <c r="G1229" s="88">
        <v>2</v>
      </c>
      <c r="H1229" s="90"/>
      <c r="I1229" s="90"/>
      <c r="J1229" s="90"/>
      <c r="K1229" s="91"/>
      <c r="L1229" s="92">
        <v>1421187</v>
      </c>
      <c r="M1229" s="92">
        <v>0</v>
      </c>
      <c r="N1229" s="92">
        <v>0</v>
      </c>
      <c r="O1229" s="92">
        <f t="shared" si="274"/>
        <v>1421187</v>
      </c>
      <c r="P1229" s="92">
        <v>0</v>
      </c>
      <c r="Q1229" s="93" t="e">
        <f t="shared" si="275"/>
        <v>#DIV/0!</v>
      </c>
      <c r="R1229" s="94"/>
      <c r="S1229" s="285">
        <v>43830</v>
      </c>
    </row>
    <row r="1230" spans="1:19" customFormat="1" ht="15.75">
      <c r="A1230" s="87">
        <f t="shared" si="276"/>
        <v>144</v>
      </c>
      <c r="B1230" s="234" t="s">
        <v>270</v>
      </c>
      <c r="C1230" s="97">
        <v>1962</v>
      </c>
      <c r="D1230" s="97"/>
      <c r="E1230" s="89" t="s">
        <v>219</v>
      </c>
      <c r="F1230" s="97">
        <v>4</v>
      </c>
      <c r="G1230" s="97">
        <v>4</v>
      </c>
      <c r="H1230" s="97"/>
      <c r="I1230" s="97"/>
      <c r="J1230" s="97"/>
      <c r="K1230" s="98"/>
      <c r="L1230" s="92">
        <v>2469740</v>
      </c>
      <c r="M1230" s="92">
        <v>0</v>
      </c>
      <c r="N1230" s="92">
        <v>0</v>
      </c>
      <c r="O1230" s="92">
        <f t="shared" si="274"/>
        <v>2469740</v>
      </c>
      <c r="P1230" s="92">
        <v>0</v>
      </c>
      <c r="Q1230" s="93" t="e">
        <f t="shared" si="275"/>
        <v>#DIV/0!</v>
      </c>
      <c r="R1230" s="94"/>
      <c r="S1230" s="285">
        <v>43830</v>
      </c>
    </row>
    <row r="1231" spans="1:19" customFormat="1" ht="31.5">
      <c r="A1231" s="87">
        <f t="shared" si="276"/>
        <v>145</v>
      </c>
      <c r="B1231" s="234" t="s">
        <v>252</v>
      </c>
      <c r="C1231" s="97">
        <v>1986</v>
      </c>
      <c r="D1231" s="97"/>
      <c r="E1231" s="89" t="s">
        <v>218</v>
      </c>
      <c r="F1231" s="97">
        <v>9</v>
      </c>
      <c r="G1231" s="97">
        <v>1</v>
      </c>
      <c r="H1231" s="97"/>
      <c r="I1231" s="97"/>
      <c r="J1231" s="97"/>
      <c r="K1231" s="98"/>
      <c r="L1231" s="92">
        <v>1104857</v>
      </c>
      <c r="M1231" s="92">
        <v>0</v>
      </c>
      <c r="N1231" s="92">
        <v>0</v>
      </c>
      <c r="O1231" s="92">
        <f t="shared" si="274"/>
        <v>1104857</v>
      </c>
      <c r="P1231" s="92">
        <v>0</v>
      </c>
      <c r="Q1231" s="93" t="e">
        <f t="shared" si="275"/>
        <v>#DIV/0!</v>
      </c>
      <c r="R1231" s="94"/>
      <c r="S1231" s="285">
        <v>43830</v>
      </c>
    </row>
    <row r="1232" spans="1:19" customFormat="1" ht="31.5">
      <c r="A1232" s="87">
        <f t="shared" si="276"/>
        <v>146</v>
      </c>
      <c r="B1232" s="234" t="s">
        <v>304</v>
      </c>
      <c r="C1232" s="88">
        <v>1989</v>
      </c>
      <c r="D1232" s="88"/>
      <c r="E1232" s="89" t="s">
        <v>218</v>
      </c>
      <c r="F1232" s="88">
        <v>9</v>
      </c>
      <c r="G1232" s="88">
        <v>1</v>
      </c>
      <c r="H1232" s="90"/>
      <c r="I1232" s="90"/>
      <c r="J1232" s="90"/>
      <c r="K1232" s="91"/>
      <c r="L1232" s="92">
        <v>1877378</v>
      </c>
      <c r="M1232" s="92">
        <v>0</v>
      </c>
      <c r="N1232" s="92">
        <v>0</v>
      </c>
      <c r="O1232" s="92">
        <f t="shared" si="274"/>
        <v>1877378</v>
      </c>
      <c r="P1232" s="92">
        <v>0</v>
      </c>
      <c r="Q1232" s="93" t="e">
        <f t="shared" si="275"/>
        <v>#DIV/0!</v>
      </c>
      <c r="R1232" s="94"/>
      <c r="S1232" s="285">
        <v>43830</v>
      </c>
    </row>
    <row r="1233" spans="1:30" customFormat="1" ht="31.5">
      <c r="A1233" s="87">
        <f t="shared" si="276"/>
        <v>147</v>
      </c>
      <c r="B1233" s="234" t="s">
        <v>228</v>
      </c>
      <c r="C1233" s="97" t="s">
        <v>190</v>
      </c>
      <c r="D1233" s="97"/>
      <c r="E1233" s="89" t="s">
        <v>218</v>
      </c>
      <c r="F1233" s="97">
        <v>4</v>
      </c>
      <c r="G1233" s="97">
        <v>2</v>
      </c>
      <c r="H1233" s="97"/>
      <c r="I1233" s="97"/>
      <c r="J1233" s="97"/>
      <c r="K1233" s="98"/>
      <c r="L1233" s="92">
        <v>2945836</v>
      </c>
      <c r="M1233" s="92">
        <v>0</v>
      </c>
      <c r="N1233" s="92">
        <v>0</v>
      </c>
      <c r="O1233" s="92">
        <f t="shared" si="274"/>
        <v>2945836</v>
      </c>
      <c r="P1233" s="92">
        <v>0</v>
      </c>
      <c r="Q1233" s="93" t="e">
        <f t="shared" si="275"/>
        <v>#DIV/0!</v>
      </c>
      <c r="R1233" s="94"/>
      <c r="S1233" s="285">
        <v>43830</v>
      </c>
    </row>
    <row r="1234" spans="1:30" customFormat="1" ht="31.5">
      <c r="A1234" s="87">
        <f t="shared" si="276"/>
        <v>148</v>
      </c>
      <c r="B1234" s="234" t="s">
        <v>225</v>
      </c>
      <c r="C1234" s="97">
        <v>1932</v>
      </c>
      <c r="D1234" s="97"/>
      <c r="E1234" s="89" t="s">
        <v>218</v>
      </c>
      <c r="F1234" s="97">
        <v>5</v>
      </c>
      <c r="G1234" s="97">
        <v>5</v>
      </c>
      <c r="H1234" s="97"/>
      <c r="I1234" s="97"/>
      <c r="J1234" s="97"/>
      <c r="K1234" s="98"/>
      <c r="L1234" s="92">
        <v>1118494</v>
      </c>
      <c r="M1234" s="92">
        <v>0</v>
      </c>
      <c r="N1234" s="92">
        <v>0</v>
      </c>
      <c r="O1234" s="92">
        <f t="shared" si="274"/>
        <v>1118494</v>
      </c>
      <c r="P1234" s="92">
        <v>0</v>
      </c>
      <c r="Q1234" s="93" t="e">
        <f t="shared" si="275"/>
        <v>#DIV/0!</v>
      </c>
      <c r="R1234" s="94"/>
      <c r="S1234" s="285">
        <v>43830</v>
      </c>
    </row>
    <row r="1235" spans="1:30" customFormat="1" ht="31.5">
      <c r="A1235" s="87">
        <f t="shared" si="276"/>
        <v>149</v>
      </c>
      <c r="B1235" s="234" t="s">
        <v>232</v>
      </c>
      <c r="C1235" s="97" t="s">
        <v>190</v>
      </c>
      <c r="D1235" s="97"/>
      <c r="E1235" s="89" t="s">
        <v>218</v>
      </c>
      <c r="F1235" s="97">
        <v>3</v>
      </c>
      <c r="G1235" s="97">
        <v>2</v>
      </c>
      <c r="H1235" s="97"/>
      <c r="I1235" s="97"/>
      <c r="J1235" s="97"/>
      <c r="K1235" s="98"/>
      <c r="L1235" s="92">
        <v>2540427</v>
      </c>
      <c r="M1235" s="92">
        <v>0</v>
      </c>
      <c r="N1235" s="92">
        <v>0</v>
      </c>
      <c r="O1235" s="92">
        <f t="shared" si="274"/>
        <v>2540427</v>
      </c>
      <c r="P1235" s="92">
        <v>0</v>
      </c>
      <c r="Q1235" s="93" t="e">
        <f t="shared" si="275"/>
        <v>#DIV/0!</v>
      </c>
      <c r="R1235" s="94"/>
      <c r="S1235" s="285">
        <v>43830</v>
      </c>
    </row>
    <row r="1236" spans="1:30" customFormat="1" ht="31.5">
      <c r="A1236" s="87">
        <f t="shared" si="276"/>
        <v>150</v>
      </c>
      <c r="B1236" s="234" t="s">
        <v>275</v>
      </c>
      <c r="C1236" s="87">
        <v>1951</v>
      </c>
      <c r="D1236" s="88"/>
      <c r="E1236" s="89" t="s">
        <v>218</v>
      </c>
      <c r="F1236" s="88">
        <v>3</v>
      </c>
      <c r="G1236" s="88">
        <v>3</v>
      </c>
      <c r="H1236" s="96"/>
      <c r="I1236" s="96"/>
      <c r="J1236" s="96"/>
      <c r="K1236" s="81"/>
      <c r="L1236" s="92">
        <v>2253297</v>
      </c>
      <c r="M1236" s="92">
        <v>0</v>
      </c>
      <c r="N1236" s="92">
        <v>0</v>
      </c>
      <c r="O1236" s="92">
        <f t="shared" si="274"/>
        <v>2253297</v>
      </c>
      <c r="P1236" s="92">
        <v>0</v>
      </c>
      <c r="Q1236" s="93" t="e">
        <f t="shared" si="275"/>
        <v>#DIV/0!</v>
      </c>
      <c r="R1236" s="94"/>
      <c r="S1236" s="285">
        <v>43830</v>
      </c>
    </row>
    <row r="1237" spans="1:30" customFormat="1" ht="21.75" customHeight="1">
      <c r="A1237" s="87">
        <f t="shared" si="276"/>
        <v>151</v>
      </c>
      <c r="B1237" s="234" t="s">
        <v>286</v>
      </c>
      <c r="C1237" s="88">
        <v>1971</v>
      </c>
      <c r="D1237" s="88"/>
      <c r="E1237" s="89" t="s">
        <v>219</v>
      </c>
      <c r="F1237" s="88">
        <v>5</v>
      </c>
      <c r="G1237" s="88">
        <v>4</v>
      </c>
      <c r="H1237" s="90"/>
      <c r="I1237" s="90"/>
      <c r="J1237" s="90"/>
      <c r="K1237" s="91"/>
      <c r="L1237" s="92">
        <v>1390061</v>
      </c>
      <c r="M1237" s="92">
        <v>0</v>
      </c>
      <c r="N1237" s="92">
        <v>0</v>
      </c>
      <c r="O1237" s="92">
        <f t="shared" si="274"/>
        <v>1390061</v>
      </c>
      <c r="P1237" s="92">
        <v>0</v>
      </c>
      <c r="Q1237" s="93" t="e">
        <f t="shared" si="275"/>
        <v>#DIV/0!</v>
      </c>
      <c r="R1237" s="94"/>
      <c r="S1237" s="285">
        <v>43830</v>
      </c>
    </row>
    <row r="1238" spans="1:30" customFormat="1" ht="31.5">
      <c r="A1238" s="87">
        <f t="shared" si="276"/>
        <v>152</v>
      </c>
      <c r="B1238" s="225" t="s">
        <v>342</v>
      </c>
      <c r="C1238" s="87">
        <v>1961</v>
      </c>
      <c r="D1238" s="88"/>
      <c r="E1238" s="89" t="s">
        <v>218</v>
      </c>
      <c r="F1238" s="88">
        <v>5</v>
      </c>
      <c r="G1238" s="88">
        <v>4</v>
      </c>
      <c r="H1238" s="96"/>
      <c r="I1238" s="96"/>
      <c r="J1238" s="96"/>
      <c r="K1238" s="81"/>
      <c r="L1238" s="92">
        <v>3213804</v>
      </c>
      <c r="M1238" s="92">
        <v>0</v>
      </c>
      <c r="N1238" s="92">
        <v>0</v>
      </c>
      <c r="O1238" s="92">
        <f t="shared" si="274"/>
        <v>3213804</v>
      </c>
      <c r="P1238" s="92">
        <v>0</v>
      </c>
      <c r="Q1238" s="93" t="e">
        <f t="shared" si="275"/>
        <v>#DIV/0!</v>
      </c>
      <c r="R1238" s="94"/>
      <c r="S1238" s="285">
        <v>43830</v>
      </c>
    </row>
    <row r="1239" spans="1:30" customFormat="1" ht="31.5">
      <c r="A1239" s="87">
        <f t="shared" si="276"/>
        <v>153</v>
      </c>
      <c r="B1239" s="234" t="s">
        <v>298</v>
      </c>
      <c r="C1239" s="88">
        <v>1958</v>
      </c>
      <c r="D1239" s="88"/>
      <c r="E1239" s="89" t="s">
        <v>218</v>
      </c>
      <c r="F1239" s="88">
        <v>4</v>
      </c>
      <c r="G1239" s="88">
        <v>3</v>
      </c>
      <c r="H1239" s="90"/>
      <c r="I1239" s="90"/>
      <c r="J1239" s="90"/>
      <c r="K1239" s="91"/>
      <c r="L1239" s="92">
        <v>3202371</v>
      </c>
      <c r="M1239" s="92">
        <v>0</v>
      </c>
      <c r="N1239" s="92">
        <v>0</v>
      </c>
      <c r="O1239" s="92">
        <f t="shared" si="274"/>
        <v>3202371</v>
      </c>
      <c r="P1239" s="92">
        <v>0</v>
      </c>
      <c r="Q1239" s="93" t="e">
        <f t="shared" si="275"/>
        <v>#DIV/0!</v>
      </c>
      <c r="R1239" s="94"/>
      <c r="S1239" s="285">
        <v>43830</v>
      </c>
    </row>
    <row r="1240" spans="1:30" s="1" customFormat="1" ht="31.5">
      <c r="A1240" s="87">
        <f t="shared" si="276"/>
        <v>154</v>
      </c>
      <c r="B1240" s="234" t="s">
        <v>253</v>
      </c>
      <c r="C1240" s="97">
        <v>1959</v>
      </c>
      <c r="D1240" s="97"/>
      <c r="E1240" s="89" t="s">
        <v>218</v>
      </c>
      <c r="F1240" s="97">
        <v>2</v>
      </c>
      <c r="G1240" s="97">
        <v>1</v>
      </c>
      <c r="H1240" s="97"/>
      <c r="I1240" s="97"/>
      <c r="J1240" s="97"/>
      <c r="K1240" s="98"/>
      <c r="L1240" s="92">
        <v>709022</v>
      </c>
      <c r="M1240" s="92">
        <v>0</v>
      </c>
      <c r="N1240" s="92">
        <v>0</v>
      </c>
      <c r="O1240" s="92">
        <f t="shared" si="274"/>
        <v>709022</v>
      </c>
      <c r="P1240" s="92">
        <v>0</v>
      </c>
      <c r="Q1240" s="93" t="e">
        <f t="shared" si="275"/>
        <v>#DIV/0!</v>
      </c>
      <c r="R1240" s="94"/>
      <c r="S1240" s="285">
        <v>43830</v>
      </c>
      <c r="T1240"/>
      <c r="U1240"/>
      <c r="V1240"/>
      <c r="W1240"/>
      <c r="X1240"/>
      <c r="Y1240"/>
      <c r="Z1240"/>
      <c r="AA1240"/>
      <c r="AB1240"/>
      <c r="AC1240"/>
      <c r="AD1240"/>
    </row>
    <row r="1241" spans="1:30" customFormat="1" ht="31.5">
      <c r="A1241" s="87">
        <f t="shared" si="276"/>
        <v>155</v>
      </c>
      <c r="B1241" s="234" t="s">
        <v>260</v>
      </c>
      <c r="C1241" s="97">
        <v>1958</v>
      </c>
      <c r="D1241" s="97"/>
      <c r="E1241" s="89" t="s">
        <v>218</v>
      </c>
      <c r="F1241" s="97">
        <v>2</v>
      </c>
      <c r="G1241" s="97">
        <v>1</v>
      </c>
      <c r="H1241" s="97"/>
      <c r="I1241" s="97"/>
      <c r="J1241" s="97"/>
      <c r="K1241" s="98"/>
      <c r="L1241" s="92">
        <v>1136930</v>
      </c>
      <c r="M1241" s="92">
        <v>0</v>
      </c>
      <c r="N1241" s="92">
        <v>0</v>
      </c>
      <c r="O1241" s="92">
        <f t="shared" si="274"/>
        <v>1136930</v>
      </c>
      <c r="P1241" s="92">
        <v>0</v>
      </c>
      <c r="Q1241" s="93" t="e">
        <f t="shared" si="275"/>
        <v>#DIV/0!</v>
      </c>
      <c r="R1241" s="94"/>
      <c r="S1241" s="285">
        <v>43830</v>
      </c>
    </row>
    <row r="1242" spans="1:30" customFormat="1" ht="31.5">
      <c r="A1242" s="87">
        <f t="shared" si="276"/>
        <v>156</v>
      </c>
      <c r="B1242" s="234" t="s">
        <v>349</v>
      </c>
      <c r="C1242" s="88">
        <v>1958</v>
      </c>
      <c r="D1242" s="88"/>
      <c r="E1242" s="89" t="s">
        <v>218</v>
      </c>
      <c r="F1242" s="88">
        <v>2</v>
      </c>
      <c r="G1242" s="88">
        <v>2</v>
      </c>
      <c r="H1242" s="90"/>
      <c r="I1242" s="90"/>
      <c r="J1242" s="90"/>
      <c r="K1242" s="91"/>
      <c r="L1242" s="92">
        <v>1320636</v>
      </c>
      <c r="M1242" s="92">
        <v>0</v>
      </c>
      <c r="N1242" s="92">
        <v>0</v>
      </c>
      <c r="O1242" s="92">
        <f t="shared" si="274"/>
        <v>1320636</v>
      </c>
      <c r="P1242" s="92">
        <v>0</v>
      </c>
      <c r="Q1242" s="93" t="e">
        <f t="shared" si="275"/>
        <v>#DIV/0!</v>
      </c>
      <c r="R1242" s="94"/>
      <c r="S1242" s="285">
        <v>43830</v>
      </c>
    </row>
    <row r="1243" spans="1:30" customFormat="1" ht="15.75">
      <c r="A1243" s="87">
        <f t="shared" si="276"/>
        <v>157</v>
      </c>
      <c r="B1243" s="234" t="s">
        <v>302</v>
      </c>
      <c r="C1243" s="88">
        <v>1986</v>
      </c>
      <c r="D1243" s="88"/>
      <c r="E1243" s="89" t="s">
        <v>219</v>
      </c>
      <c r="F1243" s="88">
        <v>9</v>
      </c>
      <c r="G1243" s="88">
        <v>3</v>
      </c>
      <c r="H1243" s="90"/>
      <c r="I1243" s="90"/>
      <c r="J1243" s="90"/>
      <c r="K1243" s="91"/>
      <c r="L1243" s="92">
        <v>4265098</v>
      </c>
      <c r="M1243" s="92">
        <v>0</v>
      </c>
      <c r="N1243" s="92">
        <v>0</v>
      </c>
      <c r="O1243" s="92">
        <f t="shared" si="274"/>
        <v>4265098</v>
      </c>
      <c r="P1243" s="92">
        <v>0</v>
      </c>
      <c r="Q1243" s="93" t="e">
        <f t="shared" si="275"/>
        <v>#DIV/0!</v>
      </c>
      <c r="R1243" s="94"/>
      <c r="S1243" s="285">
        <v>43830</v>
      </c>
    </row>
    <row r="1244" spans="1:30" customFormat="1" ht="31.5">
      <c r="A1244" s="87">
        <f t="shared" si="276"/>
        <v>158</v>
      </c>
      <c r="B1244" s="234" t="s">
        <v>341</v>
      </c>
      <c r="C1244" s="87">
        <v>1963</v>
      </c>
      <c r="D1244" s="88"/>
      <c r="E1244" s="89" t="s">
        <v>218</v>
      </c>
      <c r="F1244" s="88">
        <v>4</v>
      </c>
      <c r="G1244" s="88">
        <v>4</v>
      </c>
      <c r="H1244" s="96"/>
      <c r="I1244" s="96"/>
      <c r="J1244" s="96"/>
      <c r="K1244" s="81"/>
      <c r="L1244" s="92">
        <v>2115890</v>
      </c>
      <c r="M1244" s="92">
        <v>0</v>
      </c>
      <c r="N1244" s="92">
        <v>0</v>
      </c>
      <c r="O1244" s="92">
        <f t="shared" si="274"/>
        <v>2115890</v>
      </c>
      <c r="P1244" s="92">
        <v>0</v>
      </c>
      <c r="Q1244" s="93" t="e">
        <f t="shared" si="275"/>
        <v>#DIV/0!</v>
      </c>
      <c r="R1244" s="94"/>
      <c r="S1244" s="285">
        <v>43830</v>
      </c>
    </row>
    <row r="1245" spans="1:30" customFormat="1" ht="31.5">
      <c r="A1245" s="87">
        <f t="shared" si="276"/>
        <v>159</v>
      </c>
      <c r="B1245" s="225" t="s">
        <v>242</v>
      </c>
      <c r="C1245" s="97">
        <v>1961</v>
      </c>
      <c r="D1245" s="97"/>
      <c r="E1245" s="89" t="s">
        <v>218</v>
      </c>
      <c r="F1245" s="97">
        <v>3</v>
      </c>
      <c r="G1245" s="97">
        <v>2</v>
      </c>
      <c r="H1245" s="97"/>
      <c r="I1245" s="97"/>
      <c r="J1245" s="97"/>
      <c r="K1245" s="98"/>
      <c r="L1245" s="92">
        <v>482251.51</v>
      </c>
      <c r="M1245" s="92">
        <v>0</v>
      </c>
      <c r="N1245" s="92">
        <v>0</v>
      </c>
      <c r="O1245" s="92">
        <f t="shared" si="274"/>
        <v>482251.51</v>
      </c>
      <c r="P1245" s="92">
        <v>0</v>
      </c>
      <c r="Q1245" s="93" t="e">
        <f t="shared" si="275"/>
        <v>#DIV/0!</v>
      </c>
      <c r="R1245" s="94"/>
      <c r="S1245" s="285">
        <v>43830</v>
      </c>
    </row>
    <row r="1246" spans="1:30" customFormat="1" ht="31.5">
      <c r="A1246" s="87">
        <f t="shared" si="276"/>
        <v>160</v>
      </c>
      <c r="B1246" s="234" t="s">
        <v>279</v>
      </c>
      <c r="C1246" s="87">
        <v>1959</v>
      </c>
      <c r="D1246" s="88"/>
      <c r="E1246" s="89" t="s">
        <v>218</v>
      </c>
      <c r="F1246" s="88">
        <v>3</v>
      </c>
      <c r="G1246" s="88">
        <v>2</v>
      </c>
      <c r="H1246" s="96"/>
      <c r="I1246" s="96"/>
      <c r="J1246" s="96"/>
      <c r="K1246" s="81"/>
      <c r="L1246" s="92">
        <v>1018040.92</v>
      </c>
      <c r="M1246" s="92">
        <v>0</v>
      </c>
      <c r="N1246" s="92">
        <v>0</v>
      </c>
      <c r="O1246" s="92">
        <f t="shared" si="274"/>
        <v>1018040.92</v>
      </c>
      <c r="P1246" s="92">
        <v>0</v>
      </c>
      <c r="Q1246" s="93" t="e">
        <f t="shared" si="275"/>
        <v>#DIV/0!</v>
      </c>
      <c r="R1246" s="94"/>
      <c r="S1246" s="285">
        <v>43830</v>
      </c>
    </row>
    <row r="1247" spans="1:30" customFormat="1" ht="31.5">
      <c r="A1247" s="87">
        <f t="shared" si="276"/>
        <v>161</v>
      </c>
      <c r="B1247" s="234" t="s">
        <v>262</v>
      </c>
      <c r="C1247" s="97">
        <v>1977</v>
      </c>
      <c r="D1247" s="97"/>
      <c r="E1247" s="89" t="s">
        <v>218</v>
      </c>
      <c r="F1247" s="97">
        <v>9</v>
      </c>
      <c r="G1247" s="97">
        <v>1</v>
      </c>
      <c r="H1247" s="97"/>
      <c r="I1247" s="97"/>
      <c r="J1247" s="97"/>
      <c r="K1247" s="98"/>
      <c r="L1247" s="92">
        <v>1871554</v>
      </c>
      <c r="M1247" s="92">
        <v>0</v>
      </c>
      <c r="N1247" s="92">
        <v>0</v>
      </c>
      <c r="O1247" s="92">
        <f t="shared" si="274"/>
        <v>1871554</v>
      </c>
      <c r="P1247" s="92">
        <v>0</v>
      </c>
      <c r="Q1247" s="93" t="e">
        <f t="shared" si="275"/>
        <v>#DIV/0!</v>
      </c>
      <c r="R1247" s="94"/>
      <c r="S1247" s="285">
        <v>43830</v>
      </c>
    </row>
    <row r="1248" spans="1:30" customFormat="1" ht="31.5">
      <c r="A1248" s="87">
        <f t="shared" si="276"/>
        <v>162</v>
      </c>
      <c r="B1248" s="225" t="s">
        <v>290</v>
      </c>
      <c r="C1248" s="88">
        <v>1974</v>
      </c>
      <c r="D1248" s="88"/>
      <c r="E1248" s="89" t="s">
        <v>218</v>
      </c>
      <c r="F1248" s="88">
        <v>5</v>
      </c>
      <c r="G1248" s="88">
        <v>4</v>
      </c>
      <c r="H1248" s="90"/>
      <c r="I1248" s="90"/>
      <c r="J1248" s="90"/>
      <c r="K1248" s="91"/>
      <c r="L1248" s="92">
        <v>2652530</v>
      </c>
      <c r="M1248" s="92">
        <v>0</v>
      </c>
      <c r="N1248" s="92">
        <v>0</v>
      </c>
      <c r="O1248" s="92">
        <f t="shared" si="274"/>
        <v>2652530</v>
      </c>
      <c r="P1248" s="92">
        <v>0</v>
      </c>
      <c r="Q1248" s="93" t="e">
        <f t="shared" si="275"/>
        <v>#DIV/0!</v>
      </c>
      <c r="R1248" s="94"/>
      <c r="S1248" s="285">
        <v>43830</v>
      </c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</row>
    <row r="1249" spans="1:30" customFormat="1" ht="15.75">
      <c r="A1249" s="87">
        <f t="shared" si="276"/>
        <v>163</v>
      </c>
      <c r="B1249" s="234" t="s">
        <v>356</v>
      </c>
      <c r="C1249" s="88">
        <v>1974</v>
      </c>
      <c r="D1249" s="88"/>
      <c r="E1249" s="89" t="s">
        <v>219</v>
      </c>
      <c r="F1249" s="88">
        <v>5</v>
      </c>
      <c r="G1249" s="88">
        <v>6</v>
      </c>
      <c r="H1249" s="90"/>
      <c r="I1249" s="90"/>
      <c r="J1249" s="90"/>
      <c r="K1249" s="91"/>
      <c r="L1249" s="92">
        <v>3645969</v>
      </c>
      <c r="M1249" s="92">
        <v>0</v>
      </c>
      <c r="N1249" s="92">
        <v>0</v>
      </c>
      <c r="O1249" s="92">
        <f t="shared" si="274"/>
        <v>3645969</v>
      </c>
      <c r="P1249" s="92">
        <v>0</v>
      </c>
      <c r="Q1249" s="93" t="e">
        <f t="shared" si="275"/>
        <v>#DIV/0!</v>
      </c>
      <c r="R1249" s="94"/>
      <c r="S1249" s="285">
        <v>43830</v>
      </c>
    </row>
    <row r="1250" spans="1:30" s="33" customFormat="1" ht="15.75">
      <c r="A1250" s="87">
        <f t="shared" si="276"/>
        <v>164</v>
      </c>
      <c r="B1250" s="234" t="s">
        <v>354</v>
      </c>
      <c r="C1250" s="87">
        <v>1986</v>
      </c>
      <c r="D1250" s="88"/>
      <c r="E1250" s="89" t="s">
        <v>219</v>
      </c>
      <c r="F1250" s="88">
        <v>9</v>
      </c>
      <c r="G1250" s="88">
        <v>1</v>
      </c>
      <c r="H1250" s="96"/>
      <c r="I1250" s="96"/>
      <c r="J1250" s="96"/>
      <c r="K1250" s="81"/>
      <c r="L1250" s="92">
        <v>771330</v>
      </c>
      <c r="M1250" s="92">
        <v>0</v>
      </c>
      <c r="N1250" s="92">
        <v>0</v>
      </c>
      <c r="O1250" s="92">
        <f t="shared" si="274"/>
        <v>771330</v>
      </c>
      <c r="P1250" s="92">
        <v>0</v>
      </c>
      <c r="Q1250" s="93" t="e">
        <f t="shared" si="275"/>
        <v>#DIV/0!</v>
      </c>
      <c r="R1250" s="94"/>
      <c r="S1250" s="285">
        <v>43830</v>
      </c>
      <c r="T1250"/>
      <c r="U1250"/>
      <c r="V1250"/>
      <c r="W1250"/>
      <c r="X1250"/>
      <c r="Y1250"/>
      <c r="Z1250"/>
      <c r="AA1250"/>
      <c r="AB1250"/>
      <c r="AC1250"/>
      <c r="AD1250"/>
    </row>
    <row r="1251" spans="1:30" customFormat="1" ht="15.75">
      <c r="A1251" s="87">
        <f t="shared" si="276"/>
        <v>165</v>
      </c>
      <c r="B1251" s="225" t="s">
        <v>352</v>
      </c>
      <c r="C1251" s="97">
        <v>1972</v>
      </c>
      <c r="D1251" s="97"/>
      <c r="E1251" s="89" t="s">
        <v>219</v>
      </c>
      <c r="F1251" s="97">
        <v>9</v>
      </c>
      <c r="G1251" s="97">
        <v>1</v>
      </c>
      <c r="H1251" s="97"/>
      <c r="I1251" s="97"/>
      <c r="J1251" s="97"/>
      <c r="K1251" s="98"/>
      <c r="L1251" s="92">
        <v>1894719</v>
      </c>
      <c r="M1251" s="92">
        <v>0</v>
      </c>
      <c r="N1251" s="92">
        <v>0</v>
      </c>
      <c r="O1251" s="92">
        <f t="shared" si="274"/>
        <v>1894719</v>
      </c>
      <c r="P1251" s="92">
        <v>0</v>
      </c>
      <c r="Q1251" s="93" t="e">
        <f t="shared" si="275"/>
        <v>#DIV/0!</v>
      </c>
      <c r="R1251" s="94"/>
      <c r="S1251" s="285">
        <v>43830</v>
      </c>
    </row>
    <row r="1252" spans="1:30" customFormat="1" ht="31.5">
      <c r="A1252" s="87">
        <f t="shared" si="276"/>
        <v>166</v>
      </c>
      <c r="B1252" s="234" t="s">
        <v>355</v>
      </c>
      <c r="C1252" s="87">
        <v>1964</v>
      </c>
      <c r="D1252" s="88"/>
      <c r="E1252" s="89" t="s">
        <v>218</v>
      </c>
      <c r="F1252" s="88">
        <v>5</v>
      </c>
      <c r="G1252" s="88">
        <v>3</v>
      </c>
      <c r="H1252" s="96"/>
      <c r="I1252" s="96"/>
      <c r="J1252" s="96"/>
      <c r="K1252" s="81"/>
      <c r="L1252" s="92">
        <v>1492412</v>
      </c>
      <c r="M1252" s="92">
        <v>0</v>
      </c>
      <c r="N1252" s="92">
        <v>0</v>
      </c>
      <c r="O1252" s="92">
        <f t="shared" si="274"/>
        <v>1492412</v>
      </c>
      <c r="P1252" s="92">
        <v>0</v>
      </c>
      <c r="Q1252" s="93" t="e">
        <f t="shared" si="275"/>
        <v>#DIV/0!</v>
      </c>
      <c r="R1252" s="94"/>
      <c r="S1252" s="285">
        <v>43830</v>
      </c>
    </row>
    <row r="1253" spans="1:30" customFormat="1" ht="31.5">
      <c r="A1253" s="87">
        <f t="shared" si="276"/>
        <v>167</v>
      </c>
      <c r="B1253" s="225" t="s">
        <v>318</v>
      </c>
      <c r="C1253" s="97">
        <v>1884</v>
      </c>
      <c r="D1253" s="97"/>
      <c r="E1253" s="89" t="s">
        <v>218</v>
      </c>
      <c r="F1253" s="97">
        <v>2</v>
      </c>
      <c r="G1253" s="97">
        <v>2</v>
      </c>
      <c r="H1253" s="97"/>
      <c r="I1253" s="97"/>
      <c r="J1253" s="97"/>
      <c r="K1253" s="98"/>
      <c r="L1253" s="92">
        <v>651523.25</v>
      </c>
      <c r="M1253" s="92">
        <v>0</v>
      </c>
      <c r="N1253" s="92">
        <v>0</v>
      </c>
      <c r="O1253" s="92">
        <f t="shared" si="274"/>
        <v>651523.25</v>
      </c>
      <c r="P1253" s="92">
        <v>0</v>
      </c>
      <c r="Q1253" s="93" t="e">
        <f t="shared" si="275"/>
        <v>#DIV/0!</v>
      </c>
      <c r="R1253" s="94"/>
      <c r="S1253" s="285">
        <v>43830</v>
      </c>
    </row>
    <row r="1254" spans="1:30" customFormat="1" ht="15.75">
      <c r="A1254" s="87">
        <f t="shared" si="276"/>
        <v>168</v>
      </c>
      <c r="B1254" s="234" t="s">
        <v>353</v>
      </c>
      <c r="C1254" s="97">
        <v>1948</v>
      </c>
      <c r="D1254" s="97"/>
      <c r="E1254" s="89" t="s">
        <v>220</v>
      </c>
      <c r="F1254" s="97">
        <v>2</v>
      </c>
      <c r="G1254" s="97">
        <v>2</v>
      </c>
      <c r="H1254" s="97"/>
      <c r="I1254" s="97"/>
      <c r="J1254" s="97"/>
      <c r="K1254" s="98"/>
      <c r="L1254" s="92">
        <v>1221424.83</v>
      </c>
      <c r="M1254" s="92">
        <v>0</v>
      </c>
      <c r="N1254" s="92">
        <v>0</v>
      </c>
      <c r="O1254" s="92">
        <f t="shared" si="274"/>
        <v>1221424.83</v>
      </c>
      <c r="P1254" s="92">
        <v>0</v>
      </c>
      <c r="Q1254" s="93" t="e">
        <f t="shared" si="275"/>
        <v>#DIV/0!</v>
      </c>
      <c r="R1254" s="94"/>
      <c r="S1254" s="285">
        <v>43830</v>
      </c>
    </row>
    <row r="1255" spans="1:30" s="1" customFormat="1" ht="30.6" customHeight="1">
      <c r="A1255" s="87"/>
      <c r="B1255" s="1138" t="s">
        <v>91</v>
      </c>
      <c r="C1255" s="1138"/>
      <c r="D1255" s="1138"/>
      <c r="E1255" s="1138"/>
      <c r="F1255" s="1139"/>
      <c r="G1255" s="1139"/>
      <c r="H1255" s="785">
        <f t="shared" ref="H1255:P1255" si="277">SUM(H1256:H1266)</f>
        <v>14224.600000000002</v>
      </c>
      <c r="I1255" s="785">
        <f t="shared" si="277"/>
        <v>11656.000000000002</v>
      </c>
      <c r="J1255" s="785">
        <f t="shared" si="277"/>
        <v>9609.0999999999985</v>
      </c>
      <c r="K1255" s="786">
        <f t="shared" si="277"/>
        <v>391</v>
      </c>
      <c r="L1255" s="92">
        <f t="shared" si="277"/>
        <v>20085822.140000001</v>
      </c>
      <c r="M1255" s="92">
        <f t="shared" si="277"/>
        <v>0</v>
      </c>
      <c r="N1255" s="92">
        <f t="shared" si="277"/>
        <v>0</v>
      </c>
      <c r="O1255" s="92">
        <f t="shared" si="277"/>
        <v>20085822.140000001</v>
      </c>
      <c r="P1255" s="92">
        <f t="shared" si="277"/>
        <v>0</v>
      </c>
      <c r="Q1255" s="86" t="s">
        <v>40</v>
      </c>
      <c r="R1255" s="86" t="s">
        <v>40</v>
      </c>
      <c r="S1255" s="285">
        <v>43830</v>
      </c>
    </row>
    <row r="1256" spans="1:30" s="24" customFormat="1" ht="21.6" customHeight="1">
      <c r="A1256" s="87">
        <v>1</v>
      </c>
      <c r="B1256" s="225" t="s">
        <v>963</v>
      </c>
      <c r="C1256" s="88">
        <v>1938</v>
      </c>
      <c r="D1256" s="88"/>
      <c r="E1256" s="534" t="s">
        <v>962</v>
      </c>
      <c r="F1256" s="681">
        <v>1</v>
      </c>
      <c r="G1256" s="681">
        <v>1</v>
      </c>
      <c r="H1256" s="681">
        <v>178.4</v>
      </c>
      <c r="I1256" s="681">
        <v>167.5</v>
      </c>
      <c r="J1256" s="681">
        <v>178.4</v>
      </c>
      <c r="K1256" s="681">
        <v>8</v>
      </c>
      <c r="L1256" s="578">
        <f>O1256</f>
        <v>568539.85</v>
      </c>
      <c r="M1256" s="92">
        <v>0</v>
      </c>
      <c r="N1256" s="92">
        <v>0</v>
      </c>
      <c r="O1256" s="92">
        <v>568539.85</v>
      </c>
      <c r="P1256" s="92">
        <v>0</v>
      </c>
      <c r="Q1256" s="93">
        <f t="shared" ref="Q1256:Q1266" si="278">L1256/I1256</f>
        <v>3394.2677611940298</v>
      </c>
      <c r="R1256" s="93">
        <v>7920</v>
      </c>
      <c r="S1256" s="285">
        <v>43830</v>
      </c>
    </row>
    <row r="1257" spans="1:30" s="24" customFormat="1" ht="29.45" customHeight="1">
      <c r="A1257" s="87">
        <v>2</v>
      </c>
      <c r="B1257" s="225" t="s">
        <v>964</v>
      </c>
      <c r="C1257" s="88">
        <v>1917</v>
      </c>
      <c r="D1257" s="88"/>
      <c r="E1257" s="534" t="s">
        <v>962</v>
      </c>
      <c r="F1257" s="681">
        <v>2</v>
      </c>
      <c r="G1257" s="681">
        <v>1</v>
      </c>
      <c r="H1257" s="681">
        <v>153.19999999999999</v>
      </c>
      <c r="I1257" s="681">
        <v>140.69999999999999</v>
      </c>
      <c r="J1257" s="681">
        <v>117.3</v>
      </c>
      <c r="K1257" s="681">
        <v>7</v>
      </c>
      <c r="L1257" s="578">
        <f t="shared" ref="L1257:L1266" si="279">O1257</f>
        <v>690413</v>
      </c>
      <c r="M1257" s="92">
        <v>0</v>
      </c>
      <c r="N1257" s="92">
        <v>0</v>
      </c>
      <c r="O1257" s="92">
        <v>690413</v>
      </c>
      <c r="P1257" s="92">
        <v>0</v>
      </c>
      <c r="Q1257" s="93">
        <f t="shared" si="278"/>
        <v>4906.9864960909745</v>
      </c>
      <c r="R1257" s="93">
        <v>7920</v>
      </c>
      <c r="S1257" s="285">
        <v>43830</v>
      </c>
    </row>
    <row r="1258" spans="1:30" s="24" customFormat="1" ht="31.5">
      <c r="A1258" s="87">
        <v>3</v>
      </c>
      <c r="B1258" s="225" t="s">
        <v>965</v>
      </c>
      <c r="C1258" s="88">
        <v>1959</v>
      </c>
      <c r="D1258" s="88"/>
      <c r="E1258" s="534" t="s">
        <v>974</v>
      </c>
      <c r="F1258" s="681">
        <v>2</v>
      </c>
      <c r="G1258" s="681">
        <v>2</v>
      </c>
      <c r="H1258" s="681">
        <v>671.6</v>
      </c>
      <c r="I1258" s="681">
        <v>671.1</v>
      </c>
      <c r="J1258" s="681">
        <v>659.2</v>
      </c>
      <c r="K1258" s="681">
        <v>21</v>
      </c>
      <c r="L1258" s="578">
        <f t="shared" si="279"/>
        <v>1677206</v>
      </c>
      <c r="M1258" s="92">
        <v>0</v>
      </c>
      <c r="N1258" s="92">
        <v>0</v>
      </c>
      <c r="O1258" s="92">
        <v>1677206</v>
      </c>
      <c r="P1258" s="92">
        <v>0</v>
      </c>
      <c r="Q1258" s="93">
        <f t="shared" si="278"/>
        <v>2499.1893905528236</v>
      </c>
      <c r="R1258" s="93">
        <v>7920</v>
      </c>
      <c r="S1258" s="285">
        <v>43830</v>
      </c>
    </row>
    <row r="1259" spans="1:30" s="24" customFormat="1" ht="31.5">
      <c r="A1259" s="87">
        <v>4</v>
      </c>
      <c r="B1259" s="225" t="s">
        <v>966</v>
      </c>
      <c r="C1259" s="88">
        <v>1960</v>
      </c>
      <c r="D1259" s="88"/>
      <c r="E1259" s="534" t="s">
        <v>218</v>
      </c>
      <c r="F1259" s="681">
        <v>2</v>
      </c>
      <c r="G1259" s="681">
        <v>2</v>
      </c>
      <c r="H1259" s="681">
        <v>620.70000000000005</v>
      </c>
      <c r="I1259" s="681">
        <v>620.70000000000005</v>
      </c>
      <c r="J1259" s="681">
        <v>591.5</v>
      </c>
      <c r="K1259" s="681">
        <v>23</v>
      </c>
      <c r="L1259" s="578">
        <f t="shared" si="279"/>
        <v>1912197</v>
      </c>
      <c r="M1259" s="92">
        <v>0</v>
      </c>
      <c r="N1259" s="92">
        <v>0</v>
      </c>
      <c r="O1259" s="92">
        <v>1912197</v>
      </c>
      <c r="P1259" s="92">
        <v>0</v>
      </c>
      <c r="Q1259" s="93">
        <f t="shared" si="278"/>
        <v>3080.7104881585306</v>
      </c>
      <c r="R1259" s="93">
        <v>7920</v>
      </c>
      <c r="S1259" s="285">
        <v>43830</v>
      </c>
    </row>
    <row r="1260" spans="1:30" s="24" customFormat="1" ht="31.5">
      <c r="A1260" s="87">
        <v>5</v>
      </c>
      <c r="B1260" s="225" t="s">
        <v>967</v>
      </c>
      <c r="C1260" s="88">
        <v>1960</v>
      </c>
      <c r="D1260" s="88"/>
      <c r="E1260" s="534" t="s">
        <v>218</v>
      </c>
      <c r="F1260" s="681">
        <v>3</v>
      </c>
      <c r="G1260" s="681">
        <v>3</v>
      </c>
      <c r="H1260" s="681">
        <v>1641.6</v>
      </c>
      <c r="I1260" s="681">
        <v>1533.4</v>
      </c>
      <c r="J1260" s="681">
        <v>1492.4</v>
      </c>
      <c r="K1260" s="681">
        <v>53</v>
      </c>
      <c r="L1260" s="578">
        <f t="shared" si="279"/>
        <v>2920191</v>
      </c>
      <c r="M1260" s="92">
        <v>0</v>
      </c>
      <c r="N1260" s="92">
        <v>0</v>
      </c>
      <c r="O1260" s="92">
        <v>2920191</v>
      </c>
      <c r="P1260" s="92">
        <v>0</v>
      </c>
      <c r="Q1260" s="93">
        <f t="shared" si="278"/>
        <v>1904.38959175688</v>
      </c>
      <c r="R1260" s="93">
        <v>7920</v>
      </c>
      <c r="S1260" s="285">
        <v>43830</v>
      </c>
    </row>
    <row r="1261" spans="1:30" s="24" customFormat="1" ht="21.6" customHeight="1">
      <c r="A1261" s="87">
        <v>6</v>
      </c>
      <c r="B1261" s="225" t="s">
        <v>968</v>
      </c>
      <c r="C1261" s="88">
        <v>1937</v>
      </c>
      <c r="D1261" s="88"/>
      <c r="E1261" s="534" t="s">
        <v>962</v>
      </c>
      <c r="F1261" s="681">
        <v>2</v>
      </c>
      <c r="G1261" s="681">
        <v>2</v>
      </c>
      <c r="H1261" s="681">
        <v>614.5</v>
      </c>
      <c r="I1261" s="681">
        <v>499.1</v>
      </c>
      <c r="J1261" s="681">
        <v>498.9</v>
      </c>
      <c r="K1261" s="681">
        <v>25</v>
      </c>
      <c r="L1261" s="578">
        <f t="shared" si="279"/>
        <v>1379030</v>
      </c>
      <c r="M1261" s="92">
        <v>0</v>
      </c>
      <c r="N1261" s="92">
        <v>0</v>
      </c>
      <c r="O1261" s="92">
        <v>1379030</v>
      </c>
      <c r="P1261" s="92">
        <v>0</v>
      </c>
      <c r="Q1261" s="93">
        <f t="shared" si="278"/>
        <v>2763.0334602284111</v>
      </c>
      <c r="R1261" s="93">
        <v>7920</v>
      </c>
      <c r="S1261" s="285">
        <v>43830</v>
      </c>
    </row>
    <row r="1262" spans="1:30" s="24" customFormat="1" ht="24.6" customHeight="1">
      <c r="A1262" s="87">
        <v>7</v>
      </c>
      <c r="B1262" s="225" t="s">
        <v>969</v>
      </c>
      <c r="C1262" s="88">
        <v>1958</v>
      </c>
      <c r="D1262" s="88"/>
      <c r="E1262" s="534" t="s">
        <v>962</v>
      </c>
      <c r="F1262" s="681">
        <v>2</v>
      </c>
      <c r="G1262" s="681">
        <v>1</v>
      </c>
      <c r="H1262" s="681">
        <v>414.3</v>
      </c>
      <c r="I1262" s="681">
        <v>296.8</v>
      </c>
      <c r="J1262" s="681">
        <v>206.2</v>
      </c>
      <c r="K1262" s="681">
        <v>12</v>
      </c>
      <c r="L1262" s="578">
        <f t="shared" si="279"/>
        <v>1053343</v>
      </c>
      <c r="M1262" s="92">
        <v>0</v>
      </c>
      <c r="N1262" s="92">
        <v>0</v>
      </c>
      <c r="O1262" s="92">
        <v>1053343</v>
      </c>
      <c r="P1262" s="92">
        <v>0</v>
      </c>
      <c r="Q1262" s="93">
        <f t="shared" si="278"/>
        <v>3548.9993261455525</v>
      </c>
      <c r="R1262" s="93">
        <v>7920</v>
      </c>
      <c r="S1262" s="285">
        <v>43830</v>
      </c>
    </row>
    <row r="1263" spans="1:30" s="24" customFormat="1" ht="24.6" customHeight="1">
      <c r="A1263" s="87">
        <v>8</v>
      </c>
      <c r="B1263" s="225" t="s">
        <v>970</v>
      </c>
      <c r="C1263" s="88">
        <v>1972</v>
      </c>
      <c r="D1263" s="88"/>
      <c r="E1263" s="534" t="s">
        <v>218</v>
      </c>
      <c r="F1263" s="681">
        <v>5</v>
      </c>
      <c r="G1263" s="681">
        <v>4</v>
      </c>
      <c r="H1263" s="681">
        <v>3992.9</v>
      </c>
      <c r="I1263" s="681">
        <v>2555.4</v>
      </c>
      <c r="J1263" s="681">
        <v>2298</v>
      </c>
      <c r="K1263" s="681">
        <v>101</v>
      </c>
      <c r="L1263" s="578">
        <f t="shared" si="279"/>
        <v>2217592</v>
      </c>
      <c r="M1263" s="92">
        <v>0</v>
      </c>
      <c r="N1263" s="92">
        <v>0</v>
      </c>
      <c r="O1263" s="92">
        <v>2217592</v>
      </c>
      <c r="P1263" s="92">
        <v>0</v>
      </c>
      <c r="Q1263" s="93">
        <f t="shared" si="278"/>
        <v>867.80621429130463</v>
      </c>
      <c r="R1263" s="93">
        <v>7920</v>
      </c>
      <c r="S1263" s="285">
        <v>43830</v>
      </c>
    </row>
    <row r="1264" spans="1:30" s="24" customFormat="1" ht="31.5">
      <c r="A1264" s="87">
        <v>9</v>
      </c>
      <c r="B1264" s="225" t="s">
        <v>971</v>
      </c>
      <c r="C1264" s="88">
        <v>1961</v>
      </c>
      <c r="D1264" s="88"/>
      <c r="E1264" s="534" t="s">
        <v>218</v>
      </c>
      <c r="F1264" s="681">
        <v>3</v>
      </c>
      <c r="G1264" s="681">
        <v>3</v>
      </c>
      <c r="H1264" s="681">
        <v>2465.9</v>
      </c>
      <c r="I1264" s="681">
        <v>2299.1</v>
      </c>
      <c r="J1264" s="681">
        <v>1233.4000000000001</v>
      </c>
      <c r="K1264" s="681">
        <v>48</v>
      </c>
      <c r="L1264" s="578">
        <f t="shared" si="279"/>
        <v>3519351</v>
      </c>
      <c r="M1264" s="92">
        <v>0</v>
      </c>
      <c r="N1264" s="92">
        <v>0</v>
      </c>
      <c r="O1264" s="92">
        <v>3519351</v>
      </c>
      <c r="P1264" s="92">
        <v>0</v>
      </c>
      <c r="Q1264" s="93">
        <f t="shared" si="278"/>
        <v>1530.751598451568</v>
      </c>
      <c r="R1264" s="93">
        <v>7920</v>
      </c>
      <c r="S1264" s="285">
        <v>43830</v>
      </c>
    </row>
    <row r="1265" spans="1:19" s="24" customFormat="1" ht="31.5">
      <c r="A1265" s="87">
        <v>10</v>
      </c>
      <c r="B1265" s="225" t="s">
        <v>972</v>
      </c>
      <c r="C1265" s="88">
        <v>1917</v>
      </c>
      <c r="D1265" s="88"/>
      <c r="E1265" s="534" t="s">
        <v>218</v>
      </c>
      <c r="F1265" s="681">
        <v>2</v>
      </c>
      <c r="G1265" s="681">
        <v>3</v>
      </c>
      <c r="H1265" s="681">
        <v>942.7</v>
      </c>
      <c r="I1265" s="681">
        <v>852.1</v>
      </c>
      <c r="J1265" s="681">
        <v>432</v>
      </c>
      <c r="K1265" s="681">
        <v>17</v>
      </c>
      <c r="L1265" s="578">
        <f t="shared" si="279"/>
        <v>1482982.29</v>
      </c>
      <c r="M1265" s="92">
        <v>0</v>
      </c>
      <c r="N1265" s="92">
        <v>0</v>
      </c>
      <c r="O1265" s="92">
        <v>1482982.29</v>
      </c>
      <c r="P1265" s="92">
        <v>0</v>
      </c>
      <c r="Q1265" s="93">
        <f t="shared" si="278"/>
        <v>1740.3852716817275</v>
      </c>
      <c r="R1265" s="93">
        <v>7920</v>
      </c>
      <c r="S1265" s="285">
        <v>43830</v>
      </c>
    </row>
    <row r="1266" spans="1:19" s="24" customFormat="1" ht="31.5">
      <c r="A1266" s="87">
        <v>11</v>
      </c>
      <c r="B1266" s="225" t="s">
        <v>973</v>
      </c>
      <c r="C1266" s="88">
        <v>1972</v>
      </c>
      <c r="D1266" s="88"/>
      <c r="E1266" s="534" t="s">
        <v>218</v>
      </c>
      <c r="F1266" s="681">
        <v>5</v>
      </c>
      <c r="G1266" s="681">
        <v>3</v>
      </c>
      <c r="H1266" s="681">
        <v>2528.8000000000002</v>
      </c>
      <c r="I1266" s="681">
        <v>2020.1</v>
      </c>
      <c r="J1266" s="681">
        <v>1901.8</v>
      </c>
      <c r="K1266" s="681">
        <v>76</v>
      </c>
      <c r="L1266" s="578">
        <f t="shared" si="279"/>
        <v>2664977</v>
      </c>
      <c r="M1266" s="92">
        <v>0</v>
      </c>
      <c r="N1266" s="92">
        <v>0</v>
      </c>
      <c r="O1266" s="92">
        <v>2664977</v>
      </c>
      <c r="P1266" s="92">
        <v>0</v>
      </c>
      <c r="Q1266" s="93">
        <f t="shared" si="278"/>
        <v>1319.2302361269244</v>
      </c>
      <c r="R1266" s="93">
        <v>7920</v>
      </c>
      <c r="S1266" s="285">
        <v>43830</v>
      </c>
    </row>
    <row r="1267" spans="1:19" s="24" customFormat="1" ht="15.75" customHeight="1">
      <c r="A1267" s="277"/>
      <c r="B1267" s="1140" t="s">
        <v>92</v>
      </c>
      <c r="C1267" s="1140"/>
      <c r="D1267" s="1140"/>
      <c r="E1267" s="1140"/>
      <c r="F1267" s="1141"/>
      <c r="G1267" s="1141"/>
      <c r="H1267" s="790">
        <f>H1268</f>
        <v>0</v>
      </c>
      <c r="I1267" s="790">
        <f t="shared" ref="I1267:P1267" si="280">I1268</f>
        <v>0</v>
      </c>
      <c r="J1267" s="790">
        <f t="shared" si="280"/>
        <v>0</v>
      </c>
      <c r="K1267" s="790">
        <f t="shared" si="280"/>
        <v>0</v>
      </c>
      <c r="L1267" s="791">
        <f t="shared" si="280"/>
        <v>0</v>
      </c>
      <c r="M1267" s="791">
        <f t="shared" si="280"/>
        <v>0</v>
      </c>
      <c r="N1267" s="791">
        <f t="shared" si="280"/>
        <v>0</v>
      </c>
      <c r="O1267" s="791">
        <f t="shared" si="280"/>
        <v>0</v>
      </c>
      <c r="P1267" s="791">
        <f t="shared" si="280"/>
        <v>0</v>
      </c>
      <c r="Q1267" s="284" t="s">
        <v>40</v>
      </c>
      <c r="R1267" s="586" t="s">
        <v>40</v>
      </c>
      <c r="S1267" s="285">
        <v>43830</v>
      </c>
    </row>
    <row r="1268" spans="1:19" s="1" customFormat="1" ht="15.75">
      <c r="A1268" s="277"/>
      <c r="B1268" s="340"/>
      <c r="C1268" s="314"/>
      <c r="D1268" s="314"/>
      <c r="E1268" s="280"/>
      <c r="F1268" s="314"/>
      <c r="G1268" s="314"/>
      <c r="H1268" s="315"/>
      <c r="I1268" s="314"/>
      <c r="J1268" s="314"/>
      <c r="K1268" s="317"/>
      <c r="L1268" s="283"/>
      <c r="M1268" s="283"/>
      <c r="N1268" s="283"/>
      <c r="O1268" s="283"/>
      <c r="P1268" s="283"/>
      <c r="Q1268" s="318"/>
      <c r="R1268" s="284"/>
      <c r="S1268" s="285"/>
    </row>
    <row r="1269" spans="1:19" s="1" customFormat="1" ht="15.75" customHeight="1">
      <c r="A1269" s="277"/>
      <c r="B1269" s="1138" t="s">
        <v>93</v>
      </c>
      <c r="C1269" s="1138"/>
      <c r="D1269" s="1138"/>
      <c r="E1269" s="1138"/>
      <c r="F1269" s="1138"/>
      <c r="G1269" s="1138"/>
      <c r="H1269" s="315">
        <f>SUM(H1270:H1273)</f>
        <v>16121.400000000001</v>
      </c>
      <c r="I1269" s="315">
        <f t="shared" ref="I1269:P1269" si="281">SUM(I1270:I1273)</f>
        <v>15093.3</v>
      </c>
      <c r="J1269" s="315">
        <f t="shared" si="281"/>
        <v>9440.59</v>
      </c>
      <c r="K1269" s="315">
        <f t="shared" si="281"/>
        <v>400</v>
      </c>
      <c r="L1269" s="619">
        <f t="shared" si="281"/>
        <v>12233600</v>
      </c>
      <c r="M1269" s="619">
        <f t="shared" si="281"/>
        <v>0</v>
      </c>
      <c r="N1269" s="619">
        <f t="shared" si="281"/>
        <v>0</v>
      </c>
      <c r="O1269" s="619">
        <f t="shared" si="281"/>
        <v>12233600</v>
      </c>
      <c r="P1269" s="619">
        <f t="shared" si="281"/>
        <v>0</v>
      </c>
      <c r="Q1269" s="303" t="s">
        <v>40</v>
      </c>
      <c r="R1269" s="303" t="s">
        <v>40</v>
      </c>
      <c r="S1269" s="285">
        <v>43830</v>
      </c>
    </row>
    <row r="1270" spans="1:19" s="1" customFormat="1" ht="15.75">
      <c r="A1270" s="277">
        <f>A1268+1</f>
        <v>1</v>
      </c>
      <c r="B1270" s="620" t="s">
        <v>790</v>
      </c>
      <c r="C1270" s="300">
        <v>1979</v>
      </c>
      <c r="D1270" s="300"/>
      <c r="E1270" s="280" t="s">
        <v>219</v>
      </c>
      <c r="F1270" s="302">
        <v>5</v>
      </c>
      <c r="G1270" s="302">
        <v>5</v>
      </c>
      <c r="H1270" s="503">
        <v>6227.3</v>
      </c>
      <c r="I1270" s="301">
        <v>6227.3</v>
      </c>
      <c r="J1270" s="301">
        <v>3788.52</v>
      </c>
      <c r="K1270" s="302">
        <v>174</v>
      </c>
      <c r="L1270" s="283">
        <v>3401438</v>
      </c>
      <c r="M1270" s="283">
        <v>0</v>
      </c>
      <c r="N1270" s="283">
        <v>0</v>
      </c>
      <c r="O1270" s="283">
        <f>L1270</f>
        <v>3401438</v>
      </c>
      <c r="P1270" s="283">
        <v>0</v>
      </c>
      <c r="Q1270" s="303">
        <f>L1270/I1270</f>
        <v>546.21392899009197</v>
      </c>
      <c r="R1270" s="284">
        <v>7920</v>
      </c>
      <c r="S1270" s="285">
        <v>43830</v>
      </c>
    </row>
    <row r="1271" spans="1:19" s="1" customFormat="1" ht="15.75">
      <c r="A1271" s="277">
        <f t="shared" si="276"/>
        <v>2</v>
      </c>
      <c r="B1271" s="620" t="s">
        <v>791</v>
      </c>
      <c r="C1271" s="300">
        <v>1991</v>
      </c>
      <c r="D1271" s="300"/>
      <c r="E1271" s="280" t="s">
        <v>219</v>
      </c>
      <c r="F1271" s="302">
        <v>5</v>
      </c>
      <c r="G1271" s="302">
        <v>4</v>
      </c>
      <c r="H1271" s="503">
        <v>3557.4</v>
      </c>
      <c r="I1271" s="301">
        <v>3287.3</v>
      </c>
      <c r="J1271" s="301">
        <v>2188.1</v>
      </c>
      <c r="K1271" s="302">
        <v>79</v>
      </c>
      <c r="L1271" s="283">
        <v>2323942</v>
      </c>
      <c r="M1271" s="283">
        <v>0</v>
      </c>
      <c r="N1271" s="283">
        <v>0</v>
      </c>
      <c r="O1271" s="283">
        <f>L1271</f>
        <v>2323942</v>
      </c>
      <c r="P1271" s="283">
        <v>0</v>
      </c>
      <c r="Q1271" s="303">
        <f>L1271/I1271</f>
        <v>706.94551759802869</v>
      </c>
      <c r="R1271" s="284">
        <v>7920</v>
      </c>
      <c r="S1271" s="285">
        <v>43830</v>
      </c>
    </row>
    <row r="1272" spans="1:19" s="1" customFormat="1" ht="31.5">
      <c r="A1272" s="277">
        <f t="shared" si="276"/>
        <v>3</v>
      </c>
      <c r="B1272" s="620" t="s">
        <v>792</v>
      </c>
      <c r="C1272" s="300">
        <v>1950</v>
      </c>
      <c r="D1272" s="300"/>
      <c r="E1272" s="280" t="s">
        <v>218</v>
      </c>
      <c r="F1272" s="302">
        <v>3</v>
      </c>
      <c r="G1272" s="302">
        <v>4</v>
      </c>
      <c r="H1272" s="503">
        <v>2375</v>
      </c>
      <c r="I1272" s="301">
        <v>2375</v>
      </c>
      <c r="J1272" s="301">
        <v>1480.89</v>
      </c>
      <c r="K1272" s="302">
        <v>54</v>
      </c>
      <c r="L1272" s="283">
        <v>4059506</v>
      </c>
      <c r="M1272" s="283">
        <v>0</v>
      </c>
      <c r="N1272" s="283">
        <v>0</v>
      </c>
      <c r="O1272" s="283">
        <f>L1272</f>
        <v>4059506</v>
      </c>
      <c r="P1272" s="283">
        <v>0</v>
      </c>
      <c r="Q1272" s="303">
        <f>L1272/I1272</f>
        <v>1709.2656842105264</v>
      </c>
      <c r="R1272" s="284">
        <v>7920</v>
      </c>
      <c r="S1272" s="285">
        <v>43830</v>
      </c>
    </row>
    <row r="1273" spans="1:19" s="1" customFormat="1" ht="15.75">
      <c r="A1273" s="277">
        <f t="shared" si="276"/>
        <v>4</v>
      </c>
      <c r="B1273" s="620" t="s">
        <v>793</v>
      </c>
      <c r="C1273" s="300">
        <v>1980</v>
      </c>
      <c r="D1273" s="300"/>
      <c r="E1273" s="280" t="s">
        <v>220</v>
      </c>
      <c r="F1273" s="302">
        <v>5</v>
      </c>
      <c r="G1273" s="302">
        <v>4</v>
      </c>
      <c r="H1273" s="503">
        <v>3961.7</v>
      </c>
      <c r="I1273" s="301">
        <v>3203.7</v>
      </c>
      <c r="J1273" s="301">
        <v>1983.08</v>
      </c>
      <c r="K1273" s="302">
        <v>93</v>
      </c>
      <c r="L1273" s="283">
        <v>2448714</v>
      </c>
      <c r="M1273" s="283">
        <v>0</v>
      </c>
      <c r="N1273" s="283">
        <v>0</v>
      </c>
      <c r="O1273" s="283">
        <f>L1273</f>
        <v>2448714</v>
      </c>
      <c r="P1273" s="283">
        <v>0</v>
      </c>
      <c r="Q1273" s="303">
        <f>L1273/I1273</f>
        <v>764.33935761775456</v>
      </c>
      <c r="R1273" s="284">
        <v>7920</v>
      </c>
      <c r="S1273" s="285">
        <v>43830</v>
      </c>
    </row>
    <row r="1274" spans="1:19" s="1" customFormat="1" ht="15.75">
      <c r="A1274" s="277"/>
      <c r="B1274" s="620"/>
      <c r="C1274" s="300"/>
      <c r="D1274" s="300"/>
      <c r="E1274" s="280"/>
      <c r="F1274" s="302"/>
      <c r="G1274" s="302"/>
      <c r="H1274" s="503"/>
      <c r="I1274" s="301"/>
      <c r="J1274" s="301"/>
      <c r="K1274" s="302"/>
      <c r="L1274" s="283"/>
      <c r="M1274" s="283"/>
      <c r="N1274" s="283"/>
      <c r="O1274" s="283"/>
      <c r="P1274" s="283"/>
      <c r="Q1274" s="303"/>
      <c r="R1274" s="284"/>
      <c r="S1274" s="285"/>
    </row>
    <row r="1275" spans="1:19" s="1" customFormat="1" ht="15.75">
      <c r="A1275" s="277"/>
      <c r="B1275" s="620"/>
      <c r="C1275" s="300"/>
      <c r="D1275" s="300"/>
      <c r="E1275" s="280"/>
      <c r="F1275" s="302"/>
      <c r="G1275" s="302"/>
      <c r="H1275" s="503"/>
      <c r="I1275" s="301"/>
      <c r="J1275" s="301"/>
      <c r="K1275" s="302"/>
      <c r="L1275" s="283"/>
      <c r="M1275" s="283"/>
      <c r="N1275" s="283"/>
      <c r="O1275" s="283"/>
      <c r="P1275" s="283"/>
      <c r="Q1275" s="303"/>
      <c r="R1275" s="284"/>
      <c r="S1275" s="285"/>
    </row>
    <row r="1276" spans="1:19" s="1" customFormat="1" ht="15.75">
      <c r="A1276" s="277"/>
      <c r="B1276" s="620"/>
      <c r="C1276" s="300"/>
      <c r="D1276" s="300"/>
      <c r="E1276" s="280"/>
      <c r="F1276" s="302"/>
      <c r="G1276" s="302"/>
      <c r="H1276" s="503"/>
      <c r="I1276" s="301"/>
      <c r="J1276" s="301"/>
      <c r="K1276" s="302"/>
      <c r="L1276" s="283"/>
      <c r="M1276" s="283"/>
      <c r="N1276" s="283"/>
      <c r="O1276" s="283"/>
      <c r="P1276" s="283"/>
      <c r="Q1276" s="303"/>
      <c r="R1276" s="284"/>
      <c r="S1276" s="285"/>
    </row>
    <row r="1277" spans="1:19" s="1" customFormat="1" ht="15.75">
      <c r="A1277" s="277"/>
      <c r="B1277" s="620"/>
      <c r="C1277" s="300"/>
      <c r="D1277" s="300"/>
      <c r="E1277" s="280"/>
      <c r="F1277" s="302"/>
      <c r="G1277" s="302"/>
      <c r="H1277" s="503"/>
      <c r="I1277" s="301"/>
      <c r="J1277" s="301"/>
      <c r="K1277" s="302"/>
      <c r="L1277" s="283"/>
      <c r="M1277" s="283"/>
      <c r="N1277" s="283"/>
      <c r="O1277" s="283"/>
      <c r="P1277" s="283"/>
      <c r="Q1277" s="303"/>
      <c r="R1277" s="284"/>
      <c r="S1277" s="285"/>
    </row>
    <row r="1278" spans="1:19" s="1" customFormat="1" ht="15.75">
      <c r="A1278" s="277"/>
      <c r="B1278" s="620"/>
      <c r="C1278" s="300"/>
      <c r="D1278" s="300"/>
      <c r="E1278" s="280"/>
      <c r="F1278" s="302"/>
      <c r="G1278" s="302"/>
      <c r="H1278" s="503"/>
      <c r="I1278" s="301"/>
      <c r="J1278" s="301"/>
      <c r="K1278" s="302"/>
      <c r="L1278" s="283"/>
      <c r="M1278" s="283"/>
      <c r="N1278" s="283"/>
      <c r="O1278" s="283"/>
      <c r="P1278" s="283"/>
      <c r="Q1278" s="303"/>
      <c r="R1278" s="284"/>
      <c r="S1278" s="285"/>
    </row>
    <row r="1279" spans="1:19" s="1" customFormat="1" ht="15.75">
      <c r="A1279" s="277"/>
      <c r="B1279" s="620"/>
      <c r="C1279" s="300"/>
      <c r="D1279" s="300"/>
      <c r="E1279" s="280"/>
      <c r="F1279" s="302"/>
      <c r="G1279" s="302"/>
      <c r="H1279" s="503"/>
      <c r="I1279" s="301"/>
      <c r="J1279" s="301"/>
      <c r="K1279" s="302"/>
      <c r="L1279" s="283"/>
      <c r="M1279" s="283"/>
      <c r="N1279" s="283"/>
      <c r="O1279" s="283"/>
      <c r="P1279" s="283"/>
      <c r="Q1279" s="303"/>
      <c r="R1279" s="284"/>
      <c r="S1279" s="285"/>
    </row>
    <row r="1280" spans="1:19" s="1" customFormat="1" ht="15.75">
      <c r="A1280" s="277"/>
      <c r="B1280" s="620"/>
      <c r="C1280" s="300"/>
      <c r="D1280" s="300"/>
      <c r="E1280" s="280"/>
      <c r="F1280" s="302"/>
      <c r="G1280" s="302"/>
      <c r="H1280" s="503"/>
      <c r="I1280" s="301"/>
      <c r="J1280" s="301"/>
      <c r="K1280" s="302"/>
      <c r="L1280" s="283"/>
      <c r="M1280" s="283"/>
      <c r="N1280" s="283"/>
      <c r="O1280" s="283"/>
      <c r="P1280" s="283"/>
      <c r="Q1280" s="303"/>
      <c r="R1280" s="284"/>
      <c r="S1280" s="285"/>
    </row>
    <row r="1281" spans="1:19" s="1" customFormat="1" ht="15.75">
      <c r="A1281" s="277"/>
      <c r="B1281" s="620"/>
      <c r="C1281" s="300"/>
      <c r="D1281" s="300"/>
      <c r="E1281" s="280"/>
      <c r="F1281" s="302"/>
      <c r="G1281" s="302"/>
      <c r="H1281" s="503"/>
      <c r="I1281" s="301"/>
      <c r="J1281" s="301"/>
      <c r="K1281" s="302"/>
      <c r="L1281" s="283"/>
      <c r="M1281" s="283"/>
      <c r="N1281" s="283"/>
      <c r="O1281" s="283"/>
      <c r="P1281" s="283"/>
      <c r="Q1281" s="303"/>
      <c r="R1281" s="284"/>
      <c r="S1281" s="285"/>
    </row>
    <row r="1282" spans="1:19" s="1" customFormat="1" ht="15.75">
      <c r="A1282" s="277"/>
      <c r="B1282" s="620"/>
      <c r="C1282" s="300"/>
      <c r="D1282" s="300"/>
      <c r="E1282" s="280"/>
      <c r="F1282" s="302"/>
      <c r="G1282" s="302"/>
      <c r="H1282" s="503"/>
      <c r="I1282" s="301"/>
      <c r="J1282" s="301"/>
      <c r="K1282" s="302"/>
      <c r="L1282" s="283"/>
      <c r="M1282" s="283"/>
      <c r="N1282" s="283"/>
      <c r="O1282" s="283"/>
      <c r="P1282" s="283"/>
      <c r="Q1282" s="303"/>
      <c r="R1282" s="284"/>
      <c r="S1282" s="285"/>
    </row>
    <row r="1283" spans="1:19" s="1" customFormat="1" ht="15.75">
      <c r="A1283" s="277"/>
      <c r="B1283" s="620"/>
      <c r="C1283" s="300"/>
      <c r="D1283" s="300"/>
      <c r="E1283" s="280"/>
      <c r="F1283" s="302"/>
      <c r="G1283" s="302"/>
      <c r="H1283" s="503"/>
      <c r="I1283" s="301"/>
      <c r="J1283" s="301"/>
      <c r="K1283" s="302"/>
      <c r="L1283" s="283"/>
      <c r="M1283" s="283"/>
      <c r="N1283" s="283"/>
      <c r="O1283" s="283"/>
      <c r="P1283" s="283"/>
      <c r="Q1283" s="303"/>
      <c r="R1283" s="284"/>
      <c r="S1283" s="285"/>
    </row>
    <row r="1284" spans="1:19" s="1" customFormat="1" ht="15.75">
      <c r="A1284" s="277"/>
      <c r="B1284" s="620"/>
      <c r="C1284" s="300"/>
      <c r="D1284" s="300"/>
      <c r="E1284" s="280"/>
      <c r="F1284" s="302"/>
      <c r="G1284" s="302"/>
      <c r="H1284" s="503"/>
      <c r="I1284" s="301"/>
      <c r="J1284" s="301"/>
      <c r="K1284" s="302"/>
      <c r="L1284" s="283"/>
      <c r="M1284" s="283"/>
      <c r="N1284" s="283"/>
      <c r="O1284" s="283"/>
      <c r="P1284" s="283"/>
      <c r="Q1284" s="303"/>
      <c r="R1284" s="284"/>
      <c r="S1284" s="285"/>
    </row>
    <row r="1285" spans="1:19" s="1" customFormat="1" ht="15.75">
      <c r="A1285" s="277"/>
      <c r="B1285" s="620"/>
      <c r="C1285" s="300"/>
      <c r="D1285" s="300"/>
      <c r="E1285" s="280"/>
      <c r="F1285" s="302"/>
      <c r="G1285" s="302"/>
      <c r="H1285" s="503"/>
      <c r="I1285" s="301"/>
      <c r="J1285" s="301"/>
      <c r="K1285" s="302"/>
      <c r="L1285" s="283"/>
      <c r="M1285" s="283"/>
      <c r="N1285" s="283"/>
      <c r="O1285" s="283"/>
      <c r="P1285" s="283"/>
      <c r="Q1285" s="303"/>
      <c r="R1285" s="284"/>
      <c r="S1285" s="285"/>
    </row>
    <row r="1286" spans="1:19" s="1" customFormat="1" ht="15.75">
      <c r="A1286" s="277"/>
      <c r="B1286" s="620"/>
      <c r="C1286" s="300"/>
      <c r="D1286" s="300"/>
      <c r="E1286" s="280"/>
      <c r="F1286" s="302"/>
      <c r="G1286" s="302"/>
      <c r="H1286" s="503"/>
      <c r="I1286" s="301"/>
      <c r="J1286" s="301"/>
      <c r="K1286" s="302"/>
      <c r="L1286" s="283"/>
      <c r="M1286" s="283"/>
      <c r="N1286" s="283"/>
      <c r="O1286" s="283"/>
      <c r="P1286" s="283"/>
      <c r="Q1286" s="303"/>
      <c r="R1286" s="284"/>
      <c r="S1286" s="285"/>
    </row>
    <row r="1287" spans="1:19" s="1" customFormat="1" ht="15.75">
      <c r="A1287" s="277"/>
      <c r="B1287" s="620"/>
      <c r="C1287" s="300"/>
      <c r="D1287" s="300"/>
      <c r="E1287" s="280"/>
      <c r="F1287" s="302"/>
      <c r="G1287" s="302"/>
      <c r="H1287" s="503"/>
      <c r="I1287" s="301"/>
      <c r="J1287" s="301"/>
      <c r="K1287" s="302"/>
      <c r="L1287" s="283"/>
      <c r="M1287" s="283"/>
      <c r="N1287" s="283"/>
      <c r="O1287" s="283"/>
      <c r="P1287" s="283"/>
      <c r="Q1287" s="303"/>
      <c r="R1287" s="284"/>
      <c r="S1287" s="285"/>
    </row>
    <row r="1288" spans="1:19" s="1" customFormat="1" ht="15.75">
      <c r="A1288" s="277"/>
      <c r="B1288" s="620"/>
      <c r="C1288" s="300"/>
      <c r="D1288" s="300"/>
      <c r="E1288" s="280"/>
      <c r="F1288" s="302"/>
      <c r="G1288" s="302"/>
      <c r="H1288" s="503"/>
      <c r="I1288" s="301"/>
      <c r="J1288" s="301"/>
      <c r="K1288" s="302"/>
      <c r="L1288" s="283"/>
      <c r="M1288" s="283"/>
      <c r="N1288" s="283"/>
      <c r="O1288" s="283"/>
      <c r="P1288" s="283"/>
      <c r="Q1288" s="303"/>
      <c r="R1288" s="284"/>
      <c r="S1288" s="285"/>
    </row>
    <row r="1289" spans="1:19" s="1" customFormat="1" ht="15.75">
      <c r="A1289" s="277"/>
      <c r="B1289" s="620"/>
      <c r="C1289" s="300"/>
      <c r="D1289" s="300"/>
      <c r="E1289" s="280"/>
      <c r="F1289" s="302"/>
      <c r="G1289" s="302"/>
      <c r="H1289" s="503"/>
      <c r="I1289" s="301"/>
      <c r="J1289" s="301"/>
      <c r="K1289" s="302"/>
      <c r="L1289" s="283"/>
      <c r="M1289" s="283"/>
      <c r="N1289" s="283"/>
      <c r="O1289" s="283"/>
      <c r="P1289" s="283"/>
      <c r="Q1289" s="303"/>
      <c r="R1289" s="284"/>
      <c r="S1289" s="285"/>
    </row>
    <row r="1290" spans="1:19" s="1" customFormat="1" ht="15.75">
      <c r="A1290" s="277"/>
      <c r="B1290" s="620"/>
      <c r="C1290" s="300"/>
      <c r="D1290" s="300"/>
      <c r="E1290" s="280"/>
      <c r="F1290" s="302"/>
      <c r="G1290" s="302"/>
      <c r="H1290" s="503"/>
      <c r="I1290" s="301"/>
      <c r="J1290" s="301"/>
      <c r="K1290" s="302"/>
      <c r="L1290" s="283"/>
      <c r="M1290" s="283"/>
      <c r="N1290" s="283"/>
      <c r="O1290" s="283"/>
      <c r="P1290" s="283"/>
      <c r="Q1290" s="303"/>
      <c r="R1290" s="284"/>
      <c r="S1290" s="285"/>
    </row>
    <row r="1291" spans="1:19" s="1" customFormat="1" ht="15.75">
      <c r="A1291" s="277"/>
      <c r="B1291" s="620"/>
      <c r="C1291" s="300"/>
      <c r="D1291" s="300"/>
      <c r="E1291" s="280"/>
      <c r="F1291" s="302"/>
      <c r="G1291" s="302"/>
      <c r="H1291" s="503"/>
      <c r="I1291" s="301"/>
      <c r="J1291" s="301"/>
      <c r="K1291" s="302"/>
      <c r="L1291" s="283"/>
      <c r="M1291" s="283"/>
      <c r="N1291" s="283"/>
      <c r="O1291" s="283"/>
      <c r="P1291" s="283"/>
      <c r="Q1291" s="303"/>
      <c r="R1291" s="284"/>
      <c r="S1291" s="285"/>
    </row>
    <row r="1292" spans="1:19" s="1" customFormat="1" ht="15.75">
      <c r="A1292" s="277"/>
      <c r="B1292" s="620"/>
      <c r="C1292" s="300"/>
      <c r="D1292" s="300"/>
      <c r="E1292" s="280"/>
      <c r="F1292" s="302"/>
      <c r="G1292" s="302"/>
      <c r="H1292" s="503"/>
      <c r="I1292" s="301"/>
      <c r="J1292" s="301"/>
      <c r="K1292" s="302"/>
      <c r="L1292" s="283"/>
      <c r="M1292" s="283"/>
      <c r="N1292" s="283"/>
      <c r="O1292" s="283"/>
      <c r="P1292" s="283"/>
      <c r="Q1292" s="303"/>
      <c r="R1292" s="284"/>
      <c r="S1292" s="285"/>
    </row>
    <row r="1293" spans="1:19" s="1" customFormat="1" ht="15.75">
      <c r="A1293" s="277"/>
      <c r="B1293" s="620"/>
      <c r="C1293" s="300"/>
      <c r="D1293" s="300"/>
      <c r="E1293" s="280"/>
      <c r="F1293" s="302"/>
      <c r="G1293" s="302"/>
      <c r="H1293" s="503"/>
      <c r="I1293" s="301"/>
      <c r="J1293" s="301"/>
      <c r="K1293" s="302"/>
      <c r="L1293" s="283"/>
      <c r="M1293" s="283"/>
      <c r="N1293" s="283"/>
      <c r="O1293" s="283"/>
      <c r="P1293" s="283"/>
      <c r="Q1293" s="303"/>
      <c r="R1293" s="284"/>
      <c r="S1293" s="285"/>
    </row>
    <row r="1294" spans="1:19" s="1" customFormat="1" ht="15.75">
      <c r="A1294" s="277"/>
      <c r="B1294" s="620"/>
      <c r="C1294" s="300"/>
      <c r="D1294" s="300"/>
      <c r="E1294" s="280"/>
      <c r="F1294" s="302"/>
      <c r="G1294" s="302"/>
      <c r="H1294" s="503"/>
      <c r="I1294" s="301"/>
      <c r="J1294" s="301"/>
      <c r="K1294" s="302"/>
      <c r="L1294" s="283"/>
      <c r="M1294" s="283"/>
      <c r="N1294" s="283"/>
      <c r="O1294" s="283"/>
      <c r="P1294" s="283"/>
      <c r="Q1294" s="303"/>
      <c r="R1294" s="284"/>
      <c r="S1294" s="285"/>
    </row>
    <row r="1295" spans="1:19" s="1" customFormat="1" ht="15.75">
      <c r="A1295" s="87"/>
      <c r="B1295" s="1066" t="s">
        <v>94</v>
      </c>
      <c r="C1295" s="1066"/>
      <c r="D1295" s="1066"/>
      <c r="E1295" s="1066"/>
      <c r="F1295" s="1066"/>
      <c r="G1295" s="1066"/>
      <c r="H1295" s="86">
        <f>H1296+H1297</f>
        <v>5185.7</v>
      </c>
      <c r="I1295" s="86">
        <f t="shared" ref="I1295:P1295" si="282">I1296+I1297</f>
        <v>4237.5</v>
      </c>
      <c r="J1295" s="86">
        <f t="shared" si="282"/>
        <v>4010.2000000000003</v>
      </c>
      <c r="K1295" s="86">
        <f t="shared" si="282"/>
        <v>172</v>
      </c>
      <c r="L1295" s="496">
        <f t="shared" si="282"/>
        <v>2634518</v>
      </c>
      <c r="M1295" s="496">
        <f t="shared" si="282"/>
        <v>0</v>
      </c>
      <c r="N1295" s="496">
        <f t="shared" si="282"/>
        <v>0</v>
      </c>
      <c r="O1295" s="496">
        <f t="shared" si="282"/>
        <v>2634518</v>
      </c>
      <c r="P1295" s="496">
        <f t="shared" si="282"/>
        <v>0</v>
      </c>
      <c r="Q1295" s="86" t="s">
        <v>40</v>
      </c>
      <c r="R1295" s="86" t="s">
        <v>40</v>
      </c>
      <c r="S1295" s="285">
        <v>43830</v>
      </c>
    </row>
    <row r="1296" spans="1:19" s="36" customFormat="1" ht="15.75">
      <c r="A1296" s="277"/>
      <c r="B1296" s="340" t="s">
        <v>976</v>
      </c>
      <c r="C1296" s="799"/>
      <c r="D1296" s="280"/>
      <c r="E1296" s="280" t="s">
        <v>734</v>
      </c>
      <c r="F1296" s="341">
        <v>9</v>
      </c>
      <c r="G1296" s="341">
        <v>1</v>
      </c>
      <c r="H1296" s="342">
        <v>4656.8</v>
      </c>
      <c r="I1296" s="343">
        <v>3745.2</v>
      </c>
      <c r="J1296" s="343">
        <v>3572.3</v>
      </c>
      <c r="K1296" s="344">
        <v>153</v>
      </c>
      <c r="L1296" s="283">
        <v>1960022</v>
      </c>
      <c r="M1296" s="283">
        <v>0</v>
      </c>
      <c r="N1296" s="283">
        <v>0</v>
      </c>
      <c r="O1296" s="283">
        <v>1960022</v>
      </c>
      <c r="P1296" s="283">
        <v>0</v>
      </c>
      <c r="Q1296" s="343">
        <f>L1296/I1296</f>
        <v>523.34241162020726</v>
      </c>
      <c r="R1296" s="284">
        <v>7920</v>
      </c>
      <c r="S1296" s="285">
        <v>43830</v>
      </c>
    </row>
    <row r="1297" spans="1:30" s="1" customFormat="1" ht="31.5">
      <c r="A1297" s="277"/>
      <c r="B1297" s="340" t="s">
        <v>977</v>
      </c>
      <c r="C1297" s="799"/>
      <c r="D1297" s="280"/>
      <c r="E1297" s="280" t="s">
        <v>974</v>
      </c>
      <c r="F1297" s="341">
        <v>2</v>
      </c>
      <c r="G1297" s="341">
        <v>1</v>
      </c>
      <c r="H1297" s="342">
        <v>528.9</v>
      </c>
      <c r="I1297" s="343">
        <v>492.3</v>
      </c>
      <c r="J1297" s="343">
        <v>437.9</v>
      </c>
      <c r="K1297" s="344">
        <v>19</v>
      </c>
      <c r="L1297" s="283">
        <v>674496</v>
      </c>
      <c r="M1297" s="283">
        <v>0</v>
      </c>
      <c r="N1297" s="283">
        <v>0</v>
      </c>
      <c r="O1297" s="283">
        <v>674496</v>
      </c>
      <c r="P1297" s="283">
        <v>0</v>
      </c>
      <c r="Q1297" s="343">
        <f>L1297/I1297</f>
        <v>1370.0914076782449</v>
      </c>
      <c r="R1297" s="284">
        <v>7920</v>
      </c>
      <c r="S1297" s="285">
        <v>43830</v>
      </c>
      <c r="T1297" s="37"/>
      <c r="U1297" s="37"/>
      <c r="V1297" s="37"/>
      <c r="W1297" s="37"/>
      <c r="X1297" s="37"/>
      <c r="Y1297" s="37"/>
      <c r="Z1297" s="37"/>
      <c r="AA1297" s="37"/>
      <c r="AB1297" s="37"/>
      <c r="AC1297" s="37"/>
      <c r="AD1297" s="37"/>
    </row>
    <row r="1298" spans="1:30" s="1" customFormat="1" ht="15.75">
      <c r="A1298" s="277"/>
      <c r="B1298" s="340"/>
      <c r="C1298" s="280"/>
      <c r="D1298" s="280"/>
      <c r="E1298" s="280"/>
      <c r="F1298" s="341"/>
      <c r="G1298" s="341"/>
      <c r="H1298" s="342"/>
      <c r="I1298" s="342"/>
      <c r="J1298" s="342"/>
      <c r="K1298" s="344"/>
      <c r="L1298" s="283"/>
      <c r="M1298" s="283"/>
      <c r="N1298" s="283"/>
      <c r="O1298" s="283"/>
      <c r="P1298" s="283"/>
      <c r="Q1298" s="343"/>
      <c r="R1298" s="284"/>
      <c r="S1298" s="285"/>
    </row>
    <row r="1299" spans="1:30" s="1" customFormat="1" ht="15.75">
      <c r="A1299" s="277"/>
      <c r="B1299" s="340"/>
      <c r="C1299" s="280"/>
      <c r="D1299" s="280"/>
      <c r="E1299" s="280"/>
      <c r="F1299" s="341"/>
      <c r="G1299" s="341"/>
      <c r="H1299" s="342"/>
      <c r="I1299" s="343"/>
      <c r="J1299" s="343"/>
      <c r="K1299" s="344"/>
      <c r="L1299" s="283"/>
      <c r="M1299" s="283"/>
      <c r="N1299" s="283"/>
      <c r="O1299" s="283"/>
      <c r="P1299" s="283"/>
      <c r="Q1299" s="343"/>
      <c r="R1299" s="284"/>
      <c r="S1299" s="285"/>
    </row>
    <row r="1300" spans="1:30" s="1" customFormat="1" ht="15.75">
      <c r="A1300" s="277"/>
      <c r="B1300" s="340"/>
      <c r="C1300" s="280"/>
      <c r="D1300" s="280"/>
      <c r="E1300" s="280"/>
      <c r="F1300" s="341"/>
      <c r="G1300" s="341"/>
      <c r="H1300" s="342"/>
      <c r="I1300" s="343"/>
      <c r="J1300" s="343"/>
      <c r="K1300" s="344"/>
      <c r="L1300" s="283"/>
      <c r="M1300" s="283"/>
      <c r="N1300" s="283"/>
      <c r="O1300" s="283"/>
      <c r="P1300" s="283"/>
      <c r="Q1300" s="343"/>
      <c r="R1300" s="284"/>
      <c r="S1300" s="285"/>
      <c r="T1300" s="37"/>
      <c r="U1300" s="37"/>
      <c r="V1300" s="37"/>
      <c r="W1300" s="37"/>
      <c r="X1300" s="37"/>
      <c r="Y1300" s="37"/>
      <c r="Z1300" s="37"/>
      <c r="AA1300" s="37"/>
      <c r="AB1300" s="37"/>
      <c r="AC1300" s="37"/>
      <c r="AD1300" s="37"/>
    </row>
    <row r="1301" spans="1:30" s="1" customFormat="1" ht="15.75">
      <c r="A1301" s="277"/>
      <c r="B1301" s="345"/>
      <c r="C1301" s="280"/>
      <c r="D1301" s="280"/>
      <c r="E1301" s="280"/>
      <c r="F1301" s="341"/>
      <c r="G1301" s="341"/>
      <c r="H1301" s="342"/>
      <c r="I1301" s="342"/>
      <c r="J1301" s="342"/>
      <c r="K1301" s="344"/>
      <c r="L1301" s="283"/>
      <c r="M1301" s="283"/>
      <c r="N1301" s="283"/>
      <c r="O1301" s="283"/>
      <c r="P1301" s="283"/>
      <c r="Q1301" s="343"/>
      <c r="R1301" s="284"/>
      <c r="S1301" s="285"/>
    </row>
    <row r="1302" spans="1:30" s="1" customFormat="1" ht="15.75">
      <c r="A1302" s="277"/>
      <c r="B1302" s="340"/>
      <c r="C1302" s="280"/>
      <c r="D1302" s="280"/>
      <c r="E1302" s="280"/>
      <c r="F1302" s="341"/>
      <c r="G1302" s="341"/>
      <c r="H1302" s="342"/>
      <c r="I1302" s="343"/>
      <c r="J1302" s="343"/>
      <c r="K1302" s="344"/>
      <c r="L1302" s="283"/>
      <c r="M1302" s="283"/>
      <c r="N1302" s="283"/>
      <c r="O1302" s="283"/>
      <c r="P1302" s="283"/>
      <c r="Q1302" s="343"/>
      <c r="R1302" s="284"/>
      <c r="S1302" s="285"/>
      <c r="T1302" s="37"/>
      <c r="U1302" s="37"/>
      <c r="V1302" s="37"/>
      <c r="W1302" s="37"/>
      <c r="X1302" s="37"/>
      <c r="Y1302" s="37"/>
      <c r="Z1302" s="37"/>
      <c r="AA1302" s="37"/>
      <c r="AB1302" s="37"/>
      <c r="AC1302" s="37"/>
      <c r="AD1302" s="37"/>
    </row>
    <row r="1303" spans="1:30" s="36" customFormat="1" ht="15.75">
      <c r="A1303" s="277"/>
      <c r="B1303" s="340"/>
      <c r="C1303" s="280"/>
      <c r="D1303" s="280"/>
      <c r="E1303" s="280"/>
      <c r="F1303" s="341"/>
      <c r="G1303" s="341"/>
      <c r="H1303" s="342"/>
      <c r="I1303" s="343"/>
      <c r="J1303" s="343"/>
      <c r="K1303" s="344"/>
      <c r="L1303" s="283"/>
      <c r="M1303" s="283"/>
      <c r="N1303" s="283"/>
      <c r="O1303" s="283"/>
      <c r="P1303" s="283"/>
      <c r="Q1303" s="343"/>
      <c r="R1303" s="284"/>
      <c r="S1303" s="285"/>
      <c r="T1303" s="37"/>
      <c r="U1303" s="37"/>
      <c r="V1303" s="37"/>
      <c r="W1303" s="37"/>
      <c r="X1303" s="37"/>
      <c r="Y1303" s="37"/>
      <c r="Z1303" s="37"/>
      <c r="AA1303" s="37"/>
      <c r="AB1303" s="37"/>
      <c r="AC1303" s="37"/>
      <c r="AD1303" s="37"/>
    </row>
    <row r="1304" spans="1:30" s="37" customFormat="1" ht="15.75">
      <c r="A1304" s="277"/>
      <c r="B1304" s="345"/>
      <c r="C1304" s="280"/>
      <c r="D1304" s="280"/>
      <c r="E1304" s="280"/>
      <c r="F1304" s="341"/>
      <c r="G1304" s="341"/>
      <c r="H1304" s="342"/>
      <c r="I1304" s="342"/>
      <c r="J1304" s="343"/>
      <c r="K1304" s="344"/>
      <c r="L1304" s="283"/>
      <c r="M1304" s="283"/>
      <c r="N1304" s="283"/>
      <c r="O1304" s="283"/>
      <c r="P1304" s="283"/>
      <c r="Q1304" s="343"/>
      <c r="R1304" s="284"/>
      <c r="S1304" s="285"/>
      <c r="T1304" s="36"/>
      <c r="U1304" s="36"/>
      <c r="V1304" s="36"/>
      <c r="W1304" s="36"/>
      <c r="X1304" s="36"/>
      <c r="Y1304" s="36"/>
      <c r="Z1304" s="36"/>
      <c r="AA1304" s="36"/>
      <c r="AB1304" s="36"/>
      <c r="AC1304" s="36"/>
      <c r="AD1304" s="36"/>
    </row>
    <row r="1305" spans="1:30" s="37" customFormat="1" ht="15.75">
      <c r="A1305" s="277"/>
      <c r="B1305" s="340"/>
      <c r="C1305" s="280"/>
      <c r="D1305" s="280"/>
      <c r="E1305" s="280"/>
      <c r="F1305" s="341"/>
      <c r="G1305" s="341"/>
      <c r="H1305" s="342"/>
      <c r="I1305" s="342"/>
      <c r="J1305" s="342"/>
      <c r="K1305" s="344"/>
      <c r="L1305" s="283"/>
      <c r="M1305" s="283"/>
      <c r="N1305" s="283"/>
      <c r="O1305" s="283"/>
      <c r="P1305" s="283"/>
      <c r="Q1305" s="343"/>
      <c r="R1305" s="284"/>
      <c r="S1305" s="285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</row>
    <row r="1306" spans="1:30" s="37" customFormat="1" ht="15.75">
      <c r="A1306" s="277"/>
      <c r="B1306" s="340"/>
      <c r="C1306" s="280"/>
      <c r="D1306" s="280"/>
      <c r="E1306" s="280"/>
      <c r="F1306" s="341"/>
      <c r="G1306" s="341"/>
      <c r="H1306" s="342"/>
      <c r="I1306" s="343"/>
      <c r="J1306" s="343"/>
      <c r="K1306" s="344"/>
      <c r="L1306" s="283"/>
      <c r="M1306" s="283"/>
      <c r="N1306" s="283"/>
      <c r="O1306" s="283"/>
      <c r="P1306" s="283"/>
      <c r="Q1306" s="343"/>
      <c r="R1306" s="284"/>
      <c r="S1306" s="285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</row>
    <row r="1307" spans="1:30" s="37" customFormat="1" ht="15.75">
      <c r="A1307" s="277"/>
      <c r="B1307" s="345"/>
      <c r="C1307" s="280"/>
      <c r="D1307" s="280"/>
      <c r="E1307" s="280"/>
      <c r="F1307" s="341"/>
      <c r="G1307" s="341"/>
      <c r="H1307" s="342"/>
      <c r="I1307" s="343"/>
      <c r="J1307" s="343"/>
      <c r="K1307" s="344"/>
      <c r="L1307" s="283"/>
      <c r="M1307" s="283"/>
      <c r="N1307" s="283"/>
      <c r="O1307" s="283"/>
      <c r="P1307" s="283"/>
      <c r="Q1307" s="343"/>
      <c r="R1307" s="284"/>
      <c r="S1307" s="285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</row>
    <row r="1308" spans="1:30" s="1" customFormat="1" ht="15.75">
      <c r="A1308" s="277"/>
      <c r="B1308" s="1143" t="s">
        <v>123</v>
      </c>
      <c r="C1308" s="1143"/>
      <c r="D1308" s="1143"/>
      <c r="E1308" s="1143"/>
      <c r="F1308" s="1143"/>
      <c r="G1308" s="1143"/>
      <c r="H1308" s="301">
        <f t="shared" ref="H1308:P1308" si="283">SUM(H1309:H1311)</f>
        <v>20881.099999999999</v>
      </c>
      <c r="I1308" s="301">
        <f t="shared" si="283"/>
        <v>12692.79</v>
      </c>
      <c r="J1308" s="301">
        <f t="shared" si="283"/>
        <v>9770.1</v>
      </c>
      <c r="K1308" s="301">
        <f t="shared" si="283"/>
        <v>629</v>
      </c>
      <c r="L1308" s="627">
        <f t="shared" si="283"/>
        <v>10007426</v>
      </c>
      <c r="M1308" s="627">
        <f t="shared" si="283"/>
        <v>0</v>
      </c>
      <c r="N1308" s="627">
        <f t="shared" si="283"/>
        <v>0</v>
      </c>
      <c r="O1308" s="627">
        <f t="shared" si="283"/>
        <v>10007426</v>
      </c>
      <c r="P1308" s="627">
        <f t="shared" si="283"/>
        <v>0</v>
      </c>
      <c r="Q1308" s="303" t="s">
        <v>40</v>
      </c>
      <c r="R1308" s="300" t="s">
        <v>40</v>
      </c>
      <c r="S1308" s="285">
        <v>43830</v>
      </c>
    </row>
    <row r="1309" spans="1:30" s="1" customFormat="1" ht="31.5">
      <c r="A1309" s="277">
        <f>A1307+1</f>
        <v>1</v>
      </c>
      <c r="B1309" s="312" t="s">
        <v>943</v>
      </c>
      <c r="C1309" s="314">
        <v>1964</v>
      </c>
      <c r="D1309" s="314"/>
      <c r="E1309" s="280" t="s">
        <v>218</v>
      </c>
      <c r="F1309" s="300">
        <v>5</v>
      </c>
      <c r="G1309" s="300">
        <v>5</v>
      </c>
      <c r="H1309" s="301">
        <v>6196.8</v>
      </c>
      <c r="I1309" s="300">
        <v>4027.51</v>
      </c>
      <c r="J1309" s="300">
        <v>3262.28</v>
      </c>
      <c r="K1309" s="317">
        <v>233</v>
      </c>
      <c r="L1309" s="283">
        <v>3237114</v>
      </c>
      <c r="M1309" s="283">
        <f>SUM(M1310:M1321)</f>
        <v>0</v>
      </c>
      <c r="N1309" s="283">
        <v>0</v>
      </c>
      <c r="O1309" s="283">
        <f>L1309</f>
        <v>3237114</v>
      </c>
      <c r="P1309" s="283">
        <v>0</v>
      </c>
      <c r="Q1309" s="303">
        <f>L1309/I1309</f>
        <v>803.75070452959767</v>
      </c>
      <c r="R1309" s="284">
        <v>7920</v>
      </c>
      <c r="S1309" s="285">
        <v>43830</v>
      </c>
    </row>
    <row r="1310" spans="1:30" s="1" customFormat="1" ht="31.5">
      <c r="A1310" s="277">
        <f>A1309+1</f>
        <v>2</v>
      </c>
      <c r="B1310" s="312" t="s">
        <v>741</v>
      </c>
      <c r="C1310" s="314">
        <v>1979</v>
      </c>
      <c r="D1310" s="314"/>
      <c r="E1310" s="280" t="s">
        <v>218</v>
      </c>
      <c r="F1310" s="300">
        <v>5</v>
      </c>
      <c r="G1310" s="300">
        <v>5</v>
      </c>
      <c r="H1310" s="301">
        <v>6648.4</v>
      </c>
      <c r="I1310" s="300">
        <v>3931</v>
      </c>
      <c r="J1310" s="300">
        <v>2464.7399999999998</v>
      </c>
      <c r="K1310" s="317">
        <v>182</v>
      </c>
      <c r="L1310" s="283">
        <v>3071501</v>
      </c>
      <c r="M1310" s="283">
        <f>SUM(M1311:M1322)</f>
        <v>0</v>
      </c>
      <c r="N1310" s="283">
        <v>0</v>
      </c>
      <c r="O1310" s="283">
        <f>L1310</f>
        <v>3071501</v>
      </c>
      <c r="P1310" s="283">
        <v>0</v>
      </c>
      <c r="Q1310" s="303">
        <f>L1310/I1310</f>
        <v>781.35359959297887</v>
      </c>
      <c r="R1310" s="284">
        <v>7920</v>
      </c>
      <c r="S1310" s="285">
        <v>43830</v>
      </c>
    </row>
    <row r="1311" spans="1:30" s="1" customFormat="1" ht="31.5">
      <c r="A1311" s="277">
        <v>3</v>
      </c>
      <c r="B1311" s="312" t="s">
        <v>742</v>
      </c>
      <c r="C1311" s="314">
        <v>1975</v>
      </c>
      <c r="D1311" s="300"/>
      <c r="E1311" s="280" t="s">
        <v>218</v>
      </c>
      <c r="F1311" s="300">
        <v>5</v>
      </c>
      <c r="G1311" s="300">
        <v>6</v>
      </c>
      <c r="H1311" s="301">
        <v>8035.9</v>
      </c>
      <c r="I1311" s="300">
        <v>4734.28</v>
      </c>
      <c r="J1311" s="300">
        <v>4043.08</v>
      </c>
      <c r="K1311" s="317">
        <v>214</v>
      </c>
      <c r="L1311" s="283">
        <v>3698811</v>
      </c>
      <c r="M1311" s="283">
        <f>SUM(M1312:M1324)</f>
        <v>0</v>
      </c>
      <c r="N1311" s="283">
        <v>0</v>
      </c>
      <c r="O1311" s="283">
        <f>L1311</f>
        <v>3698811</v>
      </c>
      <c r="P1311" s="283">
        <v>0</v>
      </c>
      <c r="Q1311" s="303">
        <f>L1311/I1311</f>
        <v>781.28268712454701</v>
      </c>
      <c r="R1311" s="284">
        <v>7920</v>
      </c>
      <c r="S1311" s="285">
        <v>43830</v>
      </c>
    </row>
    <row r="1312" spans="1:30" s="1" customFormat="1" ht="15.75">
      <c r="A1312" s="277"/>
      <c r="B1312" s="312"/>
      <c r="C1312" s="314"/>
      <c r="D1312" s="300"/>
      <c r="E1312" s="280"/>
      <c r="F1312" s="300"/>
      <c r="G1312" s="300"/>
      <c r="H1312" s="301"/>
      <c r="I1312" s="300"/>
      <c r="J1312" s="300"/>
      <c r="K1312" s="317"/>
      <c r="L1312" s="283"/>
      <c r="M1312" s="283"/>
      <c r="N1312" s="283"/>
      <c r="O1312" s="283"/>
      <c r="P1312" s="283"/>
      <c r="Q1312" s="303"/>
      <c r="R1312" s="284"/>
      <c r="S1312" s="285">
        <v>43830</v>
      </c>
    </row>
    <row r="1313" spans="1:19" s="1" customFormat="1" ht="15.75">
      <c r="A1313" s="277"/>
      <c r="B1313" s="312"/>
      <c r="C1313" s="314"/>
      <c r="D1313" s="300"/>
      <c r="E1313" s="280"/>
      <c r="F1313" s="300"/>
      <c r="G1313" s="300"/>
      <c r="H1313" s="301"/>
      <c r="I1313" s="300"/>
      <c r="J1313" s="300"/>
      <c r="K1313" s="317"/>
      <c r="L1313" s="283"/>
      <c r="M1313" s="283"/>
      <c r="N1313" s="283"/>
      <c r="O1313" s="283"/>
      <c r="P1313" s="283"/>
      <c r="Q1313" s="303"/>
      <c r="R1313" s="284"/>
      <c r="S1313" s="285">
        <v>43830</v>
      </c>
    </row>
    <row r="1314" spans="1:19" s="1" customFormat="1" ht="15.75">
      <c r="A1314" s="277"/>
      <c r="B1314" s="312"/>
      <c r="C1314" s="569"/>
      <c r="D1314" s="300"/>
      <c r="E1314" s="280"/>
      <c r="F1314" s="300"/>
      <c r="G1314" s="300"/>
      <c r="H1314" s="301"/>
      <c r="I1314" s="300"/>
      <c r="J1314" s="300"/>
      <c r="K1314" s="317"/>
      <c r="L1314" s="283"/>
      <c r="M1314" s="283"/>
      <c r="N1314" s="283"/>
      <c r="O1314" s="283"/>
      <c r="P1314" s="283"/>
      <c r="Q1314" s="303"/>
      <c r="R1314" s="284"/>
      <c r="S1314" s="285">
        <v>43830</v>
      </c>
    </row>
    <row r="1315" spans="1:19" s="1" customFormat="1" ht="15.75">
      <c r="A1315" s="277"/>
      <c r="B1315" s="312"/>
      <c r="C1315" s="569"/>
      <c r="D1315" s="300"/>
      <c r="E1315" s="280"/>
      <c r="F1315" s="300"/>
      <c r="G1315" s="300"/>
      <c r="H1315" s="301"/>
      <c r="I1315" s="300"/>
      <c r="J1315" s="300"/>
      <c r="K1315" s="317"/>
      <c r="L1315" s="283"/>
      <c r="M1315" s="283"/>
      <c r="N1315" s="283"/>
      <c r="O1315" s="283"/>
      <c r="P1315" s="283"/>
      <c r="Q1315" s="303"/>
      <c r="R1315" s="284"/>
      <c r="S1315" s="285">
        <v>43830</v>
      </c>
    </row>
    <row r="1316" spans="1:19" s="1" customFormat="1" ht="15.75">
      <c r="A1316" s="277"/>
      <c r="B1316" s="312"/>
      <c r="C1316" s="314"/>
      <c r="D1316" s="300"/>
      <c r="E1316" s="280"/>
      <c r="F1316" s="300"/>
      <c r="G1316" s="300"/>
      <c r="H1316" s="301"/>
      <c r="I1316" s="300"/>
      <c r="J1316" s="300"/>
      <c r="K1316" s="317"/>
      <c r="L1316" s="283"/>
      <c r="M1316" s="283"/>
      <c r="N1316" s="283"/>
      <c r="O1316" s="283"/>
      <c r="P1316" s="283"/>
      <c r="Q1316" s="303"/>
      <c r="R1316" s="284"/>
      <c r="S1316" s="285">
        <v>43830</v>
      </c>
    </row>
    <row r="1317" spans="1:19" s="1" customFormat="1" ht="15.75">
      <c r="A1317" s="277"/>
      <c r="B1317" s="312"/>
      <c r="C1317" s="314"/>
      <c r="D1317" s="300"/>
      <c r="E1317" s="280"/>
      <c r="F1317" s="300"/>
      <c r="G1317" s="300"/>
      <c r="H1317" s="301"/>
      <c r="I1317" s="300"/>
      <c r="J1317" s="300"/>
      <c r="K1317" s="317"/>
      <c r="L1317" s="283"/>
      <c r="M1317" s="283"/>
      <c r="N1317" s="283"/>
      <c r="O1317" s="283"/>
      <c r="P1317" s="283"/>
      <c r="Q1317" s="303"/>
      <c r="R1317" s="284"/>
      <c r="S1317" s="285">
        <v>43830</v>
      </c>
    </row>
    <row r="1318" spans="1:19" s="1" customFormat="1" ht="15.75">
      <c r="A1318" s="277"/>
      <c r="B1318" s="312"/>
      <c r="C1318" s="314"/>
      <c r="D1318" s="300"/>
      <c r="E1318" s="280"/>
      <c r="F1318" s="300"/>
      <c r="G1318" s="300"/>
      <c r="H1318" s="301"/>
      <c r="I1318" s="300"/>
      <c r="J1318" s="300"/>
      <c r="K1318" s="317"/>
      <c r="L1318" s="283"/>
      <c r="M1318" s="283"/>
      <c r="N1318" s="283"/>
      <c r="O1318" s="283"/>
      <c r="P1318" s="283"/>
      <c r="Q1318" s="303"/>
      <c r="R1318" s="284"/>
      <c r="S1318" s="285">
        <v>43830</v>
      </c>
    </row>
    <row r="1319" spans="1:19" s="1" customFormat="1" ht="15.75">
      <c r="A1319" s="277"/>
      <c r="B1319" s="312"/>
      <c r="C1319" s="314"/>
      <c r="D1319" s="300"/>
      <c r="E1319" s="280"/>
      <c r="F1319" s="300"/>
      <c r="G1319" s="300"/>
      <c r="H1319" s="301"/>
      <c r="I1319" s="300"/>
      <c r="J1319" s="300"/>
      <c r="K1319" s="317"/>
      <c r="L1319" s="283"/>
      <c r="M1319" s="283"/>
      <c r="N1319" s="283"/>
      <c r="O1319" s="283"/>
      <c r="P1319" s="283"/>
      <c r="Q1319" s="303"/>
      <c r="R1319" s="284"/>
      <c r="S1319" s="285">
        <v>43830</v>
      </c>
    </row>
    <row r="1320" spans="1:19" s="1" customFormat="1" ht="28.15" customHeight="1">
      <c r="A1320" s="277"/>
      <c r="B1320" s="1143" t="s">
        <v>864</v>
      </c>
      <c r="C1320" s="1143"/>
      <c r="D1320" s="1143"/>
      <c r="E1320" s="1143"/>
      <c r="F1320" s="1143"/>
      <c r="G1320" s="1143"/>
      <c r="H1320" s="301">
        <f>H1321</f>
        <v>2514.6999999999998</v>
      </c>
      <c r="I1320" s="301">
        <f t="shared" ref="I1320:P1320" si="284">I1321</f>
        <v>1996.2</v>
      </c>
      <c r="J1320" s="301">
        <f t="shared" si="284"/>
        <v>1756.5</v>
      </c>
      <c r="K1320" s="301">
        <f t="shared" si="284"/>
        <v>82</v>
      </c>
      <c r="L1320" s="627">
        <f t="shared" si="284"/>
        <v>1112894</v>
      </c>
      <c r="M1320" s="627">
        <f t="shared" si="284"/>
        <v>0</v>
      </c>
      <c r="N1320" s="627">
        <f t="shared" si="284"/>
        <v>0</v>
      </c>
      <c r="O1320" s="627">
        <f t="shared" si="284"/>
        <v>1112894</v>
      </c>
      <c r="P1320" s="627">
        <f t="shared" si="284"/>
        <v>0</v>
      </c>
      <c r="Q1320" s="303" t="s">
        <v>40</v>
      </c>
      <c r="R1320" s="300" t="s">
        <v>40</v>
      </c>
      <c r="S1320" s="285">
        <v>43830</v>
      </c>
    </row>
    <row r="1321" spans="1:19" s="1" customFormat="1" ht="31.5">
      <c r="A1321" s="277"/>
      <c r="B1321" s="312" t="s">
        <v>869</v>
      </c>
      <c r="C1321" s="314">
        <v>1966</v>
      </c>
      <c r="D1321" s="300"/>
      <c r="E1321" s="280" t="s">
        <v>218</v>
      </c>
      <c r="F1321" s="300">
        <v>4</v>
      </c>
      <c r="G1321" s="300">
        <v>3</v>
      </c>
      <c r="H1321" s="301">
        <v>2514.6999999999998</v>
      </c>
      <c r="I1321" s="300">
        <v>1996.2</v>
      </c>
      <c r="J1321" s="300">
        <v>1756.5</v>
      </c>
      <c r="K1321" s="317">
        <v>82</v>
      </c>
      <c r="L1321" s="283">
        <v>1112894</v>
      </c>
      <c r="M1321" s="283">
        <v>0</v>
      </c>
      <c r="N1321" s="283">
        <v>0</v>
      </c>
      <c r="O1321" s="283">
        <v>1112894</v>
      </c>
      <c r="P1321" s="283">
        <v>0</v>
      </c>
      <c r="Q1321" s="303">
        <f>L1321/I1321</f>
        <v>557.50626189760544</v>
      </c>
      <c r="R1321" s="284">
        <v>7920</v>
      </c>
      <c r="S1321" s="285">
        <v>43830</v>
      </c>
    </row>
    <row r="1322" spans="1:19" s="13" customFormat="1" ht="23.45" customHeight="1">
      <c r="A1322" s="277"/>
      <c r="B1322" s="1143" t="s">
        <v>72</v>
      </c>
      <c r="C1322" s="1143"/>
      <c r="D1322" s="1143"/>
      <c r="E1322" s="1143"/>
      <c r="F1322" s="1143"/>
      <c r="G1322" s="1143"/>
      <c r="H1322" s="301">
        <f>H1323</f>
        <v>2066.4</v>
      </c>
      <c r="I1322" s="300">
        <f t="shared" ref="I1322:R1322" si="285">I1323</f>
        <v>1872.3</v>
      </c>
      <c r="J1322" s="300">
        <f t="shared" si="285"/>
        <v>1662.1</v>
      </c>
      <c r="K1322" s="302">
        <f t="shared" si="285"/>
        <v>80</v>
      </c>
      <c r="L1322" s="283">
        <f t="shared" si="285"/>
        <v>4547991</v>
      </c>
      <c r="M1322" s="283">
        <f t="shared" si="285"/>
        <v>0</v>
      </c>
      <c r="N1322" s="283">
        <f t="shared" si="285"/>
        <v>0</v>
      </c>
      <c r="O1322" s="283">
        <f t="shared" si="285"/>
        <v>4547991</v>
      </c>
      <c r="P1322" s="283">
        <f t="shared" si="285"/>
        <v>0</v>
      </c>
      <c r="Q1322" s="303" t="str">
        <f t="shared" si="285"/>
        <v>Х</v>
      </c>
      <c r="R1322" s="300" t="str">
        <f t="shared" si="285"/>
        <v>Х</v>
      </c>
      <c r="S1322" s="285">
        <v>43830</v>
      </c>
    </row>
    <row r="1323" spans="1:19" s="13" customFormat="1" ht="30.6" customHeight="1">
      <c r="A1323" s="277"/>
      <c r="B1323" s="1143" t="s">
        <v>95</v>
      </c>
      <c r="C1323" s="1143"/>
      <c r="D1323" s="1143"/>
      <c r="E1323" s="1143"/>
      <c r="F1323" s="1143"/>
      <c r="G1323" s="1143"/>
      <c r="H1323" s="301">
        <f>SUM(H1324:H1327)</f>
        <v>2066.4</v>
      </c>
      <c r="I1323" s="301">
        <f t="shared" ref="I1323:P1323" si="286">SUM(I1324:I1327)</f>
        <v>1872.3</v>
      </c>
      <c r="J1323" s="301">
        <f t="shared" si="286"/>
        <v>1662.1</v>
      </c>
      <c r="K1323" s="301">
        <f t="shared" si="286"/>
        <v>80</v>
      </c>
      <c r="L1323" s="602">
        <f t="shared" si="286"/>
        <v>4547991</v>
      </c>
      <c r="M1323" s="602">
        <f t="shared" si="286"/>
        <v>0</v>
      </c>
      <c r="N1323" s="602">
        <f t="shared" si="286"/>
        <v>0</v>
      </c>
      <c r="O1323" s="602">
        <f t="shared" si="286"/>
        <v>4547991</v>
      </c>
      <c r="P1323" s="602">
        <f t="shared" si="286"/>
        <v>0</v>
      </c>
      <c r="Q1323" s="303" t="s">
        <v>40</v>
      </c>
      <c r="R1323" s="314" t="s">
        <v>40</v>
      </c>
      <c r="S1323" s="285">
        <v>43830</v>
      </c>
    </row>
    <row r="1324" spans="1:19" s="1" customFormat="1" ht="31.5">
      <c r="A1324" s="277" t="e">
        <f>#REF!+1</f>
        <v>#REF!</v>
      </c>
      <c r="B1324" s="288" t="s">
        <v>625</v>
      </c>
      <c r="C1324" s="279">
        <v>1978</v>
      </c>
      <c r="D1324" s="279"/>
      <c r="E1324" s="280" t="s">
        <v>218</v>
      </c>
      <c r="F1324" s="279">
        <v>2</v>
      </c>
      <c r="G1324" s="279">
        <v>2</v>
      </c>
      <c r="H1324" s="281">
        <v>568.9</v>
      </c>
      <c r="I1324" s="279">
        <v>523</v>
      </c>
      <c r="J1324" s="305">
        <v>490.1</v>
      </c>
      <c r="K1324" s="282">
        <v>24</v>
      </c>
      <c r="L1324" s="283">
        <v>2106656</v>
      </c>
      <c r="M1324" s="283">
        <v>0</v>
      </c>
      <c r="N1324" s="283">
        <v>0</v>
      </c>
      <c r="O1324" s="283">
        <f>L1324</f>
        <v>2106656</v>
      </c>
      <c r="P1324" s="283">
        <v>0</v>
      </c>
      <c r="Q1324" s="284">
        <f>L1324/I1324</f>
        <v>4028.0229445506693</v>
      </c>
      <c r="R1324" s="543">
        <v>7920</v>
      </c>
      <c r="S1324" s="285">
        <v>43830</v>
      </c>
    </row>
    <row r="1325" spans="1:19" s="1" customFormat="1" ht="21.6" customHeight="1">
      <c r="A1325" s="277" t="e">
        <f>A1324+1</f>
        <v>#REF!</v>
      </c>
      <c r="B1325" s="288" t="s">
        <v>626</v>
      </c>
      <c r="C1325" s="279">
        <v>1975</v>
      </c>
      <c r="D1325" s="279"/>
      <c r="E1325" s="280" t="s">
        <v>220</v>
      </c>
      <c r="F1325" s="279">
        <v>2</v>
      </c>
      <c r="G1325" s="279">
        <v>2</v>
      </c>
      <c r="H1325" s="281">
        <v>572.6</v>
      </c>
      <c r="I1325" s="279">
        <v>520.20000000000005</v>
      </c>
      <c r="J1325" s="305">
        <v>342.9</v>
      </c>
      <c r="K1325" s="282">
        <v>22</v>
      </c>
      <c r="L1325" s="283">
        <v>649678</v>
      </c>
      <c r="M1325" s="283">
        <v>0</v>
      </c>
      <c r="N1325" s="283">
        <v>0</v>
      </c>
      <c r="O1325" s="283">
        <f>L1325</f>
        <v>649678</v>
      </c>
      <c r="P1325" s="283">
        <v>0</v>
      </c>
      <c r="Q1325" s="284">
        <f>L1325/I1325</f>
        <v>1248.9004229142636</v>
      </c>
      <c r="R1325" s="543">
        <v>7920</v>
      </c>
      <c r="S1325" s="285">
        <v>43830</v>
      </c>
    </row>
    <row r="1326" spans="1:19" s="1" customFormat="1" ht="31.5">
      <c r="A1326" s="277" t="e">
        <f>A1325+1</f>
        <v>#REF!</v>
      </c>
      <c r="B1326" s="288" t="s">
        <v>443</v>
      </c>
      <c r="C1326" s="279">
        <v>1967</v>
      </c>
      <c r="D1326" s="279"/>
      <c r="E1326" s="280" t="s">
        <v>218</v>
      </c>
      <c r="F1326" s="279">
        <v>2</v>
      </c>
      <c r="G1326" s="279">
        <v>2</v>
      </c>
      <c r="H1326" s="281">
        <v>529.5</v>
      </c>
      <c r="I1326" s="279">
        <v>471.3</v>
      </c>
      <c r="J1326" s="279">
        <v>471.3</v>
      </c>
      <c r="K1326" s="282">
        <v>21</v>
      </c>
      <c r="L1326" s="283">
        <v>1157557</v>
      </c>
      <c r="M1326" s="283">
        <v>0</v>
      </c>
      <c r="N1326" s="283">
        <v>0</v>
      </c>
      <c r="O1326" s="283">
        <f>L1326</f>
        <v>1157557</v>
      </c>
      <c r="P1326" s="283">
        <v>0</v>
      </c>
      <c r="Q1326" s="284">
        <f>L1326/I1326</f>
        <v>2456.0937831529809</v>
      </c>
      <c r="R1326" s="284">
        <v>7920</v>
      </c>
      <c r="S1326" s="285">
        <v>43830</v>
      </c>
    </row>
    <row r="1327" spans="1:19" s="1" customFormat="1" ht="31.5">
      <c r="A1327" s="277" t="e">
        <f>A1326+1</f>
        <v>#REF!</v>
      </c>
      <c r="B1327" s="288" t="s">
        <v>391</v>
      </c>
      <c r="C1327" s="279">
        <v>1969</v>
      </c>
      <c r="D1327" s="279"/>
      <c r="E1327" s="280" t="s">
        <v>218</v>
      </c>
      <c r="F1327" s="279">
        <v>2</v>
      </c>
      <c r="G1327" s="279">
        <v>2</v>
      </c>
      <c r="H1327" s="281">
        <v>395.4</v>
      </c>
      <c r="I1327" s="279">
        <v>357.8</v>
      </c>
      <c r="J1327" s="279">
        <v>357.8</v>
      </c>
      <c r="K1327" s="282">
        <v>13</v>
      </c>
      <c r="L1327" s="283">
        <v>634100</v>
      </c>
      <c r="M1327" s="283">
        <v>0</v>
      </c>
      <c r="N1327" s="283">
        <v>0</v>
      </c>
      <c r="O1327" s="283">
        <f>L1327</f>
        <v>634100</v>
      </c>
      <c r="P1327" s="283">
        <v>0</v>
      </c>
      <c r="Q1327" s="284">
        <f>L1327/I1327</f>
        <v>1772.219116825042</v>
      </c>
      <c r="R1327" s="284">
        <v>7920</v>
      </c>
      <c r="S1327" s="285">
        <v>43830</v>
      </c>
    </row>
    <row r="1328" spans="1:19" s="1" customFormat="1" ht="15.75">
      <c r="A1328" s="277"/>
      <c r="B1328" s="288"/>
      <c r="C1328" s="279"/>
      <c r="D1328" s="279"/>
      <c r="E1328" s="280"/>
      <c r="F1328" s="279"/>
      <c r="G1328" s="279"/>
      <c r="H1328" s="281"/>
      <c r="I1328" s="279"/>
      <c r="J1328" s="279"/>
      <c r="K1328" s="282"/>
      <c r="L1328" s="283"/>
      <c r="M1328" s="283"/>
      <c r="N1328" s="283"/>
      <c r="O1328" s="283"/>
      <c r="P1328" s="283"/>
      <c r="Q1328" s="284"/>
      <c r="R1328" s="284"/>
      <c r="S1328" s="285"/>
    </row>
    <row r="1329" spans="1:34" s="1" customFormat="1" ht="15.75">
      <c r="A1329" s="277"/>
      <c r="B1329" s="288"/>
      <c r="C1329" s="279"/>
      <c r="D1329" s="279"/>
      <c r="E1329" s="280"/>
      <c r="F1329" s="279"/>
      <c r="G1329" s="279"/>
      <c r="H1329" s="281"/>
      <c r="I1329" s="279"/>
      <c r="J1329" s="279"/>
      <c r="K1329" s="282"/>
      <c r="L1329" s="283"/>
      <c r="M1329" s="283"/>
      <c r="N1329" s="283"/>
      <c r="O1329" s="283"/>
      <c r="P1329" s="283"/>
      <c r="Q1329" s="284"/>
      <c r="R1329" s="284"/>
      <c r="S1329" s="285"/>
    </row>
    <row r="1330" spans="1:34" s="1" customFormat="1" ht="15.75">
      <c r="A1330" s="277"/>
      <c r="B1330" s="288"/>
      <c r="C1330" s="279"/>
      <c r="D1330" s="279"/>
      <c r="E1330" s="280"/>
      <c r="F1330" s="279"/>
      <c r="G1330" s="279"/>
      <c r="H1330" s="281"/>
      <c r="I1330" s="279"/>
      <c r="J1330" s="305"/>
      <c r="K1330" s="282"/>
      <c r="L1330" s="283"/>
      <c r="M1330" s="283"/>
      <c r="N1330" s="283"/>
      <c r="O1330" s="283"/>
      <c r="P1330" s="283"/>
      <c r="Q1330" s="284"/>
      <c r="R1330" s="284"/>
      <c r="S1330" s="285"/>
    </row>
    <row r="1331" spans="1:34" s="1" customFormat="1" ht="15.75" customHeight="1">
      <c r="A1331" s="87"/>
      <c r="B1331" s="1105" t="s">
        <v>41</v>
      </c>
      <c r="C1331" s="1105"/>
      <c r="D1331" s="1105"/>
      <c r="E1331" s="1105"/>
      <c r="F1331" s="1105"/>
      <c r="G1331" s="1105"/>
      <c r="H1331" s="90">
        <f>H1332</f>
        <v>11641.5</v>
      </c>
      <c r="I1331" s="90">
        <f t="shared" ref="I1331:P1331" si="287">I1332</f>
        <v>9960.2199999999993</v>
      </c>
      <c r="J1331" s="90">
        <f t="shared" si="287"/>
        <v>9539.32</v>
      </c>
      <c r="K1331" s="91">
        <f t="shared" si="287"/>
        <v>480</v>
      </c>
      <c r="L1331" s="92">
        <f t="shared" si="287"/>
        <v>12671361</v>
      </c>
      <c r="M1331" s="92">
        <f t="shared" si="287"/>
        <v>0</v>
      </c>
      <c r="N1331" s="92">
        <f t="shared" si="287"/>
        <v>0</v>
      </c>
      <c r="O1331" s="92">
        <f t="shared" si="287"/>
        <v>12671361</v>
      </c>
      <c r="P1331" s="92">
        <f t="shared" si="287"/>
        <v>0</v>
      </c>
      <c r="Q1331" s="93" t="s">
        <v>40</v>
      </c>
      <c r="R1331" s="105" t="s">
        <v>40</v>
      </c>
      <c r="S1331" s="285">
        <v>43830</v>
      </c>
    </row>
    <row r="1332" spans="1:34" s="1" customFormat="1" ht="24.6" customHeight="1">
      <c r="A1332" s="87"/>
      <c r="B1332" s="1106" t="s">
        <v>96</v>
      </c>
      <c r="C1332" s="1106"/>
      <c r="D1332" s="1105"/>
      <c r="E1332" s="1105"/>
      <c r="F1332" s="1106"/>
      <c r="G1332" s="1106"/>
      <c r="H1332" s="551">
        <f>SUM(H1333:H1336)</f>
        <v>11641.5</v>
      </c>
      <c r="I1332" s="551">
        <f t="shared" ref="I1332:P1332" si="288">SUM(I1333:I1336)</f>
        <v>9960.2199999999993</v>
      </c>
      <c r="J1332" s="551">
        <f t="shared" si="288"/>
        <v>9539.32</v>
      </c>
      <c r="K1332" s="551">
        <f t="shared" si="288"/>
        <v>480</v>
      </c>
      <c r="L1332" s="558">
        <f t="shared" si="288"/>
        <v>12671361</v>
      </c>
      <c r="M1332" s="558">
        <f t="shared" si="288"/>
        <v>0</v>
      </c>
      <c r="N1332" s="558">
        <f t="shared" si="288"/>
        <v>0</v>
      </c>
      <c r="O1332" s="558">
        <f t="shared" si="288"/>
        <v>12671361</v>
      </c>
      <c r="P1332" s="558">
        <f t="shared" si="288"/>
        <v>0</v>
      </c>
      <c r="Q1332" s="93" t="s">
        <v>40</v>
      </c>
      <c r="R1332" s="105" t="s">
        <v>40</v>
      </c>
      <c r="S1332" s="285">
        <v>43830</v>
      </c>
    </row>
    <row r="1333" spans="1:34" s="1" customFormat="1" ht="31.5">
      <c r="A1333" s="554">
        <f>A1330+1</f>
        <v>1</v>
      </c>
      <c r="B1333" s="697" t="s">
        <v>831</v>
      </c>
      <c r="C1333" s="698">
        <v>1976</v>
      </c>
      <c r="D1333" s="679"/>
      <c r="E1333" s="534" t="s">
        <v>834</v>
      </c>
      <c r="F1333" s="698">
        <v>5</v>
      </c>
      <c r="G1333" s="698">
        <v>6</v>
      </c>
      <c r="H1333" s="700">
        <v>4451</v>
      </c>
      <c r="I1333" s="700">
        <v>4064.82</v>
      </c>
      <c r="J1333" s="700">
        <f>I1333-53.9</f>
        <v>4010.92</v>
      </c>
      <c r="K1333" s="698">
        <v>153</v>
      </c>
      <c r="L1333" s="701">
        <v>4056611</v>
      </c>
      <c r="M1333" s="578">
        <v>0</v>
      </c>
      <c r="N1333" s="92">
        <v>0</v>
      </c>
      <c r="O1333" s="92">
        <f>L1333</f>
        <v>4056611</v>
      </c>
      <c r="P1333" s="92">
        <v>0</v>
      </c>
      <c r="Q1333" s="93">
        <f>L1333/I1333</f>
        <v>997.98047638025787</v>
      </c>
      <c r="R1333" s="93">
        <v>7920</v>
      </c>
      <c r="S1333" s="285">
        <v>43830</v>
      </c>
    </row>
    <row r="1334" spans="1:34" s="1" customFormat="1" ht="31.5">
      <c r="A1334" s="554">
        <f>A1333+1</f>
        <v>2</v>
      </c>
      <c r="B1334" s="697" t="s">
        <v>832</v>
      </c>
      <c r="C1334" s="698">
        <v>1989</v>
      </c>
      <c r="D1334" s="679"/>
      <c r="E1334" s="534" t="s">
        <v>834</v>
      </c>
      <c r="F1334" s="698">
        <v>5</v>
      </c>
      <c r="G1334" s="698">
        <v>4</v>
      </c>
      <c r="H1334" s="700">
        <v>2784</v>
      </c>
      <c r="I1334" s="700">
        <v>1565.5</v>
      </c>
      <c r="J1334" s="700">
        <f>I1334-245.6</f>
        <v>1319.9</v>
      </c>
      <c r="K1334" s="698">
        <v>141</v>
      </c>
      <c r="L1334" s="701">
        <v>2157151</v>
      </c>
      <c r="M1334" s="578">
        <v>0</v>
      </c>
      <c r="N1334" s="92">
        <v>0</v>
      </c>
      <c r="O1334" s="92">
        <f>L1334</f>
        <v>2157151</v>
      </c>
      <c r="P1334" s="92">
        <v>0</v>
      </c>
      <c r="Q1334" s="93">
        <f>L1334/I1334</f>
        <v>1377.9310124560843</v>
      </c>
      <c r="R1334" s="93">
        <v>7920</v>
      </c>
      <c r="S1334" s="285">
        <v>43830</v>
      </c>
    </row>
    <row r="1335" spans="1:34" s="1" customFormat="1" ht="31.5">
      <c r="A1335" s="554">
        <f>A1334+1</f>
        <v>3</v>
      </c>
      <c r="B1335" s="697" t="s">
        <v>833</v>
      </c>
      <c r="C1335" s="698">
        <v>1988</v>
      </c>
      <c r="D1335" s="679"/>
      <c r="E1335" s="534" t="s">
        <v>218</v>
      </c>
      <c r="F1335" s="698">
        <v>5</v>
      </c>
      <c r="G1335" s="698">
        <v>1</v>
      </c>
      <c r="H1335" s="700">
        <v>2379.9</v>
      </c>
      <c r="I1335" s="700">
        <v>2357.3000000000002</v>
      </c>
      <c r="J1335" s="700">
        <f>I1335-35</f>
        <v>2322.3000000000002</v>
      </c>
      <c r="K1335" s="698">
        <v>101</v>
      </c>
      <c r="L1335" s="701">
        <v>1992941</v>
      </c>
      <c r="M1335" s="578">
        <v>0</v>
      </c>
      <c r="N1335" s="92">
        <v>0</v>
      </c>
      <c r="O1335" s="92">
        <f>L1335</f>
        <v>1992941</v>
      </c>
      <c r="P1335" s="92">
        <v>0</v>
      </c>
      <c r="Q1335" s="93">
        <f>L1335/I1335</f>
        <v>845.43375896152372</v>
      </c>
      <c r="R1335" s="93">
        <v>7920</v>
      </c>
      <c r="S1335" s="285">
        <v>43830</v>
      </c>
    </row>
    <row r="1336" spans="1:34" s="1" customFormat="1" ht="31.5">
      <c r="A1336" s="87"/>
      <c r="B1336" s="695" t="s">
        <v>948</v>
      </c>
      <c r="C1336" s="696">
        <v>1963</v>
      </c>
      <c r="D1336" s="88"/>
      <c r="E1336" s="89" t="s">
        <v>218</v>
      </c>
      <c r="F1336" s="696">
        <v>4</v>
      </c>
      <c r="G1336" s="696">
        <v>3</v>
      </c>
      <c r="H1336" s="782">
        <v>2026.6</v>
      </c>
      <c r="I1336" s="783">
        <v>1972.6</v>
      </c>
      <c r="J1336" s="784">
        <v>1886.2</v>
      </c>
      <c r="K1336" s="699">
        <v>85</v>
      </c>
      <c r="L1336" s="688">
        <v>4464658</v>
      </c>
      <c r="M1336" s="92">
        <v>0</v>
      </c>
      <c r="N1336" s="92">
        <v>0</v>
      </c>
      <c r="O1336" s="92">
        <f>L1336</f>
        <v>4464658</v>
      </c>
      <c r="P1336" s="92">
        <v>0</v>
      </c>
      <c r="Q1336" s="93">
        <f>L1336/I1336</f>
        <v>2263.3367129676571</v>
      </c>
      <c r="R1336" s="93">
        <v>7920</v>
      </c>
      <c r="S1336" s="285">
        <v>43830</v>
      </c>
    </row>
    <row r="1337" spans="1:34" s="1" customFormat="1" ht="15.75">
      <c r="A1337" s="87"/>
      <c r="B1337" s="225"/>
      <c r="C1337" s="88"/>
      <c r="D1337" s="88"/>
      <c r="E1337" s="89"/>
      <c r="F1337" s="88"/>
      <c r="G1337" s="88"/>
      <c r="H1337" s="90"/>
      <c r="I1337" s="88"/>
      <c r="J1337" s="101"/>
      <c r="K1337" s="91"/>
      <c r="L1337" s="92"/>
      <c r="M1337" s="92"/>
      <c r="N1337" s="92"/>
      <c r="O1337" s="92"/>
      <c r="P1337" s="92"/>
      <c r="Q1337" s="93"/>
      <c r="R1337" s="93"/>
      <c r="S1337" s="285"/>
    </row>
    <row r="1338" spans="1:34" s="1" customFormat="1" ht="15.75">
      <c r="A1338" s="87"/>
      <c r="B1338" s="1066" t="s">
        <v>68</v>
      </c>
      <c r="C1338" s="1066"/>
      <c r="D1338" s="1066"/>
      <c r="E1338" s="1066"/>
      <c r="F1338" s="1066"/>
      <c r="G1338" s="1066"/>
      <c r="H1338" s="107">
        <f>H1339</f>
        <v>0</v>
      </c>
      <c r="I1338" s="86">
        <f t="shared" ref="I1338:P1339" si="289">I1339</f>
        <v>0</v>
      </c>
      <c r="J1338" s="86">
        <f t="shared" si="289"/>
        <v>0</v>
      </c>
      <c r="K1338" s="98">
        <f t="shared" si="289"/>
        <v>0</v>
      </c>
      <c r="L1338" s="92">
        <f t="shared" si="289"/>
        <v>0</v>
      </c>
      <c r="M1338" s="92">
        <f t="shared" si="289"/>
        <v>0</v>
      </c>
      <c r="N1338" s="92">
        <f t="shared" si="289"/>
        <v>0</v>
      </c>
      <c r="O1338" s="92">
        <f t="shared" si="289"/>
        <v>0</v>
      </c>
      <c r="P1338" s="92">
        <f t="shared" si="289"/>
        <v>0</v>
      </c>
      <c r="Q1338" s="86" t="s">
        <v>40</v>
      </c>
      <c r="R1338" s="86" t="s">
        <v>40</v>
      </c>
      <c r="S1338" s="285">
        <v>43830</v>
      </c>
    </row>
    <row r="1339" spans="1:34" s="1" customFormat="1" ht="15.75" customHeight="1">
      <c r="A1339" s="87"/>
      <c r="B1339" s="1068" t="s">
        <v>97</v>
      </c>
      <c r="C1339" s="1068"/>
      <c r="D1339" s="1068"/>
      <c r="E1339" s="1068"/>
      <c r="F1339" s="1068"/>
      <c r="G1339" s="1068"/>
      <c r="H1339" s="107">
        <f>H1340</f>
        <v>0</v>
      </c>
      <c r="I1339" s="86">
        <f t="shared" si="289"/>
        <v>0</v>
      </c>
      <c r="J1339" s="86">
        <f t="shared" si="289"/>
        <v>0</v>
      </c>
      <c r="K1339" s="98">
        <f t="shared" si="289"/>
        <v>0</v>
      </c>
      <c r="L1339" s="92">
        <f t="shared" si="289"/>
        <v>0</v>
      </c>
      <c r="M1339" s="92">
        <f t="shared" si="289"/>
        <v>0</v>
      </c>
      <c r="N1339" s="92">
        <f t="shared" si="289"/>
        <v>0</v>
      </c>
      <c r="O1339" s="92">
        <f t="shared" si="289"/>
        <v>0</v>
      </c>
      <c r="P1339" s="92">
        <f t="shared" si="289"/>
        <v>0</v>
      </c>
      <c r="Q1339" s="86" t="s">
        <v>40</v>
      </c>
      <c r="R1339" s="86" t="s">
        <v>40</v>
      </c>
      <c r="S1339" s="285">
        <v>43830</v>
      </c>
    </row>
    <row r="1340" spans="1:34" s="1" customFormat="1" ht="15.75">
      <c r="A1340" s="277"/>
      <c r="B1340" s="312"/>
      <c r="C1340" s="300"/>
      <c r="D1340" s="300"/>
      <c r="E1340" s="280"/>
      <c r="F1340" s="300"/>
      <c r="G1340" s="300"/>
      <c r="H1340" s="301"/>
      <c r="I1340" s="303"/>
      <c r="J1340" s="303"/>
      <c r="K1340" s="302"/>
      <c r="L1340" s="283"/>
      <c r="M1340" s="283"/>
      <c r="N1340" s="283"/>
      <c r="O1340" s="283"/>
      <c r="P1340" s="283"/>
      <c r="Q1340" s="303"/>
      <c r="R1340" s="284"/>
      <c r="S1340" s="285"/>
    </row>
    <row r="1341" spans="1:34" s="13" customFormat="1" ht="15.75">
      <c r="A1341" s="87"/>
      <c r="B1341" s="1066" t="s">
        <v>43</v>
      </c>
      <c r="C1341" s="1066"/>
      <c r="D1341" s="1066"/>
      <c r="E1341" s="1066"/>
      <c r="F1341" s="1066"/>
      <c r="G1341" s="1066"/>
      <c r="H1341" s="86">
        <f t="shared" ref="H1341:P1341" si="290">H1342+H1357</f>
        <v>23164.559999999998</v>
      </c>
      <c r="I1341" s="86">
        <f t="shared" si="290"/>
        <v>21134.959999999999</v>
      </c>
      <c r="J1341" s="86">
        <f t="shared" si="290"/>
        <v>19251.09</v>
      </c>
      <c r="K1341" s="98">
        <f t="shared" si="290"/>
        <v>853</v>
      </c>
      <c r="L1341" s="92">
        <f t="shared" si="290"/>
        <v>23032470</v>
      </c>
      <c r="M1341" s="92">
        <f t="shared" si="290"/>
        <v>0</v>
      </c>
      <c r="N1341" s="92">
        <f t="shared" si="290"/>
        <v>1400000</v>
      </c>
      <c r="O1341" s="92">
        <f t="shared" si="290"/>
        <v>21632470</v>
      </c>
      <c r="P1341" s="92">
        <f t="shared" si="290"/>
        <v>0</v>
      </c>
      <c r="Q1341" s="86" t="s">
        <v>40</v>
      </c>
      <c r="R1341" s="86" t="s">
        <v>40</v>
      </c>
      <c r="S1341" s="285">
        <v>43830</v>
      </c>
    </row>
    <row r="1342" spans="1:34" s="1" customFormat="1" ht="15.75" customHeight="1">
      <c r="A1342" s="87"/>
      <c r="B1342" s="1068" t="s">
        <v>125</v>
      </c>
      <c r="C1342" s="1068"/>
      <c r="D1342" s="1068"/>
      <c r="E1342" s="1068"/>
      <c r="F1342" s="1068"/>
      <c r="G1342" s="1068"/>
      <c r="H1342" s="107">
        <f t="shared" ref="H1342:M1342" si="291">SUM(H1343:H1356)</f>
        <v>20106.559999999998</v>
      </c>
      <c r="I1342" s="86">
        <f t="shared" si="291"/>
        <v>18426.259999999998</v>
      </c>
      <c r="J1342" s="86">
        <f t="shared" si="291"/>
        <v>16665.189999999999</v>
      </c>
      <c r="K1342" s="98">
        <f t="shared" si="291"/>
        <v>735</v>
      </c>
      <c r="L1342" s="92">
        <f t="shared" si="291"/>
        <v>20696312</v>
      </c>
      <c r="M1342" s="92">
        <f t="shared" si="291"/>
        <v>0</v>
      </c>
      <c r="N1342" s="92">
        <f>SUM(N1343:N1356)</f>
        <v>0</v>
      </c>
      <c r="O1342" s="92">
        <f>SUM(O1343:O1356)</f>
        <v>20696312</v>
      </c>
      <c r="P1342" s="92">
        <f>SUM(P1343:P1359)</f>
        <v>0</v>
      </c>
      <c r="Q1342" s="86" t="s">
        <v>40</v>
      </c>
      <c r="R1342" s="86" t="s">
        <v>40</v>
      </c>
      <c r="S1342" s="285">
        <v>43830</v>
      </c>
    </row>
    <row r="1343" spans="1:34" s="32" customFormat="1" ht="15.75">
      <c r="A1343" s="87">
        <f>A1340+1</f>
        <v>1</v>
      </c>
      <c r="B1343" s="109" t="s">
        <v>405</v>
      </c>
      <c r="C1343" s="110">
        <v>1979</v>
      </c>
      <c r="D1343" s="111"/>
      <c r="E1343" s="89" t="s">
        <v>219</v>
      </c>
      <c r="F1343" s="110">
        <v>5</v>
      </c>
      <c r="G1343" s="110">
        <v>6</v>
      </c>
      <c r="H1343" s="112">
        <v>4364.1000000000004</v>
      </c>
      <c r="I1343" s="110">
        <v>3933.3</v>
      </c>
      <c r="J1343" s="110">
        <v>3786.33</v>
      </c>
      <c r="K1343" s="102">
        <v>163</v>
      </c>
      <c r="L1343" s="92">
        <v>2301804</v>
      </c>
      <c r="M1343" s="92">
        <v>0</v>
      </c>
      <c r="N1343" s="92">
        <v>0</v>
      </c>
      <c r="O1343" s="92">
        <f t="shared" ref="O1343:O1356" si="292">L1343</f>
        <v>2301804</v>
      </c>
      <c r="P1343" s="92">
        <v>0</v>
      </c>
      <c r="Q1343" s="113">
        <f>L1343/I1343</f>
        <v>585.2093661810693</v>
      </c>
      <c r="R1343" s="93">
        <v>6774</v>
      </c>
      <c r="S1343" s="285">
        <v>43830</v>
      </c>
      <c r="T1343" s="33"/>
      <c r="U1343" s="33"/>
      <c r="V1343" s="33"/>
      <c r="W1343" s="33"/>
      <c r="X1343" s="33"/>
      <c r="Y1343" s="33"/>
      <c r="Z1343" s="33"/>
      <c r="AA1343" s="33"/>
      <c r="AB1343" s="33"/>
      <c r="AC1343" s="33"/>
      <c r="AD1343" s="33"/>
      <c r="AE1343" s="33"/>
      <c r="AF1343" s="33"/>
      <c r="AG1343" s="33"/>
      <c r="AH1343" s="33"/>
    </row>
    <row r="1344" spans="1:34" s="33" customFormat="1" ht="31.5">
      <c r="A1344" s="87">
        <f t="shared" ref="A1344:A1356" si="293">A1343+1</f>
        <v>2</v>
      </c>
      <c r="B1344" s="99" t="s">
        <v>393</v>
      </c>
      <c r="C1344" s="89">
        <v>1976</v>
      </c>
      <c r="D1344" s="89"/>
      <c r="E1344" s="89" t="s">
        <v>218</v>
      </c>
      <c r="F1344" s="114">
        <v>5</v>
      </c>
      <c r="G1344" s="89">
        <v>6</v>
      </c>
      <c r="H1344" s="115">
        <v>4869.8</v>
      </c>
      <c r="I1344" s="113">
        <v>4494.8</v>
      </c>
      <c r="J1344" s="113">
        <v>3910.1</v>
      </c>
      <c r="K1344" s="116">
        <v>161</v>
      </c>
      <c r="L1344" s="92">
        <v>1743478</v>
      </c>
      <c r="M1344" s="92">
        <v>0</v>
      </c>
      <c r="N1344" s="92">
        <v>0</v>
      </c>
      <c r="O1344" s="92">
        <f t="shared" si="292"/>
        <v>1743478</v>
      </c>
      <c r="P1344" s="92">
        <v>0</v>
      </c>
      <c r="Q1344" s="117">
        <f>L1344/I1344</f>
        <v>387.88778143632641</v>
      </c>
      <c r="R1344" s="82">
        <v>6774</v>
      </c>
      <c r="S1344" s="285">
        <v>43830</v>
      </c>
      <c r="T1344" s="32"/>
      <c r="U1344" s="32"/>
      <c r="V1344" s="32"/>
      <c r="W1344" s="32"/>
      <c r="X1344" s="32"/>
      <c r="Y1344" s="32"/>
      <c r="Z1344" s="32"/>
      <c r="AA1344" s="32"/>
      <c r="AB1344" s="32"/>
      <c r="AC1344" s="32"/>
      <c r="AD1344" s="32"/>
      <c r="AE1344" s="32"/>
      <c r="AF1344" s="32"/>
      <c r="AG1344" s="32"/>
      <c r="AH1344" s="32"/>
    </row>
    <row r="1345" spans="1:34" s="33" customFormat="1" ht="31.5">
      <c r="A1345" s="87">
        <f t="shared" si="293"/>
        <v>3</v>
      </c>
      <c r="B1345" s="118" t="s">
        <v>406</v>
      </c>
      <c r="C1345" s="111">
        <v>2005</v>
      </c>
      <c r="D1345" s="111"/>
      <c r="E1345" s="89" t="s">
        <v>218</v>
      </c>
      <c r="F1345" s="110">
        <v>2</v>
      </c>
      <c r="G1345" s="110">
        <v>2</v>
      </c>
      <c r="H1345" s="112">
        <v>2170.6999999999998</v>
      </c>
      <c r="I1345" s="104">
        <v>1890.5</v>
      </c>
      <c r="J1345" s="104">
        <v>1756.6</v>
      </c>
      <c r="K1345" s="102">
        <v>72</v>
      </c>
      <c r="L1345" s="92">
        <v>2485001</v>
      </c>
      <c r="M1345" s="92">
        <v>0</v>
      </c>
      <c r="N1345" s="92">
        <v>0</v>
      </c>
      <c r="O1345" s="92">
        <f t="shared" si="292"/>
        <v>2485001</v>
      </c>
      <c r="P1345" s="92">
        <v>0</v>
      </c>
      <c r="Q1345" s="105">
        <f>L1345/I1345</f>
        <v>1314.4676011637132</v>
      </c>
      <c r="R1345" s="93">
        <v>6774</v>
      </c>
      <c r="S1345" s="285">
        <v>43830</v>
      </c>
    </row>
    <row r="1346" spans="1:34" s="33" customFormat="1" ht="31.5">
      <c r="A1346" s="87">
        <f t="shared" si="293"/>
        <v>4</v>
      </c>
      <c r="B1346" s="109" t="s">
        <v>402</v>
      </c>
      <c r="C1346" s="110">
        <v>1961</v>
      </c>
      <c r="D1346" s="111"/>
      <c r="E1346" s="89" t="s">
        <v>218</v>
      </c>
      <c r="F1346" s="110">
        <v>2</v>
      </c>
      <c r="G1346" s="111">
        <v>3</v>
      </c>
      <c r="H1346" s="119">
        <v>662.8</v>
      </c>
      <c r="I1346" s="104">
        <v>612.6</v>
      </c>
      <c r="J1346" s="104">
        <v>517</v>
      </c>
      <c r="K1346" s="120">
        <v>32</v>
      </c>
      <c r="L1346" s="92">
        <v>1237591</v>
      </c>
      <c r="M1346" s="92">
        <v>0</v>
      </c>
      <c r="N1346" s="92">
        <v>0</v>
      </c>
      <c r="O1346" s="92">
        <f t="shared" si="292"/>
        <v>1237591</v>
      </c>
      <c r="P1346" s="92">
        <v>0</v>
      </c>
      <c r="Q1346" s="121">
        <f>L1346/I1346</f>
        <v>2020.2269017303297</v>
      </c>
      <c r="R1346" s="93">
        <v>6774</v>
      </c>
      <c r="S1346" s="285">
        <v>43830</v>
      </c>
    </row>
    <row r="1347" spans="1:34" s="33" customFormat="1" ht="31.5">
      <c r="A1347" s="87">
        <f t="shared" si="293"/>
        <v>5</v>
      </c>
      <c r="B1347" s="118" t="s">
        <v>397</v>
      </c>
      <c r="C1347" s="110">
        <v>1953</v>
      </c>
      <c r="D1347" s="111"/>
      <c r="E1347" s="89" t="s">
        <v>218</v>
      </c>
      <c r="F1347" s="110">
        <v>2</v>
      </c>
      <c r="G1347" s="111">
        <v>2</v>
      </c>
      <c r="H1347" s="122">
        <v>470.96</v>
      </c>
      <c r="I1347" s="123">
        <v>417.36</v>
      </c>
      <c r="J1347" s="123">
        <v>356.76</v>
      </c>
      <c r="K1347" s="120">
        <v>10</v>
      </c>
      <c r="L1347" s="92">
        <v>1448078</v>
      </c>
      <c r="M1347" s="92">
        <v>0</v>
      </c>
      <c r="N1347" s="92">
        <v>0</v>
      </c>
      <c r="O1347" s="92">
        <f t="shared" si="292"/>
        <v>1448078</v>
      </c>
      <c r="P1347" s="92">
        <v>0</v>
      </c>
      <c r="Q1347" s="121">
        <f>L1347/I1347</f>
        <v>3469.6137626988689</v>
      </c>
      <c r="R1347" s="93">
        <v>6774</v>
      </c>
      <c r="S1347" s="285">
        <v>43830</v>
      </c>
    </row>
    <row r="1348" spans="1:34" s="33" customFormat="1" ht="31.5">
      <c r="A1348" s="87">
        <f t="shared" si="293"/>
        <v>6</v>
      </c>
      <c r="B1348" s="118" t="s">
        <v>398</v>
      </c>
      <c r="C1348" s="110">
        <v>1954</v>
      </c>
      <c r="D1348" s="111"/>
      <c r="E1348" s="89" t="s">
        <v>218</v>
      </c>
      <c r="F1348" s="110">
        <v>2</v>
      </c>
      <c r="G1348" s="111">
        <v>2</v>
      </c>
      <c r="H1348" s="119">
        <v>922.3</v>
      </c>
      <c r="I1348" s="104">
        <v>862.3</v>
      </c>
      <c r="J1348" s="104">
        <v>862.3</v>
      </c>
      <c r="K1348" s="102">
        <v>31</v>
      </c>
      <c r="L1348" s="92">
        <v>1963797</v>
      </c>
      <c r="M1348" s="92">
        <v>0</v>
      </c>
      <c r="N1348" s="92">
        <v>0</v>
      </c>
      <c r="O1348" s="92">
        <f t="shared" si="292"/>
        <v>1963797</v>
      </c>
      <c r="P1348" s="92">
        <v>0</v>
      </c>
      <c r="Q1348" s="121">
        <f xml:space="preserve"> L1348/I1348</f>
        <v>2277.3941783601995</v>
      </c>
      <c r="R1348" s="93">
        <v>6774</v>
      </c>
      <c r="S1348" s="285">
        <v>43830</v>
      </c>
    </row>
    <row r="1349" spans="1:34" s="33" customFormat="1" ht="31.5">
      <c r="A1349" s="87">
        <f t="shared" si="293"/>
        <v>7</v>
      </c>
      <c r="B1349" s="118" t="s">
        <v>399</v>
      </c>
      <c r="C1349" s="110">
        <v>1961</v>
      </c>
      <c r="D1349" s="111"/>
      <c r="E1349" s="89" t="s">
        <v>218</v>
      </c>
      <c r="F1349" s="110">
        <v>4</v>
      </c>
      <c r="G1349" s="111">
        <v>4</v>
      </c>
      <c r="H1349" s="112">
        <v>2386.6</v>
      </c>
      <c r="I1349" s="104">
        <v>2260.4</v>
      </c>
      <c r="J1349" s="104">
        <v>2024.9</v>
      </c>
      <c r="K1349" s="102">
        <v>66</v>
      </c>
      <c r="L1349" s="92">
        <v>2119530</v>
      </c>
      <c r="M1349" s="92">
        <v>0</v>
      </c>
      <c r="N1349" s="92">
        <v>0</v>
      </c>
      <c r="O1349" s="92">
        <f t="shared" si="292"/>
        <v>2119530</v>
      </c>
      <c r="P1349" s="92">
        <v>0</v>
      </c>
      <c r="Q1349" s="121">
        <f t="shared" ref="Q1349:Q1356" si="294">L1349/I1349</f>
        <v>937.67917182799499</v>
      </c>
      <c r="R1349" s="93">
        <v>6774</v>
      </c>
      <c r="S1349" s="285">
        <v>43830</v>
      </c>
    </row>
    <row r="1350" spans="1:34" s="33" customFormat="1" ht="31.5">
      <c r="A1350" s="87">
        <f t="shared" si="293"/>
        <v>8</v>
      </c>
      <c r="B1350" s="109" t="s">
        <v>403</v>
      </c>
      <c r="C1350" s="110">
        <v>1956</v>
      </c>
      <c r="D1350" s="111"/>
      <c r="E1350" s="89" t="s">
        <v>218</v>
      </c>
      <c r="F1350" s="110">
        <v>2</v>
      </c>
      <c r="G1350" s="111">
        <v>2</v>
      </c>
      <c r="H1350" s="124">
        <v>833.9</v>
      </c>
      <c r="I1350" s="104">
        <v>785.9</v>
      </c>
      <c r="J1350" s="104">
        <v>675</v>
      </c>
      <c r="K1350" s="120">
        <v>32</v>
      </c>
      <c r="L1350" s="92">
        <v>1098163</v>
      </c>
      <c r="M1350" s="92">
        <v>0</v>
      </c>
      <c r="N1350" s="92">
        <v>0</v>
      </c>
      <c r="O1350" s="92">
        <f t="shared" si="292"/>
        <v>1098163</v>
      </c>
      <c r="P1350" s="92">
        <v>0</v>
      </c>
      <c r="Q1350" s="121">
        <f t="shared" si="294"/>
        <v>1397.3317215930781</v>
      </c>
      <c r="R1350" s="93">
        <v>6774</v>
      </c>
      <c r="S1350" s="285">
        <v>43830</v>
      </c>
      <c r="T1350" s="34"/>
      <c r="U1350" s="34"/>
      <c r="V1350" s="34"/>
      <c r="W1350" s="34"/>
      <c r="X1350" s="34"/>
      <c r="Y1350" s="34"/>
      <c r="Z1350" s="34"/>
      <c r="AA1350" s="34"/>
      <c r="AB1350" s="34"/>
      <c r="AC1350" s="34"/>
      <c r="AD1350" s="34"/>
      <c r="AE1350" s="34"/>
      <c r="AF1350" s="34"/>
      <c r="AG1350" s="34"/>
      <c r="AH1350" s="34"/>
    </row>
    <row r="1351" spans="1:34" s="33" customFormat="1" ht="31.5">
      <c r="A1351" s="87">
        <f t="shared" si="293"/>
        <v>9</v>
      </c>
      <c r="B1351" s="109" t="s">
        <v>404</v>
      </c>
      <c r="C1351" s="110">
        <v>1959</v>
      </c>
      <c r="D1351" s="111"/>
      <c r="E1351" s="89" t="s">
        <v>218</v>
      </c>
      <c r="F1351" s="110">
        <v>2</v>
      </c>
      <c r="G1351" s="111">
        <v>3</v>
      </c>
      <c r="H1351" s="125">
        <v>640.5</v>
      </c>
      <c r="I1351" s="123">
        <v>621.79999999999995</v>
      </c>
      <c r="J1351" s="123">
        <v>490.9</v>
      </c>
      <c r="K1351" s="120">
        <v>35</v>
      </c>
      <c r="L1351" s="92">
        <v>1241309</v>
      </c>
      <c r="M1351" s="92">
        <v>0</v>
      </c>
      <c r="N1351" s="92">
        <v>0</v>
      </c>
      <c r="O1351" s="92">
        <f t="shared" si="292"/>
        <v>1241309</v>
      </c>
      <c r="P1351" s="92">
        <v>0</v>
      </c>
      <c r="Q1351" s="121">
        <f t="shared" si="294"/>
        <v>1996.3155355419751</v>
      </c>
      <c r="R1351" s="93">
        <v>6774</v>
      </c>
      <c r="S1351" s="285">
        <v>43830</v>
      </c>
    </row>
    <row r="1352" spans="1:34" s="33" customFormat="1" ht="31.5">
      <c r="A1352" s="87">
        <f t="shared" si="293"/>
        <v>10</v>
      </c>
      <c r="B1352" s="109" t="s">
        <v>400</v>
      </c>
      <c r="C1352" s="110">
        <v>1960</v>
      </c>
      <c r="D1352" s="111"/>
      <c r="E1352" s="89" t="s">
        <v>218</v>
      </c>
      <c r="F1352" s="110">
        <v>2</v>
      </c>
      <c r="G1352" s="111">
        <v>2</v>
      </c>
      <c r="H1352" s="119">
        <v>504.1</v>
      </c>
      <c r="I1352" s="104">
        <v>445.3</v>
      </c>
      <c r="J1352" s="104">
        <v>373.3</v>
      </c>
      <c r="K1352" s="120">
        <v>24</v>
      </c>
      <c r="L1352" s="92">
        <v>1041360</v>
      </c>
      <c r="M1352" s="92">
        <v>0</v>
      </c>
      <c r="N1352" s="92">
        <v>0</v>
      </c>
      <c r="O1352" s="92">
        <f t="shared" si="292"/>
        <v>1041360</v>
      </c>
      <c r="P1352" s="92">
        <v>0</v>
      </c>
      <c r="Q1352" s="121">
        <f t="shared" si="294"/>
        <v>2338.5582753200088</v>
      </c>
      <c r="R1352" s="93">
        <v>6774</v>
      </c>
      <c r="S1352" s="285">
        <v>43830</v>
      </c>
    </row>
    <row r="1353" spans="1:34" s="34" customFormat="1" ht="31.5">
      <c r="A1353" s="87">
        <f t="shared" si="293"/>
        <v>11</v>
      </c>
      <c r="B1353" s="109" t="s">
        <v>401</v>
      </c>
      <c r="C1353" s="110">
        <v>1961</v>
      </c>
      <c r="D1353" s="111"/>
      <c r="E1353" s="89" t="s">
        <v>218</v>
      </c>
      <c r="F1353" s="110">
        <v>2</v>
      </c>
      <c r="G1353" s="111">
        <v>2</v>
      </c>
      <c r="H1353" s="119">
        <v>506.2</v>
      </c>
      <c r="I1353" s="104">
        <v>447.4</v>
      </c>
      <c r="J1353" s="104">
        <f>I1353</f>
        <v>447.4</v>
      </c>
      <c r="K1353" s="120">
        <v>18</v>
      </c>
      <c r="L1353" s="92">
        <v>1138866</v>
      </c>
      <c r="M1353" s="92">
        <v>0</v>
      </c>
      <c r="N1353" s="92">
        <v>0</v>
      </c>
      <c r="O1353" s="92">
        <f t="shared" si="292"/>
        <v>1138866</v>
      </c>
      <c r="P1353" s="92">
        <v>0</v>
      </c>
      <c r="Q1353" s="121">
        <f t="shared" si="294"/>
        <v>2545.5207867679928</v>
      </c>
      <c r="R1353" s="93">
        <v>6774</v>
      </c>
      <c r="S1353" s="285">
        <v>43830</v>
      </c>
      <c r="T1353" s="33"/>
      <c r="U1353" s="33"/>
      <c r="V1353" s="33"/>
      <c r="W1353" s="33"/>
      <c r="X1353" s="33"/>
      <c r="Y1353" s="33"/>
      <c r="Z1353" s="33"/>
      <c r="AA1353" s="33"/>
      <c r="AB1353" s="33"/>
      <c r="AC1353" s="33"/>
      <c r="AD1353" s="33"/>
      <c r="AE1353" s="33"/>
      <c r="AF1353" s="33"/>
      <c r="AG1353" s="33"/>
      <c r="AH1353" s="33"/>
    </row>
    <row r="1354" spans="1:34" s="33" customFormat="1" ht="31.5">
      <c r="A1354" s="87">
        <f t="shared" si="293"/>
        <v>12</v>
      </c>
      <c r="B1354" s="118" t="s">
        <v>394</v>
      </c>
      <c r="C1354" s="110">
        <v>1966</v>
      </c>
      <c r="D1354" s="111"/>
      <c r="E1354" s="89" t="s">
        <v>218</v>
      </c>
      <c r="F1354" s="110">
        <v>2</v>
      </c>
      <c r="G1354" s="111">
        <v>2</v>
      </c>
      <c r="H1354" s="119">
        <v>482.5</v>
      </c>
      <c r="I1354" s="104">
        <v>454.1</v>
      </c>
      <c r="J1354" s="104">
        <v>370.7</v>
      </c>
      <c r="K1354" s="102">
        <v>31</v>
      </c>
      <c r="L1354" s="92">
        <v>848546</v>
      </c>
      <c r="M1354" s="92">
        <v>0</v>
      </c>
      <c r="N1354" s="92">
        <v>0</v>
      </c>
      <c r="O1354" s="92">
        <f t="shared" si="292"/>
        <v>848546</v>
      </c>
      <c r="P1354" s="92">
        <v>0</v>
      </c>
      <c r="Q1354" s="121">
        <f t="shared" si="294"/>
        <v>1868.6324598106144</v>
      </c>
      <c r="R1354" s="93">
        <v>6774</v>
      </c>
      <c r="S1354" s="285">
        <v>43830</v>
      </c>
    </row>
    <row r="1355" spans="1:34" s="33" customFormat="1" ht="31.5">
      <c r="A1355" s="87">
        <f t="shared" si="293"/>
        <v>13</v>
      </c>
      <c r="B1355" s="118" t="s">
        <v>395</v>
      </c>
      <c r="C1355" s="110">
        <v>1969</v>
      </c>
      <c r="D1355" s="111"/>
      <c r="E1355" s="89" t="s">
        <v>218</v>
      </c>
      <c r="F1355" s="110">
        <v>2</v>
      </c>
      <c r="G1355" s="111">
        <v>2</v>
      </c>
      <c r="H1355" s="119">
        <v>502.6</v>
      </c>
      <c r="I1355" s="126">
        <v>471</v>
      </c>
      <c r="J1355" s="104">
        <v>423.8</v>
      </c>
      <c r="K1355" s="102">
        <v>21</v>
      </c>
      <c r="L1355" s="92">
        <v>848706</v>
      </c>
      <c r="M1355" s="92">
        <v>0</v>
      </c>
      <c r="N1355" s="92">
        <v>0</v>
      </c>
      <c r="O1355" s="92">
        <f t="shared" si="292"/>
        <v>848706</v>
      </c>
      <c r="P1355" s="92">
        <v>0</v>
      </c>
      <c r="Q1355" s="121">
        <f t="shared" si="294"/>
        <v>1801.9235668789809</v>
      </c>
      <c r="R1355" s="93">
        <v>6774</v>
      </c>
      <c r="S1355" s="285">
        <v>43830</v>
      </c>
    </row>
    <row r="1356" spans="1:34" s="33" customFormat="1" ht="31.5">
      <c r="A1356" s="87">
        <f t="shared" si="293"/>
        <v>14</v>
      </c>
      <c r="B1356" s="118" t="s">
        <v>396</v>
      </c>
      <c r="C1356" s="110">
        <v>1973</v>
      </c>
      <c r="D1356" s="111"/>
      <c r="E1356" s="89" t="s">
        <v>218</v>
      </c>
      <c r="F1356" s="110">
        <v>2</v>
      </c>
      <c r="G1356" s="111">
        <v>2</v>
      </c>
      <c r="H1356" s="119">
        <v>789.5</v>
      </c>
      <c r="I1356" s="104">
        <v>729.5</v>
      </c>
      <c r="J1356" s="104">
        <v>670.1</v>
      </c>
      <c r="K1356" s="102">
        <v>39</v>
      </c>
      <c r="L1356" s="92">
        <v>1180083</v>
      </c>
      <c r="M1356" s="92">
        <v>0</v>
      </c>
      <c r="N1356" s="92">
        <v>0</v>
      </c>
      <c r="O1356" s="92">
        <f t="shared" si="292"/>
        <v>1180083</v>
      </c>
      <c r="P1356" s="92">
        <v>0</v>
      </c>
      <c r="Q1356" s="121">
        <f t="shared" si="294"/>
        <v>1617.6600411240577</v>
      </c>
      <c r="R1356" s="93">
        <v>6774</v>
      </c>
      <c r="S1356" s="285">
        <v>43830</v>
      </c>
    </row>
    <row r="1357" spans="1:34" s="33" customFormat="1" ht="15.75" customHeight="1">
      <c r="A1357" s="87"/>
      <c r="B1357" s="1068" t="s">
        <v>210</v>
      </c>
      <c r="C1357" s="1068"/>
      <c r="D1357" s="1068"/>
      <c r="E1357" s="1068"/>
      <c r="F1357" s="1068"/>
      <c r="G1357" s="1068"/>
      <c r="H1357" s="86">
        <f>H1358+H1359</f>
        <v>3058</v>
      </c>
      <c r="I1357" s="86">
        <f t="shared" ref="I1357:P1357" si="295">I1358+I1359</f>
        <v>2708.7</v>
      </c>
      <c r="J1357" s="86">
        <f t="shared" si="295"/>
        <v>2585.9</v>
      </c>
      <c r="K1357" s="98">
        <f t="shared" si="295"/>
        <v>118</v>
      </c>
      <c r="L1357" s="92">
        <f t="shared" si="295"/>
        <v>2336158</v>
      </c>
      <c r="M1357" s="92">
        <f t="shared" si="295"/>
        <v>0</v>
      </c>
      <c r="N1357" s="92">
        <f t="shared" si="295"/>
        <v>1400000</v>
      </c>
      <c r="O1357" s="92">
        <f t="shared" si="295"/>
        <v>936158</v>
      </c>
      <c r="P1357" s="92">
        <f t="shared" si="295"/>
        <v>0</v>
      </c>
      <c r="Q1357" s="86" t="s">
        <v>40</v>
      </c>
      <c r="R1357" s="86" t="s">
        <v>40</v>
      </c>
      <c r="S1357" s="285">
        <v>43830</v>
      </c>
    </row>
    <row r="1358" spans="1:34" s="33" customFormat="1" ht="16.5" customHeight="1">
      <c r="A1358" s="87">
        <f>A1356+1</f>
        <v>15</v>
      </c>
      <c r="B1358" s="118" t="s">
        <v>407</v>
      </c>
      <c r="C1358" s="111">
        <v>1986</v>
      </c>
      <c r="D1358" s="111"/>
      <c r="E1358" s="89" t="s">
        <v>222</v>
      </c>
      <c r="F1358" s="110">
        <v>3</v>
      </c>
      <c r="G1358" s="111">
        <v>3</v>
      </c>
      <c r="H1358" s="127">
        <v>1529</v>
      </c>
      <c r="I1358" s="103">
        <v>1345.2</v>
      </c>
      <c r="J1358" s="103">
        <v>1345.2</v>
      </c>
      <c r="K1358" s="120">
        <v>60</v>
      </c>
      <c r="L1358" s="92">
        <f>O1358+N1358</f>
        <v>1168079</v>
      </c>
      <c r="M1358" s="92">
        <v>0</v>
      </c>
      <c r="N1358" s="92">
        <v>700000</v>
      </c>
      <c r="O1358" s="92">
        <v>468079</v>
      </c>
      <c r="P1358" s="92">
        <v>0</v>
      </c>
      <c r="Q1358" s="121">
        <f>L1358/I1358</f>
        <v>868.33110318168303</v>
      </c>
      <c r="R1358" s="93">
        <v>6774</v>
      </c>
      <c r="S1358" s="285">
        <v>43830</v>
      </c>
    </row>
    <row r="1359" spans="1:34" s="33" customFormat="1" ht="18" customHeight="1">
      <c r="A1359" s="87">
        <f>A1358+1</f>
        <v>16</v>
      </c>
      <c r="B1359" s="118" t="s">
        <v>408</v>
      </c>
      <c r="C1359" s="111">
        <v>1986</v>
      </c>
      <c r="D1359" s="111"/>
      <c r="E1359" s="89" t="s">
        <v>222</v>
      </c>
      <c r="F1359" s="110">
        <v>3</v>
      </c>
      <c r="G1359" s="111">
        <v>3</v>
      </c>
      <c r="H1359" s="127">
        <v>1529</v>
      </c>
      <c r="I1359" s="103">
        <v>1363.5</v>
      </c>
      <c r="J1359" s="103">
        <v>1240.7</v>
      </c>
      <c r="K1359" s="120">
        <v>58</v>
      </c>
      <c r="L1359" s="92">
        <f>O1359+N1359</f>
        <v>1168079</v>
      </c>
      <c r="M1359" s="92">
        <v>0</v>
      </c>
      <c r="N1359" s="92">
        <v>700000</v>
      </c>
      <c r="O1359" s="92">
        <v>468079</v>
      </c>
      <c r="P1359" s="92">
        <v>0</v>
      </c>
      <c r="Q1359" s="121">
        <f>L1359/I1359</f>
        <v>856.67693436010268</v>
      </c>
      <c r="R1359" s="93">
        <v>6774</v>
      </c>
      <c r="S1359" s="285">
        <v>43830</v>
      </c>
    </row>
    <row r="1360" spans="1:34" s="1" customFormat="1" ht="15.75">
      <c r="A1360" s="87"/>
      <c r="B1360" s="1066" t="s">
        <v>44</v>
      </c>
      <c r="C1360" s="1066"/>
      <c r="D1360" s="1066"/>
      <c r="E1360" s="1066"/>
      <c r="F1360" s="1066"/>
      <c r="G1360" s="1066"/>
      <c r="H1360" s="107">
        <f>H1361</f>
        <v>518.5</v>
      </c>
      <c r="I1360" s="86">
        <f t="shared" ref="I1360:P1361" si="296">I1361</f>
        <v>518.5</v>
      </c>
      <c r="J1360" s="86">
        <f t="shared" si="296"/>
        <v>298.10000000000002</v>
      </c>
      <c r="K1360" s="98">
        <f t="shared" si="296"/>
        <v>27</v>
      </c>
      <c r="L1360" s="92">
        <f>L1361</f>
        <v>906976</v>
      </c>
      <c r="M1360" s="92">
        <f t="shared" si="296"/>
        <v>0</v>
      </c>
      <c r="N1360" s="92">
        <f t="shared" si="296"/>
        <v>0</v>
      </c>
      <c r="O1360" s="92">
        <f t="shared" si="296"/>
        <v>906976</v>
      </c>
      <c r="P1360" s="92">
        <f t="shared" si="296"/>
        <v>0</v>
      </c>
      <c r="Q1360" s="86" t="s">
        <v>40</v>
      </c>
      <c r="R1360" s="93" t="s">
        <v>40</v>
      </c>
      <c r="S1360" s="285">
        <v>43830</v>
      </c>
    </row>
    <row r="1361" spans="1:19" s="1" customFormat="1" ht="15.75" customHeight="1">
      <c r="A1361" s="87"/>
      <c r="B1361" s="1068" t="s">
        <v>435</v>
      </c>
      <c r="C1361" s="1068"/>
      <c r="D1361" s="1068"/>
      <c r="E1361" s="1068"/>
      <c r="F1361" s="1068"/>
      <c r="G1361" s="1068"/>
      <c r="H1361" s="107">
        <f>H1362</f>
        <v>518.5</v>
      </c>
      <c r="I1361" s="107">
        <f t="shared" si="296"/>
        <v>518.5</v>
      </c>
      <c r="J1361" s="107">
        <f t="shared" si="296"/>
        <v>298.10000000000002</v>
      </c>
      <c r="K1361" s="107">
        <f t="shared" si="296"/>
        <v>27</v>
      </c>
      <c r="L1361" s="496">
        <f t="shared" si="296"/>
        <v>906976</v>
      </c>
      <c r="M1361" s="496">
        <f t="shared" si="296"/>
        <v>0</v>
      </c>
      <c r="N1361" s="496">
        <f t="shared" si="296"/>
        <v>0</v>
      </c>
      <c r="O1361" s="496">
        <f t="shared" si="296"/>
        <v>906976</v>
      </c>
      <c r="P1361" s="496">
        <f t="shared" si="296"/>
        <v>0</v>
      </c>
      <c r="Q1361" s="86" t="s">
        <v>40</v>
      </c>
      <c r="R1361" s="86" t="s">
        <v>40</v>
      </c>
      <c r="S1361" s="285">
        <v>43830</v>
      </c>
    </row>
    <row r="1362" spans="1:19" s="1" customFormat="1" ht="31.5">
      <c r="A1362" s="277"/>
      <c r="B1362" s="288" t="s">
        <v>768</v>
      </c>
      <c r="C1362" s="277">
        <v>1967</v>
      </c>
      <c r="D1362" s="279"/>
      <c r="E1362" s="280" t="s">
        <v>218</v>
      </c>
      <c r="F1362" s="279">
        <v>2</v>
      </c>
      <c r="G1362" s="279">
        <v>2</v>
      </c>
      <c r="H1362" s="281">
        <v>518.5</v>
      </c>
      <c r="I1362" s="279">
        <v>518.5</v>
      </c>
      <c r="J1362" s="279">
        <v>298.10000000000002</v>
      </c>
      <c r="K1362" s="282">
        <v>27</v>
      </c>
      <c r="L1362" s="283">
        <v>906976</v>
      </c>
      <c r="M1362" s="283">
        <v>0</v>
      </c>
      <c r="N1362" s="283">
        <v>0</v>
      </c>
      <c r="O1362" s="283">
        <v>906976</v>
      </c>
      <c r="P1362" s="283">
        <v>0</v>
      </c>
      <c r="Q1362" s="586">
        <f>L1362/I1362</f>
        <v>1749.2304725168756</v>
      </c>
      <c r="R1362" s="284">
        <v>7920</v>
      </c>
      <c r="S1362" s="285">
        <v>43830</v>
      </c>
    </row>
    <row r="1363" spans="1:19" s="1" customFormat="1" ht="15.75">
      <c r="A1363" s="277"/>
      <c r="B1363" s="288"/>
      <c r="C1363" s="279"/>
      <c r="D1363" s="279"/>
      <c r="E1363" s="280"/>
      <c r="F1363" s="279"/>
      <c r="G1363" s="279"/>
      <c r="H1363" s="281"/>
      <c r="I1363" s="279"/>
      <c r="J1363" s="279"/>
      <c r="K1363" s="282"/>
      <c r="L1363" s="283"/>
      <c r="M1363" s="283"/>
      <c r="N1363" s="283"/>
      <c r="O1363" s="283"/>
      <c r="P1363" s="283"/>
      <c r="Q1363" s="284"/>
      <c r="R1363" s="284"/>
      <c r="S1363" s="285">
        <v>43830</v>
      </c>
    </row>
    <row r="1364" spans="1:19" s="1" customFormat="1" ht="21.6" customHeight="1">
      <c r="A1364" s="87"/>
      <c r="B1364" s="1066" t="s">
        <v>45</v>
      </c>
      <c r="C1364" s="1066"/>
      <c r="D1364" s="1066"/>
      <c r="E1364" s="1066"/>
      <c r="F1364" s="1066"/>
      <c r="G1364" s="1066"/>
      <c r="H1364" s="107">
        <f>H1365+H1367+H1369+H1372+H1373+H1375+H1377</f>
        <v>11088.41</v>
      </c>
      <c r="I1364" s="107">
        <f t="shared" ref="I1364:P1364" si="297">I1365+I1367+I1369+I1372+I1373+I1375+I1377</f>
        <v>9212.02</v>
      </c>
      <c r="J1364" s="107">
        <f t="shared" si="297"/>
        <v>7783.04</v>
      </c>
      <c r="K1364" s="107">
        <f t="shared" si="297"/>
        <v>381</v>
      </c>
      <c r="L1364" s="496">
        <f t="shared" si="297"/>
        <v>11109566</v>
      </c>
      <c r="M1364" s="496">
        <f t="shared" si="297"/>
        <v>0</v>
      </c>
      <c r="N1364" s="496">
        <f t="shared" si="297"/>
        <v>0</v>
      </c>
      <c r="O1364" s="496">
        <f t="shared" si="297"/>
        <v>11109566</v>
      </c>
      <c r="P1364" s="496">
        <f t="shared" si="297"/>
        <v>0</v>
      </c>
      <c r="Q1364" s="86" t="s">
        <v>40</v>
      </c>
      <c r="R1364" s="93" t="s">
        <v>40</v>
      </c>
      <c r="S1364" s="285">
        <v>43830</v>
      </c>
    </row>
    <row r="1365" spans="1:19" s="1" customFormat="1" ht="15.75">
      <c r="A1365" s="277"/>
      <c r="B1365" s="1143" t="s">
        <v>98</v>
      </c>
      <c r="C1365" s="1143"/>
      <c r="D1365" s="1143"/>
      <c r="E1365" s="1143"/>
      <c r="F1365" s="1143"/>
      <c r="G1365" s="1143"/>
      <c r="H1365" s="301">
        <f>H1366</f>
        <v>3642.1</v>
      </c>
      <c r="I1365" s="301">
        <f t="shared" ref="I1365:P1365" si="298">I1366</f>
        <v>3274.61</v>
      </c>
      <c r="J1365" s="301">
        <f t="shared" si="298"/>
        <v>3121.61</v>
      </c>
      <c r="K1365" s="301">
        <f t="shared" si="298"/>
        <v>158</v>
      </c>
      <c r="L1365" s="627">
        <f t="shared" si="298"/>
        <v>2377747</v>
      </c>
      <c r="M1365" s="627">
        <f t="shared" si="298"/>
        <v>0</v>
      </c>
      <c r="N1365" s="627">
        <f t="shared" si="298"/>
        <v>0</v>
      </c>
      <c r="O1365" s="627">
        <f t="shared" si="298"/>
        <v>2377747</v>
      </c>
      <c r="P1365" s="627">
        <f t="shared" si="298"/>
        <v>0</v>
      </c>
      <c r="Q1365" s="303" t="s">
        <v>40</v>
      </c>
      <c r="R1365" s="303" t="s">
        <v>40</v>
      </c>
      <c r="S1365" s="285">
        <v>43830</v>
      </c>
    </row>
    <row r="1366" spans="1:19" s="1" customFormat="1" ht="31.5">
      <c r="A1366" s="277">
        <f>A1363+1</f>
        <v>1</v>
      </c>
      <c r="B1366" s="505" t="s">
        <v>798</v>
      </c>
      <c r="C1366" s="277">
        <v>1970</v>
      </c>
      <c r="D1366" s="279"/>
      <c r="E1366" s="280" t="s">
        <v>218</v>
      </c>
      <c r="F1366" s="279">
        <v>5</v>
      </c>
      <c r="G1366" s="279">
        <v>4</v>
      </c>
      <c r="H1366" s="503">
        <v>3642.1</v>
      </c>
      <c r="I1366" s="506">
        <v>3274.61</v>
      </c>
      <c r="J1366" s="507">
        <v>3121.61</v>
      </c>
      <c r="K1366" s="508">
        <v>158</v>
      </c>
      <c r="L1366" s="283">
        <v>2377747</v>
      </c>
      <c r="M1366" s="283">
        <v>0</v>
      </c>
      <c r="N1366" s="283">
        <v>0</v>
      </c>
      <c r="O1366" s="283">
        <v>2377747</v>
      </c>
      <c r="P1366" s="283">
        <f>SUM(P1372:P1372)</f>
        <v>0</v>
      </c>
      <c r="Q1366" s="284">
        <f>L1366/I1366</f>
        <v>726.11608710655617</v>
      </c>
      <c r="R1366" s="284">
        <v>7920</v>
      </c>
      <c r="S1366" s="285">
        <v>43830</v>
      </c>
    </row>
    <row r="1367" spans="1:19" s="1" customFormat="1" ht="18" customHeight="1">
      <c r="A1367" s="277"/>
      <c r="B1367" s="1143" t="s">
        <v>688</v>
      </c>
      <c r="C1367" s="1143"/>
      <c r="D1367" s="1143"/>
      <c r="E1367" s="1143"/>
      <c r="F1367" s="1143"/>
      <c r="G1367" s="1143"/>
      <c r="H1367" s="503">
        <f>H1368</f>
        <v>489.41</v>
      </c>
      <c r="I1367" s="503">
        <f t="shared" ref="I1367:P1367" si="299">I1368</f>
        <v>489.41</v>
      </c>
      <c r="J1367" s="503">
        <f t="shared" si="299"/>
        <v>317</v>
      </c>
      <c r="K1367" s="503">
        <f t="shared" si="299"/>
        <v>20</v>
      </c>
      <c r="L1367" s="504">
        <f t="shared" si="299"/>
        <v>901450</v>
      </c>
      <c r="M1367" s="504">
        <f t="shared" si="299"/>
        <v>0</v>
      </c>
      <c r="N1367" s="504">
        <f t="shared" si="299"/>
        <v>0</v>
      </c>
      <c r="O1367" s="504">
        <f t="shared" si="299"/>
        <v>901450</v>
      </c>
      <c r="P1367" s="504">
        <f t="shared" si="299"/>
        <v>0</v>
      </c>
      <c r="Q1367" s="303" t="s">
        <v>40</v>
      </c>
      <c r="R1367" s="284" t="s">
        <v>40</v>
      </c>
      <c r="S1367" s="285">
        <v>43830</v>
      </c>
    </row>
    <row r="1368" spans="1:19" s="1" customFormat="1" ht="37.15" customHeight="1">
      <c r="A1368" s="277"/>
      <c r="B1368" s="505" t="s">
        <v>691</v>
      </c>
      <c r="C1368" s="277">
        <v>1960</v>
      </c>
      <c r="D1368" s="279"/>
      <c r="E1368" s="280" t="s">
        <v>218</v>
      </c>
      <c r="F1368" s="279">
        <v>2</v>
      </c>
      <c r="G1368" s="279">
        <v>3</v>
      </c>
      <c r="H1368" s="503">
        <v>489.41</v>
      </c>
      <c r="I1368" s="506">
        <v>489.41</v>
      </c>
      <c r="J1368" s="507">
        <v>317</v>
      </c>
      <c r="K1368" s="508">
        <v>20</v>
      </c>
      <c r="L1368" s="283">
        <v>901450</v>
      </c>
      <c r="M1368" s="283">
        <v>0</v>
      </c>
      <c r="N1368" s="283">
        <v>0</v>
      </c>
      <c r="O1368" s="283">
        <v>901450</v>
      </c>
      <c r="P1368" s="283">
        <v>0</v>
      </c>
      <c r="Q1368" s="284">
        <f>L1368/I1368</f>
        <v>1841.911689585419</v>
      </c>
      <c r="R1368" s="284">
        <v>7920</v>
      </c>
      <c r="S1368" s="285">
        <v>43830</v>
      </c>
    </row>
    <row r="1369" spans="1:19" s="1" customFormat="1" ht="15.75">
      <c r="A1369" s="277"/>
      <c r="B1369" s="1143" t="s">
        <v>99</v>
      </c>
      <c r="C1369" s="1143"/>
      <c r="D1369" s="1143"/>
      <c r="E1369" s="1143"/>
      <c r="F1369" s="1143"/>
      <c r="G1369" s="1143"/>
      <c r="H1369" s="301">
        <f>SUM(H1370:H1371)</f>
        <v>1025.3</v>
      </c>
      <c r="I1369" s="303">
        <f t="shared" ref="I1369:P1369" si="300">SUM(I1370:I1371)</f>
        <v>941.9</v>
      </c>
      <c r="J1369" s="303">
        <f t="shared" si="300"/>
        <v>830.5</v>
      </c>
      <c r="K1369" s="302">
        <f t="shared" si="300"/>
        <v>34</v>
      </c>
      <c r="L1369" s="283">
        <f t="shared" si="300"/>
        <v>1696092</v>
      </c>
      <c r="M1369" s="283">
        <f t="shared" si="300"/>
        <v>0</v>
      </c>
      <c r="N1369" s="283">
        <f t="shared" si="300"/>
        <v>0</v>
      </c>
      <c r="O1369" s="283">
        <f t="shared" si="300"/>
        <v>1696092</v>
      </c>
      <c r="P1369" s="283">
        <f t="shared" si="300"/>
        <v>0</v>
      </c>
      <c r="Q1369" s="303" t="s">
        <v>40</v>
      </c>
      <c r="R1369" s="303" t="s">
        <v>40</v>
      </c>
      <c r="S1369" s="285">
        <v>43830</v>
      </c>
    </row>
    <row r="1370" spans="1:19" s="16" customFormat="1" ht="31.5">
      <c r="A1370" s="277" t="e">
        <f>#REF!+1</f>
        <v>#REF!</v>
      </c>
      <c r="B1370" s="278" t="s">
        <v>801</v>
      </c>
      <c r="C1370" s="314">
        <v>1967</v>
      </c>
      <c r="D1370" s="314"/>
      <c r="E1370" s="280" t="s">
        <v>218</v>
      </c>
      <c r="F1370" s="314">
        <v>2</v>
      </c>
      <c r="G1370" s="314">
        <v>2</v>
      </c>
      <c r="H1370" s="315">
        <v>523.9</v>
      </c>
      <c r="I1370" s="632">
        <v>470.7</v>
      </c>
      <c r="J1370" s="632">
        <v>433.4</v>
      </c>
      <c r="K1370" s="317">
        <v>13</v>
      </c>
      <c r="L1370" s="283">
        <v>851963</v>
      </c>
      <c r="M1370" s="283">
        <v>0</v>
      </c>
      <c r="N1370" s="283">
        <v>0</v>
      </c>
      <c r="O1370" s="283">
        <f>L1370</f>
        <v>851963</v>
      </c>
      <c r="P1370" s="283">
        <v>0</v>
      </c>
      <c r="Q1370" s="318">
        <f>L1370/I1370</f>
        <v>1809.9915020182707</v>
      </c>
      <c r="R1370" s="284">
        <v>7920</v>
      </c>
      <c r="S1370" s="285">
        <v>43830</v>
      </c>
    </row>
    <row r="1371" spans="1:19" s="16" customFormat="1" ht="31.5">
      <c r="A1371" s="277" t="e">
        <f>A1370+1</f>
        <v>#REF!</v>
      </c>
      <c r="B1371" s="278" t="s">
        <v>802</v>
      </c>
      <c r="C1371" s="314">
        <v>1967</v>
      </c>
      <c r="D1371" s="314"/>
      <c r="E1371" s="280" t="s">
        <v>218</v>
      </c>
      <c r="F1371" s="314">
        <v>2</v>
      </c>
      <c r="G1371" s="314">
        <v>2</v>
      </c>
      <c r="H1371" s="315">
        <v>501.4</v>
      </c>
      <c r="I1371" s="632">
        <v>471.2</v>
      </c>
      <c r="J1371" s="632">
        <v>397.1</v>
      </c>
      <c r="K1371" s="317">
        <v>21</v>
      </c>
      <c r="L1371" s="283">
        <v>844129</v>
      </c>
      <c r="M1371" s="283">
        <v>0</v>
      </c>
      <c r="N1371" s="283">
        <v>0</v>
      </c>
      <c r="O1371" s="283">
        <f>L1371</f>
        <v>844129</v>
      </c>
      <c r="P1371" s="283">
        <v>0</v>
      </c>
      <c r="Q1371" s="318">
        <f>L1371/I1371</f>
        <v>1791.445246179966</v>
      </c>
      <c r="R1371" s="284">
        <v>7920</v>
      </c>
      <c r="S1371" s="285">
        <v>43830</v>
      </c>
    </row>
    <row r="1372" spans="1:19" s="1" customFormat="1" ht="24.6" customHeight="1">
      <c r="A1372" s="277"/>
      <c r="B1372" s="1144" t="s">
        <v>100</v>
      </c>
      <c r="C1372" s="1144"/>
      <c r="D1372" s="1144"/>
      <c r="E1372" s="1144"/>
      <c r="F1372" s="1144"/>
      <c r="G1372" s="1144"/>
      <c r="H1372" s="503">
        <v>0</v>
      </c>
      <c r="I1372" s="342">
        <v>0</v>
      </c>
      <c r="J1372" s="342">
        <v>0</v>
      </c>
      <c r="K1372" s="523">
        <v>0</v>
      </c>
      <c r="L1372" s="283">
        <v>0</v>
      </c>
      <c r="M1372" s="283">
        <v>0</v>
      </c>
      <c r="N1372" s="283">
        <v>0</v>
      </c>
      <c r="O1372" s="283">
        <v>0</v>
      </c>
      <c r="P1372" s="283">
        <v>0</v>
      </c>
      <c r="Q1372" s="284" t="s">
        <v>40</v>
      </c>
      <c r="R1372" s="284" t="s">
        <v>40</v>
      </c>
      <c r="S1372" s="285">
        <v>43830</v>
      </c>
    </row>
    <row r="1373" spans="1:19" s="1" customFormat="1" ht="15.75" customHeight="1">
      <c r="A1373" s="277"/>
      <c r="B1373" s="1145" t="s">
        <v>101</v>
      </c>
      <c r="C1373" s="1145"/>
      <c r="D1373" s="1145"/>
      <c r="E1373" s="1145"/>
      <c r="F1373" s="1145"/>
      <c r="G1373" s="1145"/>
      <c r="H1373" s="301">
        <f>H1374</f>
        <v>1472.1</v>
      </c>
      <c r="I1373" s="301">
        <f t="shared" ref="I1373:P1373" si="301">I1374</f>
        <v>872.9</v>
      </c>
      <c r="J1373" s="301">
        <f t="shared" si="301"/>
        <v>872.9</v>
      </c>
      <c r="K1373" s="301">
        <f t="shared" si="301"/>
        <v>29</v>
      </c>
      <c r="L1373" s="627">
        <f t="shared" si="301"/>
        <v>1648047</v>
      </c>
      <c r="M1373" s="627">
        <f t="shared" si="301"/>
        <v>0</v>
      </c>
      <c r="N1373" s="627">
        <f t="shared" si="301"/>
        <v>0</v>
      </c>
      <c r="O1373" s="627">
        <f t="shared" si="301"/>
        <v>1648047</v>
      </c>
      <c r="P1373" s="627">
        <f t="shared" si="301"/>
        <v>0</v>
      </c>
      <c r="Q1373" s="303" t="s">
        <v>40</v>
      </c>
      <c r="R1373" s="303" t="s">
        <v>40</v>
      </c>
      <c r="S1373" s="285">
        <v>43830</v>
      </c>
    </row>
    <row r="1374" spans="1:19" s="16" customFormat="1" ht="31.5">
      <c r="A1374" s="277" t="e">
        <f>#REF!+1</f>
        <v>#REF!</v>
      </c>
      <c r="B1374" s="278" t="s">
        <v>923</v>
      </c>
      <c r="C1374" s="314">
        <v>1984</v>
      </c>
      <c r="D1374" s="314"/>
      <c r="E1374" s="280" t="s">
        <v>218</v>
      </c>
      <c r="F1374" s="314">
        <v>2</v>
      </c>
      <c r="G1374" s="314">
        <v>3</v>
      </c>
      <c r="H1374" s="315">
        <v>1472.1</v>
      </c>
      <c r="I1374" s="318">
        <v>872.9</v>
      </c>
      <c r="J1374" s="318">
        <v>872.9</v>
      </c>
      <c r="K1374" s="317">
        <v>29</v>
      </c>
      <c r="L1374" s="283">
        <v>1648047</v>
      </c>
      <c r="M1374" s="283">
        <v>0</v>
      </c>
      <c r="N1374" s="283">
        <v>0</v>
      </c>
      <c r="O1374" s="283">
        <f>L1374</f>
        <v>1648047</v>
      </c>
      <c r="P1374" s="283">
        <v>0</v>
      </c>
      <c r="Q1374" s="318">
        <f>L1374/I1374</f>
        <v>1888.0135181578646</v>
      </c>
      <c r="R1374" s="284">
        <v>7920</v>
      </c>
      <c r="S1374" s="285">
        <v>43830</v>
      </c>
    </row>
    <row r="1375" spans="1:19" s="16" customFormat="1" ht="15.75" customHeight="1">
      <c r="A1375" s="277"/>
      <c r="B1375" s="1145" t="s">
        <v>126</v>
      </c>
      <c r="C1375" s="1145"/>
      <c r="D1375" s="1145"/>
      <c r="E1375" s="1145"/>
      <c r="F1375" s="1145"/>
      <c r="G1375" s="1145"/>
      <c r="H1375" s="315">
        <f>H1376</f>
        <v>874.2</v>
      </c>
      <c r="I1375" s="314">
        <f t="shared" ref="I1375:P1375" si="302">I1376</f>
        <v>874.2</v>
      </c>
      <c r="J1375" s="314">
        <f t="shared" si="302"/>
        <v>778.53</v>
      </c>
      <c r="K1375" s="317">
        <f t="shared" si="302"/>
        <v>33</v>
      </c>
      <c r="L1375" s="283">
        <f t="shared" si="302"/>
        <v>2577836</v>
      </c>
      <c r="M1375" s="283">
        <f t="shared" si="302"/>
        <v>0</v>
      </c>
      <c r="N1375" s="283">
        <f t="shared" si="302"/>
        <v>0</v>
      </c>
      <c r="O1375" s="283">
        <f t="shared" si="302"/>
        <v>2577836</v>
      </c>
      <c r="P1375" s="283">
        <f t="shared" si="302"/>
        <v>0</v>
      </c>
      <c r="Q1375" s="318" t="s">
        <v>40</v>
      </c>
      <c r="R1375" s="314" t="s">
        <v>40</v>
      </c>
      <c r="S1375" s="285">
        <v>43830</v>
      </c>
    </row>
    <row r="1376" spans="1:19" s="1" customFormat="1" ht="31.5">
      <c r="A1376" s="277" t="e">
        <f>#REF!+1</f>
        <v>#REF!</v>
      </c>
      <c r="B1376" s="544" t="s">
        <v>811</v>
      </c>
      <c r="C1376" s="277">
        <v>1984</v>
      </c>
      <c r="D1376" s="277"/>
      <c r="E1376" s="280" t="s">
        <v>218</v>
      </c>
      <c r="F1376" s="277">
        <v>2</v>
      </c>
      <c r="G1376" s="277">
        <v>3</v>
      </c>
      <c r="H1376" s="676">
        <v>874.2</v>
      </c>
      <c r="I1376" s="277">
        <v>874.2</v>
      </c>
      <c r="J1376" s="277">
        <v>778.53</v>
      </c>
      <c r="K1376" s="508">
        <v>33</v>
      </c>
      <c r="L1376" s="283">
        <v>2577836</v>
      </c>
      <c r="M1376" s="283">
        <v>0</v>
      </c>
      <c r="N1376" s="283">
        <v>0</v>
      </c>
      <c r="O1376" s="283">
        <v>2577836</v>
      </c>
      <c r="P1376" s="283">
        <v>0</v>
      </c>
      <c r="Q1376" s="318">
        <f>L1376/I1376</f>
        <v>2948.7943262411345</v>
      </c>
      <c r="R1376" s="284">
        <v>7920</v>
      </c>
      <c r="S1376" s="285">
        <v>43830</v>
      </c>
    </row>
    <row r="1377" spans="1:19" s="1" customFormat="1" ht="28.15" customHeight="1">
      <c r="A1377" s="277"/>
      <c r="B1377" s="1145" t="s">
        <v>861</v>
      </c>
      <c r="C1377" s="1145"/>
      <c r="D1377" s="1145"/>
      <c r="E1377" s="1145"/>
      <c r="F1377" s="1145"/>
      <c r="G1377" s="1145"/>
      <c r="H1377" s="676">
        <f>H1378</f>
        <v>3585.3</v>
      </c>
      <c r="I1377" s="676">
        <f t="shared" ref="I1377:P1377" si="303">I1378</f>
        <v>2759</v>
      </c>
      <c r="J1377" s="676">
        <f t="shared" si="303"/>
        <v>1862.5</v>
      </c>
      <c r="K1377" s="676">
        <f t="shared" si="303"/>
        <v>107</v>
      </c>
      <c r="L1377" s="775">
        <f t="shared" si="303"/>
        <v>1908394</v>
      </c>
      <c r="M1377" s="775">
        <f t="shared" si="303"/>
        <v>0</v>
      </c>
      <c r="N1377" s="775">
        <f t="shared" si="303"/>
        <v>0</v>
      </c>
      <c r="O1377" s="775">
        <f t="shared" si="303"/>
        <v>1908394</v>
      </c>
      <c r="P1377" s="775">
        <f t="shared" si="303"/>
        <v>0</v>
      </c>
      <c r="Q1377" s="303" t="s">
        <v>40</v>
      </c>
      <c r="R1377" s="284" t="s">
        <v>40</v>
      </c>
      <c r="S1377" s="285">
        <v>43830</v>
      </c>
    </row>
    <row r="1378" spans="1:19" s="1" customFormat="1" ht="30.6" customHeight="1">
      <c r="A1378" s="277"/>
      <c r="B1378" s="544" t="s">
        <v>862</v>
      </c>
      <c r="C1378" s="277">
        <v>1973</v>
      </c>
      <c r="D1378" s="277"/>
      <c r="E1378" s="280" t="s">
        <v>860</v>
      </c>
      <c r="F1378" s="277">
        <v>5</v>
      </c>
      <c r="G1378" s="277">
        <v>4</v>
      </c>
      <c r="H1378" s="676">
        <v>3585.3</v>
      </c>
      <c r="I1378" s="277">
        <v>2759</v>
      </c>
      <c r="J1378" s="277">
        <v>1862.5</v>
      </c>
      <c r="K1378" s="508">
        <v>107</v>
      </c>
      <c r="L1378" s="283">
        <v>1908394</v>
      </c>
      <c r="M1378" s="283">
        <v>0</v>
      </c>
      <c r="N1378" s="283">
        <v>0</v>
      </c>
      <c r="O1378" s="283">
        <v>1908394</v>
      </c>
      <c r="P1378" s="283">
        <v>0</v>
      </c>
      <c r="Q1378" s="318">
        <f>L1378/I1378</f>
        <v>691.69771656397245</v>
      </c>
      <c r="R1378" s="284">
        <v>7920</v>
      </c>
      <c r="S1378" s="285">
        <v>43830</v>
      </c>
    </row>
    <row r="1379" spans="1:19" s="1" customFormat="1" ht="15.75">
      <c r="A1379" s="87"/>
      <c r="B1379" s="1066" t="s">
        <v>46</v>
      </c>
      <c r="C1379" s="1066"/>
      <c r="D1379" s="1066"/>
      <c r="E1379" s="1066"/>
      <c r="F1379" s="1066"/>
      <c r="G1379" s="1066"/>
      <c r="H1379" s="107">
        <f>H1380</f>
        <v>466.2</v>
      </c>
      <c r="I1379" s="86">
        <f t="shared" ref="I1379:P1379" si="304">I1380</f>
        <v>417</v>
      </c>
      <c r="J1379" s="86">
        <f t="shared" si="304"/>
        <v>370.8</v>
      </c>
      <c r="K1379" s="98">
        <f t="shared" si="304"/>
        <v>17</v>
      </c>
      <c r="L1379" s="92">
        <f t="shared" si="304"/>
        <v>684446</v>
      </c>
      <c r="M1379" s="92">
        <f t="shared" si="304"/>
        <v>0</v>
      </c>
      <c r="N1379" s="92">
        <f t="shared" si="304"/>
        <v>0</v>
      </c>
      <c r="O1379" s="92">
        <f t="shared" si="304"/>
        <v>684446</v>
      </c>
      <c r="P1379" s="92">
        <f t="shared" si="304"/>
        <v>0</v>
      </c>
      <c r="Q1379" s="86" t="s">
        <v>40</v>
      </c>
      <c r="R1379" s="86" t="s">
        <v>40</v>
      </c>
      <c r="S1379" s="285">
        <v>43830</v>
      </c>
    </row>
    <row r="1380" spans="1:19" s="1" customFormat="1" ht="15.75">
      <c r="A1380" s="87"/>
      <c r="B1380" s="1066" t="s">
        <v>102</v>
      </c>
      <c r="C1380" s="1066"/>
      <c r="D1380" s="1066"/>
      <c r="E1380" s="1066"/>
      <c r="F1380" s="1066"/>
      <c r="G1380" s="1066"/>
      <c r="H1380" s="107">
        <f>H1381+H1382</f>
        <v>466.2</v>
      </c>
      <c r="I1380" s="86">
        <f t="shared" ref="I1380:N1380" si="305">I1381+I1382</f>
        <v>417</v>
      </c>
      <c r="J1380" s="86">
        <f t="shared" si="305"/>
        <v>370.8</v>
      </c>
      <c r="K1380" s="98">
        <f t="shared" si="305"/>
        <v>17</v>
      </c>
      <c r="L1380" s="92">
        <f t="shared" si="305"/>
        <v>684446</v>
      </c>
      <c r="M1380" s="92">
        <f t="shared" si="305"/>
        <v>0</v>
      </c>
      <c r="N1380" s="92">
        <f t="shared" si="305"/>
        <v>0</v>
      </c>
      <c r="O1380" s="92">
        <f>O1381+O1382</f>
        <v>684446</v>
      </c>
      <c r="P1380" s="92">
        <f>P1381+P1382</f>
        <v>0</v>
      </c>
      <c r="Q1380" s="86" t="s">
        <v>40</v>
      </c>
      <c r="R1380" s="86" t="s">
        <v>40</v>
      </c>
      <c r="S1380" s="285">
        <v>43830</v>
      </c>
    </row>
    <row r="1381" spans="1:19" s="1" customFormat="1" ht="15.75">
      <c r="A1381" s="277" t="e">
        <f>A1376+1</f>
        <v>#REF!</v>
      </c>
      <c r="B1381" s="278" t="s">
        <v>409</v>
      </c>
      <c r="C1381" s="279">
        <v>1959</v>
      </c>
      <c r="D1381" s="304"/>
      <c r="E1381" s="280" t="s">
        <v>222</v>
      </c>
      <c r="F1381" s="279">
        <v>2</v>
      </c>
      <c r="G1381" s="279">
        <v>2</v>
      </c>
      <c r="H1381" s="281">
        <v>466.2</v>
      </c>
      <c r="I1381" s="305">
        <v>417</v>
      </c>
      <c r="J1381" s="279">
        <v>370.8</v>
      </c>
      <c r="K1381" s="282">
        <v>17</v>
      </c>
      <c r="L1381" s="283">
        <v>684446</v>
      </c>
      <c r="M1381" s="283">
        <v>0</v>
      </c>
      <c r="N1381" s="283">
        <v>0</v>
      </c>
      <c r="O1381" s="283">
        <v>684446</v>
      </c>
      <c r="P1381" s="283">
        <v>0</v>
      </c>
      <c r="Q1381" s="284">
        <f>L1381/I1381</f>
        <v>1641.3573141486811</v>
      </c>
      <c r="R1381" s="284">
        <v>7920</v>
      </c>
      <c r="S1381" s="285">
        <v>43830</v>
      </c>
    </row>
    <row r="1382" spans="1:19" s="1" customFormat="1" ht="15.75">
      <c r="A1382" s="87"/>
      <c r="B1382" s="225"/>
      <c r="C1382" s="88"/>
      <c r="D1382" s="130"/>
      <c r="E1382" s="89"/>
      <c r="F1382" s="88"/>
      <c r="G1382" s="88"/>
      <c r="H1382" s="90"/>
      <c r="I1382" s="88"/>
      <c r="J1382" s="88"/>
      <c r="K1382" s="91"/>
      <c r="L1382" s="92"/>
      <c r="M1382" s="92"/>
      <c r="N1382" s="92"/>
      <c r="O1382" s="92"/>
      <c r="P1382" s="92"/>
      <c r="Q1382" s="93"/>
      <c r="R1382" s="93"/>
      <c r="S1382" s="285"/>
    </row>
    <row r="1383" spans="1:19" s="1" customFormat="1" ht="15.75">
      <c r="A1383" s="87"/>
      <c r="B1383" s="1066" t="s">
        <v>47</v>
      </c>
      <c r="C1383" s="1066"/>
      <c r="D1383" s="1066"/>
      <c r="E1383" s="1066"/>
      <c r="F1383" s="1066"/>
      <c r="G1383" s="1066"/>
      <c r="H1383" s="107">
        <f>H1384</f>
        <v>930</v>
      </c>
      <c r="I1383" s="86">
        <f t="shared" ref="I1383:P1384" si="306">I1384</f>
        <v>829.5</v>
      </c>
      <c r="J1383" s="86">
        <f t="shared" si="306"/>
        <v>829.5</v>
      </c>
      <c r="K1383" s="98">
        <f t="shared" si="306"/>
        <v>45</v>
      </c>
      <c r="L1383" s="92">
        <f t="shared" si="306"/>
        <v>2602688</v>
      </c>
      <c r="M1383" s="92">
        <f>M1384</f>
        <v>0</v>
      </c>
      <c r="N1383" s="92">
        <f t="shared" si="306"/>
        <v>0</v>
      </c>
      <c r="O1383" s="92">
        <f t="shared" si="306"/>
        <v>2602688</v>
      </c>
      <c r="P1383" s="92">
        <f t="shared" si="306"/>
        <v>0</v>
      </c>
      <c r="Q1383" s="86" t="s">
        <v>40</v>
      </c>
      <c r="R1383" s="93" t="s">
        <v>40</v>
      </c>
      <c r="S1383" s="285">
        <v>43830</v>
      </c>
    </row>
    <row r="1384" spans="1:19" s="1" customFormat="1" ht="22.9" customHeight="1">
      <c r="A1384" s="277"/>
      <c r="B1384" s="1143" t="s">
        <v>103</v>
      </c>
      <c r="C1384" s="1143"/>
      <c r="D1384" s="1143"/>
      <c r="E1384" s="1143"/>
      <c r="F1384" s="1143"/>
      <c r="G1384" s="1143"/>
      <c r="H1384" s="301">
        <f>H1385</f>
        <v>930</v>
      </c>
      <c r="I1384" s="301">
        <f t="shared" si="306"/>
        <v>829.5</v>
      </c>
      <c r="J1384" s="301">
        <f t="shared" si="306"/>
        <v>829.5</v>
      </c>
      <c r="K1384" s="301">
        <f t="shared" si="306"/>
        <v>45</v>
      </c>
      <c r="L1384" s="627">
        <f t="shared" si="306"/>
        <v>2602688</v>
      </c>
      <c r="M1384" s="627">
        <f t="shared" si="306"/>
        <v>0</v>
      </c>
      <c r="N1384" s="627">
        <f t="shared" si="306"/>
        <v>0</v>
      </c>
      <c r="O1384" s="627">
        <f t="shared" si="306"/>
        <v>2602688</v>
      </c>
      <c r="P1384" s="627">
        <f t="shared" si="306"/>
        <v>0</v>
      </c>
      <c r="Q1384" s="303" t="s">
        <v>40</v>
      </c>
      <c r="R1384" s="303" t="s">
        <v>40</v>
      </c>
      <c r="S1384" s="285">
        <v>43830</v>
      </c>
    </row>
    <row r="1385" spans="1:19" s="1" customFormat="1" ht="31.5">
      <c r="A1385" s="277">
        <f>A1382+1</f>
        <v>1</v>
      </c>
      <c r="B1385" s="288" t="s">
        <v>880</v>
      </c>
      <c r="C1385" s="488" t="s">
        <v>881</v>
      </c>
      <c r="D1385" s="488"/>
      <c r="E1385" s="280" t="s">
        <v>218</v>
      </c>
      <c r="F1385" s="279">
        <v>2</v>
      </c>
      <c r="G1385" s="279">
        <v>3</v>
      </c>
      <c r="H1385" s="503">
        <v>930</v>
      </c>
      <c r="I1385" s="342">
        <v>829.5</v>
      </c>
      <c r="J1385" s="342">
        <v>829.5</v>
      </c>
      <c r="K1385" s="282">
        <v>45</v>
      </c>
      <c r="L1385" s="283">
        <v>2602688</v>
      </c>
      <c r="M1385" s="283">
        <v>0</v>
      </c>
      <c r="N1385" s="283">
        <v>0</v>
      </c>
      <c r="O1385" s="627">
        <v>2602688</v>
      </c>
      <c r="P1385" s="283">
        <v>0</v>
      </c>
      <c r="Q1385" s="342">
        <f>L1385/I1385</f>
        <v>3137.658830620856</v>
      </c>
      <c r="R1385" s="284">
        <v>7920</v>
      </c>
      <c r="S1385" s="285">
        <v>43830</v>
      </c>
    </row>
    <row r="1386" spans="1:19" s="1" customFormat="1" ht="15.75">
      <c r="A1386" s="87"/>
      <c r="B1386" s="1066" t="s">
        <v>48</v>
      </c>
      <c r="C1386" s="1066"/>
      <c r="D1386" s="1066"/>
      <c r="E1386" s="1066"/>
      <c r="F1386" s="1066"/>
      <c r="G1386" s="1066"/>
      <c r="H1386" s="107">
        <f t="shared" ref="H1386:P1386" si="307">H1387+H1389</f>
        <v>2141.5</v>
      </c>
      <c r="I1386" s="86">
        <f t="shared" si="307"/>
        <v>1540.6000000000001</v>
      </c>
      <c r="J1386" s="86">
        <f t="shared" si="307"/>
        <v>1540.6000000000001</v>
      </c>
      <c r="K1386" s="98">
        <f t="shared" si="307"/>
        <v>43</v>
      </c>
      <c r="L1386" s="92">
        <f t="shared" si="307"/>
        <v>2656416</v>
      </c>
      <c r="M1386" s="92">
        <f t="shared" si="307"/>
        <v>0</v>
      </c>
      <c r="N1386" s="92">
        <f t="shared" si="307"/>
        <v>414501.02</v>
      </c>
      <c r="O1386" s="92">
        <f t="shared" si="307"/>
        <v>2241914.98</v>
      </c>
      <c r="P1386" s="92">
        <f t="shared" si="307"/>
        <v>0</v>
      </c>
      <c r="Q1386" s="86" t="s">
        <v>40</v>
      </c>
      <c r="R1386" s="93" t="s">
        <v>40</v>
      </c>
      <c r="S1386" s="285">
        <v>43830</v>
      </c>
    </row>
    <row r="1387" spans="1:19" s="1" customFormat="1" ht="15.75">
      <c r="A1387" s="277"/>
      <c r="B1387" s="1143" t="s">
        <v>107</v>
      </c>
      <c r="C1387" s="1143"/>
      <c r="D1387" s="1143"/>
      <c r="E1387" s="1143"/>
      <c r="F1387" s="1143"/>
      <c r="G1387" s="1143"/>
      <c r="H1387" s="301">
        <f>H1388</f>
        <v>1876</v>
      </c>
      <c r="I1387" s="301">
        <f t="shared" ref="I1387:P1387" si="308">I1388</f>
        <v>1297.7</v>
      </c>
      <c r="J1387" s="301">
        <f t="shared" si="308"/>
        <v>1297.7</v>
      </c>
      <c r="K1387" s="301">
        <f t="shared" si="308"/>
        <v>41</v>
      </c>
      <c r="L1387" s="301">
        <f t="shared" si="308"/>
        <v>2102577</v>
      </c>
      <c r="M1387" s="301">
        <f t="shared" si="308"/>
        <v>0</v>
      </c>
      <c r="N1387" s="303">
        <f t="shared" si="308"/>
        <v>0</v>
      </c>
      <c r="O1387" s="301">
        <f t="shared" si="308"/>
        <v>2102577</v>
      </c>
      <c r="P1387" s="602">
        <f t="shared" si="308"/>
        <v>0</v>
      </c>
      <c r="Q1387" s="303" t="s">
        <v>40</v>
      </c>
      <c r="R1387" s="303" t="s">
        <v>40</v>
      </c>
      <c r="S1387" s="285">
        <v>43830</v>
      </c>
    </row>
    <row r="1388" spans="1:19" s="1" customFormat="1" ht="31.5">
      <c r="A1388" s="277" t="e">
        <f>#REF!+1</f>
        <v>#REF!</v>
      </c>
      <c r="B1388" s="505" t="s">
        <v>774</v>
      </c>
      <c r="C1388" s="598">
        <v>1986</v>
      </c>
      <c r="D1388" s="598"/>
      <c r="E1388" s="280" t="s">
        <v>218</v>
      </c>
      <c r="F1388" s="598">
        <v>3</v>
      </c>
      <c r="G1388" s="598">
        <v>2</v>
      </c>
      <c r="H1388" s="599">
        <v>1876</v>
      </c>
      <c r="I1388" s="600">
        <v>1297.7</v>
      </c>
      <c r="J1388" s="600">
        <v>1297.7</v>
      </c>
      <c r="K1388" s="601">
        <v>41</v>
      </c>
      <c r="L1388" s="283">
        <v>2102577</v>
      </c>
      <c r="M1388" s="283">
        <v>0</v>
      </c>
      <c r="N1388" s="283">
        <v>0</v>
      </c>
      <c r="O1388" s="283">
        <f>L1388</f>
        <v>2102577</v>
      </c>
      <c r="P1388" s="283">
        <v>0</v>
      </c>
      <c r="Q1388" s="303">
        <f>L1388/I1388</f>
        <v>1620.2334900208059</v>
      </c>
      <c r="R1388" s="284">
        <v>7920</v>
      </c>
      <c r="S1388" s="285">
        <v>43830</v>
      </c>
    </row>
    <row r="1389" spans="1:19" s="1" customFormat="1" ht="15.75" customHeight="1">
      <c r="A1389" s="87"/>
      <c r="B1389" s="1068" t="s">
        <v>104</v>
      </c>
      <c r="C1389" s="1068"/>
      <c r="D1389" s="1068"/>
      <c r="E1389" s="1068"/>
      <c r="F1389" s="1068"/>
      <c r="G1389" s="1068"/>
      <c r="H1389" s="107">
        <f>H1390</f>
        <v>265.5</v>
      </c>
      <c r="I1389" s="86">
        <f t="shared" ref="I1389:P1389" si="309">I1390</f>
        <v>242.9</v>
      </c>
      <c r="J1389" s="86">
        <f t="shared" si="309"/>
        <v>242.9</v>
      </c>
      <c r="K1389" s="98">
        <f t="shared" si="309"/>
        <v>2</v>
      </c>
      <c r="L1389" s="92">
        <f t="shared" si="309"/>
        <v>553839</v>
      </c>
      <c r="M1389" s="92">
        <f t="shared" si="309"/>
        <v>0</v>
      </c>
      <c r="N1389" s="92">
        <f t="shared" si="309"/>
        <v>414501.02</v>
      </c>
      <c r="O1389" s="92">
        <f t="shared" si="309"/>
        <v>139337.98000000001</v>
      </c>
      <c r="P1389" s="92">
        <f t="shared" si="309"/>
        <v>0</v>
      </c>
      <c r="Q1389" s="86" t="s">
        <v>40</v>
      </c>
      <c r="R1389" s="93" t="s">
        <v>40</v>
      </c>
      <c r="S1389" s="285">
        <v>43830</v>
      </c>
    </row>
    <row r="1390" spans="1:19" s="1" customFormat="1" ht="31.5">
      <c r="A1390" s="87" t="e">
        <f>#REF!+1</f>
        <v>#REF!</v>
      </c>
      <c r="B1390" s="225" t="s">
        <v>458</v>
      </c>
      <c r="C1390" s="88">
        <v>1953</v>
      </c>
      <c r="D1390" s="88"/>
      <c r="E1390" s="89" t="s">
        <v>218</v>
      </c>
      <c r="F1390" s="88">
        <v>2</v>
      </c>
      <c r="G1390" s="88">
        <v>1</v>
      </c>
      <c r="H1390" s="90">
        <v>265.5</v>
      </c>
      <c r="I1390" s="88">
        <v>242.9</v>
      </c>
      <c r="J1390" s="88">
        <v>242.9</v>
      </c>
      <c r="K1390" s="91">
        <v>2</v>
      </c>
      <c r="L1390" s="92">
        <f>N1390+O1390</f>
        <v>553839</v>
      </c>
      <c r="M1390" s="92">
        <v>0</v>
      </c>
      <c r="N1390" s="92">
        <v>414501.02</v>
      </c>
      <c r="O1390" s="92">
        <v>139337.98000000001</v>
      </c>
      <c r="P1390" s="92">
        <v>0</v>
      </c>
      <c r="Q1390" s="93">
        <f>L1390/I1390</f>
        <v>2280.1111568546726</v>
      </c>
      <c r="R1390" s="93">
        <v>6774</v>
      </c>
      <c r="S1390" s="285">
        <v>43830</v>
      </c>
    </row>
    <row r="1391" spans="1:19" s="1" customFormat="1" ht="15.75">
      <c r="A1391" s="87"/>
      <c r="B1391" s="1066" t="s">
        <v>49</v>
      </c>
      <c r="C1391" s="1066"/>
      <c r="D1391" s="1066"/>
      <c r="E1391" s="1066"/>
      <c r="F1391" s="1066"/>
      <c r="G1391" s="1066"/>
      <c r="H1391" s="107">
        <f>H1392+H1395+H1398+H1400</f>
        <v>5557.7</v>
      </c>
      <c r="I1391" s="107">
        <f t="shared" ref="I1391:P1391" si="310">I1392+I1395+I1398+I1400</f>
        <v>5067.3</v>
      </c>
      <c r="J1391" s="107">
        <f t="shared" si="310"/>
        <v>4765</v>
      </c>
      <c r="K1391" s="97">
        <f t="shared" si="310"/>
        <v>274</v>
      </c>
      <c r="L1391" s="92">
        <f t="shared" si="310"/>
        <v>7081131</v>
      </c>
      <c r="M1391" s="92">
        <f t="shared" si="310"/>
        <v>0</v>
      </c>
      <c r="N1391" s="92">
        <f t="shared" si="310"/>
        <v>59804</v>
      </c>
      <c r="O1391" s="92">
        <f t="shared" si="310"/>
        <v>7021327</v>
      </c>
      <c r="P1391" s="92">
        <f t="shared" si="310"/>
        <v>0</v>
      </c>
      <c r="Q1391" s="86" t="s">
        <v>40</v>
      </c>
      <c r="R1391" s="93" t="s">
        <v>40</v>
      </c>
      <c r="S1391" s="285">
        <v>43830</v>
      </c>
    </row>
    <row r="1392" spans="1:19" s="1" customFormat="1" ht="15.75">
      <c r="A1392" s="87"/>
      <c r="B1392" s="1066" t="s">
        <v>105</v>
      </c>
      <c r="C1392" s="1066"/>
      <c r="D1392" s="1066"/>
      <c r="E1392" s="1066"/>
      <c r="F1392" s="1066"/>
      <c r="G1392" s="1066"/>
      <c r="H1392" s="107">
        <f t="shared" ref="H1392:P1392" si="311">H1393+H1394</f>
        <v>637.1</v>
      </c>
      <c r="I1392" s="97">
        <f t="shared" si="311"/>
        <v>415.1</v>
      </c>
      <c r="J1392" s="97">
        <f t="shared" si="311"/>
        <v>415.1</v>
      </c>
      <c r="K1392" s="98">
        <f t="shared" si="311"/>
        <v>24</v>
      </c>
      <c r="L1392" s="92">
        <f t="shared" si="311"/>
        <v>1551685</v>
      </c>
      <c r="M1392" s="92">
        <f t="shared" si="311"/>
        <v>0</v>
      </c>
      <c r="N1392" s="92">
        <f t="shared" si="311"/>
        <v>0</v>
      </c>
      <c r="O1392" s="92">
        <f t="shared" si="311"/>
        <v>1551685</v>
      </c>
      <c r="P1392" s="92">
        <f t="shared" si="311"/>
        <v>0</v>
      </c>
      <c r="Q1392" s="86" t="s">
        <v>40</v>
      </c>
      <c r="R1392" s="86" t="s">
        <v>40</v>
      </c>
      <c r="S1392" s="285">
        <v>43830</v>
      </c>
    </row>
    <row r="1393" spans="1:34" s="1" customFormat="1" ht="31.5">
      <c r="A1393" s="277" t="e">
        <f>A1390+1</f>
        <v>#REF!</v>
      </c>
      <c r="B1393" s="299" t="s">
        <v>483</v>
      </c>
      <c r="C1393" s="300">
        <v>1965</v>
      </c>
      <c r="D1393" s="300"/>
      <c r="E1393" s="280" t="s">
        <v>218</v>
      </c>
      <c r="F1393" s="300">
        <v>2</v>
      </c>
      <c r="G1393" s="300">
        <v>2</v>
      </c>
      <c r="H1393" s="301">
        <v>637.1</v>
      </c>
      <c r="I1393" s="300">
        <v>415.1</v>
      </c>
      <c r="J1393" s="300">
        <v>415.1</v>
      </c>
      <c r="K1393" s="302">
        <v>24</v>
      </c>
      <c r="L1393" s="283">
        <v>1551685</v>
      </c>
      <c r="M1393" s="283">
        <v>0</v>
      </c>
      <c r="N1393" s="283">
        <v>0</v>
      </c>
      <c r="O1393" s="283">
        <f>L1393</f>
        <v>1551685</v>
      </c>
      <c r="P1393" s="283">
        <v>0</v>
      </c>
      <c r="Q1393" s="303">
        <f>L1393/I1393</f>
        <v>3738.0992531920019</v>
      </c>
      <c r="R1393" s="284">
        <v>7920</v>
      </c>
      <c r="S1393" s="285">
        <v>43830</v>
      </c>
    </row>
    <row r="1394" spans="1:34" s="1" customFormat="1" ht="15.75">
      <c r="A1394" s="87"/>
      <c r="B1394" s="226"/>
      <c r="C1394" s="97"/>
      <c r="D1394" s="97"/>
      <c r="E1394" s="89"/>
      <c r="F1394" s="97"/>
      <c r="G1394" s="97"/>
      <c r="H1394" s="107"/>
      <c r="I1394" s="86"/>
      <c r="J1394" s="97"/>
      <c r="K1394" s="98"/>
      <c r="L1394" s="92"/>
      <c r="M1394" s="92"/>
      <c r="N1394" s="92"/>
      <c r="O1394" s="92"/>
      <c r="P1394" s="92"/>
      <c r="Q1394" s="86"/>
      <c r="R1394" s="93"/>
      <c r="S1394" s="285"/>
    </row>
    <row r="1395" spans="1:34" s="1" customFormat="1" ht="15.75" customHeight="1">
      <c r="A1395" s="87"/>
      <c r="B1395" s="1068" t="s">
        <v>188</v>
      </c>
      <c r="C1395" s="1068"/>
      <c r="D1395" s="1068"/>
      <c r="E1395" s="1068"/>
      <c r="F1395" s="1068"/>
      <c r="G1395" s="1068"/>
      <c r="H1395" s="107">
        <f t="shared" ref="H1395:P1395" si="312">H1396+H1397</f>
        <v>1595.1</v>
      </c>
      <c r="I1395" s="107">
        <f t="shared" si="312"/>
        <v>1431.3</v>
      </c>
      <c r="J1395" s="107">
        <f t="shared" si="312"/>
        <v>1431.3</v>
      </c>
      <c r="K1395" s="97">
        <f t="shared" si="312"/>
        <v>87</v>
      </c>
      <c r="L1395" s="92">
        <f t="shared" si="312"/>
        <v>1905804</v>
      </c>
      <c r="M1395" s="92">
        <f t="shared" si="312"/>
        <v>0</v>
      </c>
      <c r="N1395" s="92">
        <f t="shared" si="312"/>
        <v>59804</v>
      </c>
      <c r="O1395" s="92">
        <f t="shared" si="312"/>
        <v>1846000</v>
      </c>
      <c r="P1395" s="92">
        <f t="shared" si="312"/>
        <v>0</v>
      </c>
      <c r="Q1395" s="86" t="s">
        <v>40</v>
      </c>
      <c r="R1395" s="93" t="s">
        <v>40</v>
      </c>
      <c r="S1395" s="285">
        <v>43830</v>
      </c>
    </row>
    <row r="1396" spans="1:34" s="1" customFormat="1" ht="15.75">
      <c r="A1396" s="87">
        <f>A1394+1</f>
        <v>1</v>
      </c>
      <c r="B1396" s="227" t="s">
        <v>410</v>
      </c>
      <c r="C1396" s="232">
        <v>1968</v>
      </c>
      <c r="D1396" s="97"/>
      <c r="E1396" s="89" t="s">
        <v>219</v>
      </c>
      <c r="F1396" s="97">
        <v>2</v>
      </c>
      <c r="G1396" s="97">
        <v>3</v>
      </c>
      <c r="H1396" s="107">
        <v>798.1</v>
      </c>
      <c r="I1396" s="86">
        <v>714.4</v>
      </c>
      <c r="J1396" s="97">
        <v>714.4</v>
      </c>
      <c r="K1396" s="98">
        <v>42</v>
      </c>
      <c r="L1396" s="92">
        <v>958459</v>
      </c>
      <c r="M1396" s="92">
        <v>0</v>
      </c>
      <c r="N1396" s="92">
        <v>35459</v>
      </c>
      <c r="O1396" s="92">
        <v>923000</v>
      </c>
      <c r="P1396" s="92">
        <v>0</v>
      </c>
      <c r="Q1396" s="86">
        <f>L1396/I1396</f>
        <v>1341.6279395296754</v>
      </c>
      <c r="R1396" s="93">
        <v>6774</v>
      </c>
      <c r="S1396" s="285">
        <v>43830</v>
      </c>
    </row>
    <row r="1397" spans="1:34" s="1" customFormat="1" ht="15.75">
      <c r="A1397" s="87">
        <f>A1396+1</f>
        <v>2</v>
      </c>
      <c r="B1397" s="226" t="s">
        <v>411</v>
      </c>
      <c r="C1397" s="97">
        <v>1970</v>
      </c>
      <c r="D1397" s="97"/>
      <c r="E1397" s="89" t="s">
        <v>219</v>
      </c>
      <c r="F1397" s="97">
        <v>2</v>
      </c>
      <c r="G1397" s="97">
        <v>3</v>
      </c>
      <c r="H1397" s="107">
        <v>797</v>
      </c>
      <c r="I1397" s="86">
        <v>716.9</v>
      </c>
      <c r="J1397" s="97">
        <v>716.9</v>
      </c>
      <c r="K1397" s="98">
        <v>45</v>
      </c>
      <c r="L1397" s="92">
        <v>947345</v>
      </c>
      <c r="M1397" s="92">
        <v>0</v>
      </c>
      <c r="N1397" s="92">
        <v>24345</v>
      </c>
      <c r="O1397" s="92">
        <v>923000</v>
      </c>
      <c r="P1397" s="92">
        <v>0</v>
      </c>
      <c r="Q1397" s="86">
        <f>L1397/I1397</f>
        <v>1321.4465057888131</v>
      </c>
      <c r="R1397" s="93">
        <v>6774</v>
      </c>
      <c r="S1397" s="285">
        <v>43830</v>
      </c>
    </row>
    <row r="1398" spans="1:34" s="1" customFormat="1" ht="15.75">
      <c r="A1398" s="87"/>
      <c r="B1398" s="1066" t="s">
        <v>189</v>
      </c>
      <c r="C1398" s="1066"/>
      <c r="D1398" s="1066"/>
      <c r="E1398" s="1066"/>
      <c r="F1398" s="1066"/>
      <c r="G1398" s="1066"/>
      <c r="H1398" s="107">
        <f>H1399</f>
        <v>506.9</v>
      </c>
      <c r="I1398" s="107">
        <f t="shared" ref="I1398:P1398" si="313">I1399</f>
        <v>402.3</v>
      </c>
      <c r="J1398" s="107">
        <f t="shared" si="313"/>
        <v>402.3</v>
      </c>
      <c r="K1398" s="97">
        <f t="shared" si="313"/>
        <v>7</v>
      </c>
      <c r="L1398" s="92">
        <f t="shared" si="313"/>
        <v>820660</v>
      </c>
      <c r="M1398" s="92">
        <f t="shared" si="313"/>
        <v>0</v>
      </c>
      <c r="N1398" s="92">
        <f t="shared" si="313"/>
        <v>0</v>
      </c>
      <c r="O1398" s="92">
        <f t="shared" si="313"/>
        <v>820660</v>
      </c>
      <c r="P1398" s="92">
        <f t="shared" si="313"/>
        <v>0</v>
      </c>
      <c r="Q1398" s="86" t="s">
        <v>40</v>
      </c>
      <c r="R1398" s="93" t="s">
        <v>40</v>
      </c>
      <c r="S1398" s="285">
        <v>43830</v>
      </c>
    </row>
    <row r="1399" spans="1:34" s="1" customFormat="1" ht="31.5">
      <c r="A1399" s="87">
        <f>A1397+1</f>
        <v>3</v>
      </c>
      <c r="B1399" s="226" t="s">
        <v>412</v>
      </c>
      <c r="C1399" s="97">
        <v>1958</v>
      </c>
      <c r="D1399" s="97"/>
      <c r="E1399" s="89" t="s">
        <v>218</v>
      </c>
      <c r="F1399" s="97">
        <v>2</v>
      </c>
      <c r="G1399" s="97">
        <v>1</v>
      </c>
      <c r="H1399" s="107">
        <v>506.9</v>
      </c>
      <c r="I1399" s="86">
        <v>402.3</v>
      </c>
      <c r="J1399" s="97">
        <v>402.3</v>
      </c>
      <c r="K1399" s="98">
        <v>7</v>
      </c>
      <c r="L1399" s="92">
        <v>820660</v>
      </c>
      <c r="M1399" s="92">
        <v>0</v>
      </c>
      <c r="N1399" s="92">
        <v>0</v>
      </c>
      <c r="O1399" s="92">
        <f>L1399</f>
        <v>820660</v>
      </c>
      <c r="P1399" s="92">
        <v>0</v>
      </c>
      <c r="Q1399" s="86">
        <f>L1399/I1399</f>
        <v>2039.9204573701218</v>
      </c>
      <c r="R1399" s="93">
        <v>6774</v>
      </c>
      <c r="S1399" s="285">
        <v>43830</v>
      </c>
    </row>
    <row r="1400" spans="1:34" s="1" customFormat="1" ht="15.75">
      <c r="A1400" s="87"/>
      <c r="B1400" s="1066" t="s">
        <v>131</v>
      </c>
      <c r="C1400" s="1066"/>
      <c r="D1400" s="1066"/>
      <c r="E1400" s="1066"/>
      <c r="F1400" s="1066"/>
      <c r="G1400" s="1066"/>
      <c r="H1400" s="107">
        <f>H1401</f>
        <v>2818.6</v>
      </c>
      <c r="I1400" s="107">
        <f t="shared" ref="I1400:P1400" si="314">I1401</f>
        <v>2818.6</v>
      </c>
      <c r="J1400" s="107">
        <f t="shared" si="314"/>
        <v>2516.3000000000002</v>
      </c>
      <c r="K1400" s="107">
        <f t="shared" si="314"/>
        <v>156</v>
      </c>
      <c r="L1400" s="496">
        <f t="shared" si="314"/>
        <v>2802982</v>
      </c>
      <c r="M1400" s="496">
        <f t="shared" si="314"/>
        <v>0</v>
      </c>
      <c r="N1400" s="496">
        <f t="shared" si="314"/>
        <v>0</v>
      </c>
      <c r="O1400" s="496">
        <f t="shared" si="314"/>
        <v>2802982</v>
      </c>
      <c r="P1400" s="496">
        <f t="shared" si="314"/>
        <v>0</v>
      </c>
      <c r="Q1400" s="86" t="s">
        <v>40</v>
      </c>
      <c r="R1400" s="93" t="s">
        <v>40</v>
      </c>
      <c r="S1400" s="285">
        <v>43830</v>
      </c>
    </row>
    <row r="1401" spans="1:34" s="48" customFormat="1">
      <c r="A1401" s="87">
        <f>A1399+1</f>
        <v>4</v>
      </c>
      <c r="B1401" s="136" t="s">
        <v>662</v>
      </c>
      <c r="C1401" s="110">
        <v>1991</v>
      </c>
      <c r="D1401" s="110"/>
      <c r="E1401" s="89" t="s">
        <v>219</v>
      </c>
      <c r="F1401" s="110">
        <v>5</v>
      </c>
      <c r="G1401" s="110">
        <v>4</v>
      </c>
      <c r="H1401" s="110">
        <v>2818.6</v>
      </c>
      <c r="I1401" s="110">
        <v>2818.6</v>
      </c>
      <c r="J1401" s="110">
        <v>2516.3000000000002</v>
      </c>
      <c r="K1401" s="110">
        <v>156</v>
      </c>
      <c r="L1401" s="92">
        <v>2802982</v>
      </c>
      <c r="M1401" s="92">
        <v>0</v>
      </c>
      <c r="N1401" s="92">
        <v>0</v>
      </c>
      <c r="O1401" s="92">
        <v>2802982</v>
      </c>
      <c r="P1401" s="92">
        <v>0</v>
      </c>
      <c r="Q1401" s="103">
        <f>L1401/I1401</f>
        <v>994.45895125239485</v>
      </c>
      <c r="R1401" s="93">
        <v>7920</v>
      </c>
      <c r="S1401" s="285">
        <v>43830</v>
      </c>
    </row>
    <row r="1402" spans="1:34" s="48" customFormat="1">
      <c r="A1402" s="87"/>
      <c r="B1402" s="118"/>
      <c r="C1402" s="110"/>
      <c r="D1402" s="110"/>
      <c r="E1402" s="89"/>
      <c r="F1402" s="110"/>
      <c r="G1402" s="110"/>
      <c r="H1402" s="110"/>
      <c r="I1402" s="110"/>
      <c r="J1402" s="110"/>
      <c r="K1402" s="110"/>
      <c r="L1402" s="92"/>
      <c r="M1402" s="92"/>
      <c r="N1402" s="92"/>
      <c r="O1402" s="92"/>
      <c r="P1402" s="92"/>
      <c r="Q1402" s="103"/>
      <c r="R1402" s="93"/>
      <c r="S1402" s="285"/>
    </row>
    <row r="1403" spans="1:34" s="1" customFormat="1" ht="15.75">
      <c r="A1403" s="87"/>
      <c r="B1403" s="1066" t="s">
        <v>50</v>
      </c>
      <c r="C1403" s="1066"/>
      <c r="D1403" s="1066"/>
      <c r="E1403" s="1066"/>
      <c r="F1403" s="1066"/>
      <c r="G1403" s="1066"/>
      <c r="H1403" s="86">
        <f>H1404</f>
        <v>7969.19</v>
      </c>
      <c r="I1403" s="86">
        <f t="shared" ref="I1403:P1403" si="315">I1404</f>
        <v>7333.2000000000007</v>
      </c>
      <c r="J1403" s="86">
        <f t="shared" si="315"/>
        <v>6468</v>
      </c>
      <c r="K1403" s="98">
        <f t="shared" si="315"/>
        <v>301</v>
      </c>
      <c r="L1403" s="92">
        <f t="shared" si="315"/>
        <v>13218958</v>
      </c>
      <c r="M1403" s="92">
        <f t="shared" si="315"/>
        <v>0</v>
      </c>
      <c r="N1403" s="92">
        <f t="shared" si="315"/>
        <v>0</v>
      </c>
      <c r="O1403" s="92">
        <f t="shared" si="315"/>
        <v>13218958</v>
      </c>
      <c r="P1403" s="92">
        <f t="shared" si="315"/>
        <v>0</v>
      </c>
      <c r="Q1403" s="86" t="s">
        <v>40</v>
      </c>
      <c r="R1403" s="93" t="s">
        <v>40</v>
      </c>
      <c r="S1403" s="285">
        <v>43830</v>
      </c>
    </row>
    <row r="1404" spans="1:34" s="14" customFormat="1" ht="29.45" customHeight="1">
      <c r="A1404" s="87"/>
      <c r="B1404" s="1066" t="s">
        <v>106</v>
      </c>
      <c r="C1404" s="1066"/>
      <c r="D1404" s="1066"/>
      <c r="E1404" s="1066"/>
      <c r="F1404" s="1066"/>
      <c r="G1404" s="1066"/>
      <c r="H1404" s="353">
        <f t="shared" ref="H1404:P1404" si="316">SUM(H1405:H1413)</f>
        <v>7969.19</v>
      </c>
      <c r="I1404" s="353">
        <f t="shared" si="316"/>
        <v>7333.2000000000007</v>
      </c>
      <c r="J1404" s="353">
        <f t="shared" si="316"/>
        <v>6468</v>
      </c>
      <c r="K1404" s="579">
        <f t="shared" si="316"/>
        <v>301</v>
      </c>
      <c r="L1404" s="92">
        <f t="shared" si="316"/>
        <v>13218958</v>
      </c>
      <c r="M1404" s="92">
        <f t="shared" si="316"/>
        <v>0</v>
      </c>
      <c r="N1404" s="92">
        <f t="shared" si="316"/>
        <v>0</v>
      </c>
      <c r="O1404" s="92">
        <f t="shared" si="316"/>
        <v>13218958</v>
      </c>
      <c r="P1404" s="92">
        <f t="shared" si="316"/>
        <v>0</v>
      </c>
      <c r="Q1404" s="86" t="s">
        <v>40</v>
      </c>
      <c r="R1404" s="93" t="s">
        <v>40</v>
      </c>
      <c r="S1404" s="285">
        <v>43830</v>
      </c>
    </row>
    <row r="1405" spans="1:34" s="51" customFormat="1" ht="31.5">
      <c r="A1405" s="87">
        <f>A1402+1</f>
        <v>1</v>
      </c>
      <c r="B1405" s="137" t="s">
        <v>852</v>
      </c>
      <c r="C1405" s="138">
        <v>1971</v>
      </c>
      <c r="D1405" s="139"/>
      <c r="E1405" s="89" t="s">
        <v>218</v>
      </c>
      <c r="F1405" s="139">
        <v>2</v>
      </c>
      <c r="G1405" s="710">
        <v>2</v>
      </c>
      <c r="H1405" s="712">
        <v>447.2</v>
      </c>
      <c r="I1405" s="711">
        <v>397.2</v>
      </c>
      <c r="J1405" s="711">
        <v>297.2</v>
      </c>
      <c r="K1405" s="711">
        <v>25</v>
      </c>
      <c r="L1405" s="578">
        <v>1024592</v>
      </c>
      <c r="M1405" s="92">
        <f>SUM(M1406:M1413)</f>
        <v>0</v>
      </c>
      <c r="N1405" s="92">
        <f>SUM(N1406:N1413)</f>
        <v>0</v>
      </c>
      <c r="O1405" s="92">
        <f t="shared" ref="O1405:O1413" si="317">L1405</f>
        <v>1024592</v>
      </c>
      <c r="P1405" s="92">
        <f>SUM(P1406:P1413)</f>
        <v>0</v>
      </c>
      <c r="Q1405" s="140">
        <f t="shared" ref="Q1405:Q1413" si="318">L1405/I1405</f>
        <v>2579.5367573011076</v>
      </c>
      <c r="R1405" s="93">
        <v>7920</v>
      </c>
      <c r="S1405" s="285">
        <v>43830</v>
      </c>
      <c r="T1405" s="38"/>
      <c r="U1405" s="38"/>
      <c r="V1405" s="38"/>
      <c r="W1405" s="38"/>
      <c r="X1405" s="38"/>
      <c r="Y1405" s="38"/>
      <c r="Z1405" s="38"/>
      <c r="AA1405" s="38"/>
      <c r="AB1405" s="38"/>
      <c r="AC1405" s="38"/>
      <c r="AD1405" s="38"/>
      <c r="AE1405" s="38"/>
      <c r="AF1405" s="38"/>
      <c r="AG1405" s="38"/>
      <c r="AH1405" s="38"/>
    </row>
    <row r="1406" spans="1:34" s="38" customFormat="1" ht="31.5">
      <c r="A1406" s="87">
        <f t="shared" ref="A1406:A1412" si="319">A1405+1</f>
        <v>2</v>
      </c>
      <c r="B1406" s="137" t="s">
        <v>853</v>
      </c>
      <c r="C1406" s="138">
        <v>1977</v>
      </c>
      <c r="D1406" s="139"/>
      <c r="E1406" s="89" t="s">
        <v>218</v>
      </c>
      <c r="F1406" s="139">
        <v>3</v>
      </c>
      <c r="G1406" s="710">
        <v>2</v>
      </c>
      <c r="H1406" s="712">
        <v>1046.69</v>
      </c>
      <c r="I1406" s="711">
        <v>987.6</v>
      </c>
      <c r="J1406" s="711">
        <v>684.2</v>
      </c>
      <c r="K1406" s="711">
        <v>49</v>
      </c>
      <c r="L1406" s="578">
        <v>1366296</v>
      </c>
      <c r="M1406" s="92">
        <f>SUM(M1407:M1415)</f>
        <v>0</v>
      </c>
      <c r="N1406" s="92">
        <f>SUM(N1407:N1415)</f>
        <v>0</v>
      </c>
      <c r="O1406" s="92">
        <f t="shared" si="317"/>
        <v>1366296</v>
      </c>
      <c r="P1406" s="92">
        <f>SUM(P1407:P1415)</f>
        <v>0</v>
      </c>
      <c r="Q1406" s="140">
        <f t="shared" si="318"/>
        <v>1383.4507897934386</v>
      </c>
      <c r="R1406" s="93">
        <v>7920</v>
      </c>
      <c r="S1406" s="285">
        <v>43830</v>
      </c>
    </row>
    <row r="1407" spans="1:34" s="38" customFormat="1" ht="31.5">
      <c r="A1407" s="87">
        <f t="shared" si="319"/>
        <v>3</v>
      </c>
      <c r="B1407" s="137" t="s">
        <v>854</v>
      </c>
      <c r="C1407" s="138">
        <v>1973</v>
      </c>
      <c r="D1407" s="139"/>
      <c r="E1407" s="89" t="s">
        <v>218</v>
      </c>
      <c r="F1407" s="139">
        <v>2</v>
      </c>
      <c r="G1407" s="710">
        <v>2</v>
      </c>
      <c r="H1407" s="712">
        <v>585</v>
      </c>
      <c r="I1407" s="711">
        <v>536.6</v>
      </c>
      <c r="J1407" s="711">
        <v>536.6</v>
      </c>
      <c r="K1407" s="711">
        <v>21</v>
      </c>
      <c r="L1407" s="578">
        <v>1544253</v>
      </c>
      <c r="M1407" s="92">
        <f>SUM(M1408:M1414)</f>
        <v>0</v>
      </c>
      <c r="N1407" s="92">
        <f>SUM(N1408:N1414)</f>
        <v>0</v>
      </c>
      <c r="O1407" s="92">
        <f t="shared" si="317"/>
        <v>1544253</v>
      </c>
      <c r="P1407" s="92">
        <f>SUM(P1408:P1414)</f>
        <v>0</v>
      </c>
      <c r="Q1407" s="140">
        <f t="shared" si="318"/>
        <v>2877.8475587029443</v>
      </c>
      <c r="R1407" s="93">
        <v>7920</v>
      </c>
      <c r="S1407" s="285">
        <v>43830</v>
      </c>
    </row>
    <row r="1408" spans="1:34" s="38" customFormat="1" ht="31.5">
      <c r="A1408" s="87">
        <f t="shared" si="319"/>
        <v>4</v>
      </c>
      <c r="B1408" s="137" t="s">
        <v>855</v>
      </c>
      <c r="C1408" s="138">
        <v>1967</v>
      </c>
      <c r="D1408" s="139"/>
      <c r="E1408" s="89" t="s">
        <v>218</v>
      </c>
      <c r="F1408" s="139">
        <v>2</v>
      </c>
      <c r="G1408" s="710">
        <v>2</v>
      </c>
      <c r="H1408" s="712">
        <v>391.2</v>
      </c>
      <c r="I1408" s="711">
        <v>347.2</v>
      </c>
      <c r="J1408" s="711">
        <v>171</v>
      </c>
      <c r="K1408" s="711">
        <v>26</v>
      </c>
      <c r="L1408" s="578">
        <v>1119066</v>
      </c>
      <c r="M1408" s="92">
        <f>SUM(M1409:M1413)</f>
        <v>0</v>
      </c>
      <c r="N1408" s="92">
        <f>SUM(N1409:N1413)</f>
        <v>0</v>
      </c>
      <c r="O1408" s="92">
        <f t="shared" si="317"/>
        <v>1119066</v>
      </c>
      <c r="P1408" s="92">
        <f>SUM(P1409:P1413)</f>
        <v>0</v>
      </c>
      <c r="Q1408" s="140">
        <f t="shared" si="318"/>
        <v>3223.1163594470049</v>
      </c>
      <c r="R1408" s="93">
        <v>7920</v>
      </c>
      <c r="S1408" s="285">
        <v>43830</v>
      </c>
    </row>
    <row r="1409" spans="1:19" s="38" customFormat="1" ht="31.5">
      <c r="A1409" s="87">
        <f t="shared" si="319"/>
        <v>5</v>
      </c>
      <c r="B1409" s="137" t="s">
        <v>856</v>
      </c>
      <c r="C1409" s="138">
        <v>1968</v>
      </c>
      <c r="D1409" s="139"/>
      <c r="E1409" s="89" t="s">
        <v>218</v>
      </c>
      <c r="F1409" s="139">
        <v>2</v>
      </c>
      <c r="G1409" s="710">
        <v>2</v>
      </c>
      <c r="H1409" s="712">
        <v>799.4</v>
      </c>
      <c r="I1409" s="711">
        <v>739.4</v>
      </c>
      <c r="J1409" s="711">
        <v>739.4</v>
      </c>
      <c r="K1409" s="711">
        <v>12</v>
      </c>
      <c r="L1409" s="578">
        <v>2060671</v>
      </c>
      <c r="M1409" s="92">
        <f>SUM(M1411:M1416)</f>
        <v>0</v>
      </c>
      <c r="N1409" s="92">
        <f>SUM(N1411:N1416)</f>
        <v>0</v>
      </c>
      <c r="O1409" s="92">
        <f t="shared" si="317"/>
        <v>2060671</v>
      </c>
      <c r="P1409" s="92">
        <f>SUM(P1411:P1416)</f>
        <v>0</v>
      </c>
      <c r="Q1409" s="140">
        <f t="shared" si="318"/>
        <v>2786.9502299161481</v>
      </c>
      <c r="R1409" s="93">
        <v>7920</v>
      </c>
      <c r="S1409" s="285">
        <v>43830</v>
      </c>
    </row>
    <row r="1410" spans="1:19" s="38" customFormat="1" ht="33.6" customHeight="1">
      <c r="A1410" s="87">
        <f t="shared" si="319"/>
        <v>6</v>
      </c>
      <c r="B1410" s="137" t="s">
        <v>850</v>
      </c>
      <c r="C1410" s="138">
        <v>1962</v>
      </c>
      <c r="D1410" s="139"/>
      <c r="E1410" s="89" t="s">
        <v>218</v>
      </c>
      <c r="F1410" s="139">
        <v>2</v>
      </c>
      <c r="G1410" s="710">
        <v>2</v>
      </c>
      <c r="H1410" s="712">
        <v>296.2</v>
      </c>
      <c r="I1410" s="711">
        <v>274.8</v>
      </c>
      <c r="J1410" s="711">
        <v>184.1</v>
      </c>
      <c r="K1410" s="711">
        <v>22</v>
      </c>
      <c r="L1410" s="578">
        <v>1226134</v>
      </c>
      <c r="M1410" s="92">
        <f>SUM(M1411:M1417)</f>
        <v>0</v>
      </c>
      <c r="N1410" s="92">
        <f>SUM(N1411:N1417)</f>
        <v>0</v>
      </c>
      <c r="O1410" s="92">
        <f t="shared" si="317"/>
        <v>1226134</v>
      </c>
      <c r="P1410" s="92">
        <f>SUM(P1411:P1417)</f>
        <v>0</v>
      </c>
      <c r="Q1410" s="140">
        <f t="shared" si="318"/>
        <v>4461.9141193595342</v>
      </c>
      <c r="R1410" s="93">
        <v>7920</v>
      </c>
      <c r="S1410" s="285">
        <v>43830</v>
      </c>
    </row>
    <row r="1411" spans="1:19" s="38" customFormat="1" ht="23.45" customHeight="1">
      <c r="A1411" s="87">
        <f t="shared" si="319"/>
        <v>7</v>
      </c>
      <c r="B1411" s="137" t="s">
        <v>978</v>
      </c>
      <c r="C1411" s="138">
        <v>1973</v>
      </c>
      <c r="D1411" s="139"/>
      <c r="E1411" s="89" t="s">
        <v>661</v>
      </c>
      <c r="F1411" s="139">
        <v>2</v>
      </c>
      <c r="G1411" s="710">
        <v>2</v>
      </c>
      <c r="H1411" s="712">
        <v>578.1</v>
      </c>
      <c r="I1411" s="711">
        <v>532.1</v>
      </c>
      <c r="J1411" s="711">
        <v>431</v>
      </c>
      <c r="K1411" s="711">
        <v>26</v>
      </c>
      <c r="L1411" s="578">
        <v>1002285</v>
      </c>
      <c r="M1411" s="92">
        <v>0</v>
      </c>
      <c r="N1411" s="92">
        <v>0</v>
      </c>
      <c r="O1411" s="92">
        <f t="shared" si="317"/>
        <v>1002285</v>
      </c>
      <c r="P1411" s="92">
        <v>0</v>
      </c>
      <c r="Q1411" s="140">
        <f t="shared" si="318"/>
        <v>1883.6402931779739</v>
      </c>
      <c r="R1411" s="93">
        <v>7920</v>
      </c>
      <c r="S1411" s="285">
        <v>43830</v>
      </c>
    </row>
    <row r="1412" spans="1:19" s="38" customFormat="1" ht="31.5">
      <c r="A1412" s="87">
        <f t="shared" si="319"/>
        <v>8</v>
      </c>
      <c r="B1412" s="137" t="s">
        <v>979</v>
      </c>
      <c r="C1412" s="138">
        <v>1960</v>
      </c>
      <c r="D1412" s="139"/>
      <c r="E1412" s="89" t="s">
        <v>218</v>
      </c>
      <c r="F1412" s="139">
        <v>1</v>
      </c>
      <c r="G1412" s="710">
        <v>2</v>
      </c>
      <c r="H1412" s="712">
        <v>246.9</v>
      </c>
      <c r="I1412" s="711">
        <v>225.4</v>
      </c>
      <c r="J1412" s="711">
        <v>225.4</v>
      </c>
      <c r="K1412" s="711">
        <v>16</v>
      </c>
      <c r="L1412" s="578">
        <v>1296378</v>
      </c>
      <c r="M1412" s="92">
        <f>SUM(M1413:M1418)</f>
        <v>0</v>
      </c>
      <c r="N1412" s="92">
        <f>SUM(N1413:N1418)</f>
        <v>0</v>
      </c>
      <c r="O1412" s="92">
        <f t="shared" si="317"/>
        <v>1296378</v>
      </c>
      <c r="P1412" s="92">
        <f>SUM(P1413:P1418)</f>
        <v>0</v>
      </c>
      <c r="Q1412" s="140">
        <f t="shared" si="318"/>
        <v>5751.4551907719606</v>
      </c>
      <c r="R1412" s="93">
        <v>7920</v>
      </c>
      <c r="S1412" s="285">
        <v>43830</v>
      </c>
    </row>
    <row r="1413" spans="1:19" s="38" customFormat="1" ht="31.5">
      <c r="A1413" s="87">
        <v>9</v>
      </c>
      <c r="B1413" s="137" t="s">
        <v>857</v>
      </c>
      <c r="C1413" s="138">
        <v>1980</v>
      </c>
      <c r="D1413" s="139"/>
      <c r="E1413" s="89" t="s">
        <v>218</v>
      </c>
      <c r="F1413" s="139">
        <v>5</v>
      </c>
      <c r="G1413" s="710">
        <v>4</v>
      </c>
      <c r="H1413" s="712">
        <v>3578.5</v>
      </c>
      <c r="I1413" s="711">
        <v>3292.9</v>
      </c>
      <c r="J1413" s="711">
        <v>3199.1</v>
      </c>
      <c r="K1413" s="711">
        <v>104</v>
      </c>
      <c r="L1413" s="578">
        <v>2579283</v>
      </c>
      <c r="M1413" s="92">
        <f>SUM(M1414:M1418)</f>
        <v>0</v>
      </c>
      <c r="N1413" s="92">
        <f>SUM(N1414:N1418)</f>
        <v>0</v>
      </c>
      <c r="O1413" s="92">
        <f t="shared" si="317"/>
        <v>2579283</v>
      </c>
      <c r="P1413" s="92">
        <f>SUM(P1414:P1418)</f>
        <v>0</v>
      </c>
      <c r="Q1413" s="140">
        <f t="shared" si="318"/>
        <v>783.28616113456224</v>
      </c>
      <c r="R1413" s="93">
        <v>7920</v>
      </c>
      <c r="S1413" s="285">
        <v>43830</v>
      </c>
    </row>
    <row r="1414" spans="1:19" s="1" customFormat="1" ht="15.75">
      <c r="A1414" s="87"/>
      <c r="B1414" s="1066" t="s">
        <v>51</v>
      </c>
      <c r="C1414" s="1066"/>
      <c r="D1414" s="1066"/>
      <c r="E1414" s="1066"/>
      <c r="F1414" s="1066"/>
      <c r="G1414" s="1066"/>
      <c r="H1414" s="682">
        <f>H1415</f>
        <v>8727.8000000000011</v>
      </c>
      <c r="I1414" s="708">
        <f t="shared" ref="I1414:P1414" si="320">I1415</f>
        <v>8727.8000000000011</v>
      </c>
      <c r="J1414" s="708">
        <f t="shared" si="320"/>
        <v>7641.2</v>
      </c>
      <c r="K1414" s="694">
        <f t="shared" si="320"/>
        <v>328</v>
      </c>
      <c r="L1414" s="92">
        <f t="shared" si="320"/>
        <v>10822736</v>
      </c>
      <c r="M1414" s="92">
        <f t="shared" si="320"/>
        <v>0</v>
      </c>
      <c r="N1414" s="92">
        <f t="shared" si="320"/>
        <v>0</v>
      </c>
      <c r="O1414" s="92">
        <f t="shared" si="320"/>
        <v>10822736</v>
      </c>
      <c r="P1414" s="92">
        <f t="shared" si="320"/>
        <v>0</v>
      </c>
      <c r="Q1414" s="86" t="s">
        <v>40</v>
      </c>
      <c r="R1414" s="86" t="s">
        <v>40</v>
      </c>
      <c r="S1414" s="285">
        <v>43830</v>
      </c>
    </row>
    <row r="1415" spans="1:19" s="1" customFormat="1" ht="21.6" customHeight="1">
      <c r="A1415" s="87"/>
      <c r="B1415" s="1066" t="s">
        <v>108</v>
      </c>
      <c r="C1415" s="1066"/>
      <c r="D1415" s="1066"/>
      <c r="E1415" s="1066"/>
      <c r="F1415" s="1109"/>
      <c r="G1415" s="1109"/>
      <c r="H1415" s="536">
        <f t="shared" ref="H1415:P1415" si="321">SUM(H1416:H1422)</f>
        <v>8727.8000000000011</v>
      </c>
      <c r="I1415" s="823">
        <f t="shared" si="321"/>
        <v>8727.8000000000011</v>
      </c>
      <c r="J1415" s="823">
        <f t="shared" si="321"/>
        <v>7641.2</v>
      </c>
      <c r="K1415" s="579">
        <f t="shared" si="321"/>
        <v>328</v>
      </c>
      <c r="L1415" s="92">
        <f t="shared" si="321"/>
        <v>10822736</v>
      </c>
      <c r="M1415" s="92">
        <f t="shared" si="321"/>
        <v>0</v>
      </c>
      <c r="N1415" s="92">
        <f t="shared" si="321"/>
        <v>0</v>
      </c>
      <c r="O1415" s="92">
        <f t="shared" si="321"/>
        <v>10822736</v>
      </c>
      <c r="P1415" s="92">
        <f t="shared" si="321"/>
        <v>0</v>
      </c>
      <c r="Q1415" s="86" t="s">
        <v>40</v>
      </c>
      <c r="R1415" s="86" t="s">
        <v>40</v>
      </c>
      <c r="S1415" s="285">
        <v>43830</v>
      </c>
    </row>
    <row r="1416" spans="1:19" s="39" customFormat="1" ht="31.5">
      <c r="A1416" s="87">
        <f>A1413+1</f>
        <v>10</v>
      </c>
      <c r="B1416" s="223" t="s">
        <v>1014</v>
      </c>
      <c r="C1416" s="97">
        <v>1969</v>
      </c>
      <c r="D1416" s="97"/>
      <c r="E1416" s="534" t="s">
        <v>218</v>
      </c>
      <c r="F1416" s="828">
        <v>2</v>
      </c>
      <c r="G1416" s="828">
        <v>2</v>
      </c>
      <c r="H1416" s="829">
        <v>502.9</v>
      </c>
      <c r="I1416" s="829">
        <v>502.9</v>
      </c>
      <c r="J1416" s="829">
        <v>344.2</v>
      </c>
      <c r="K1416" s="828">
        <v>23</v>
      </c>
      <c r="L1416" s="578">
        <f>O1416</f>
        <v>1488075</v>
      </c>
      <c r="M1416" s="92">
        <v>0</v>
      </c>
      <c r="N1416" s="92">
        <v>0</v>
      </c>
      <c r="O1416" s="92">
        <v>1488075</v>
      </c>
      <c r="P1416" s="92">
        <v>0</v>
      </c>
      <c r="Q1416" s="142">
        <f t="shared" ref="Q1416:Q1425" si="322">L1416/I1416</f>
        <v>2958.9878703519589</v>
      </c>
      <c r="R1416" s="93">
        <v>7920</v>
      </c>
      <c r="S1416" s="285">
        <v>43830</v>
      </c>
    </row>
    <row r="1417" spans="1:19" s="39" customFormat="1" ht="31.5">
      <c r="A1417" s="87">
        <f t="shared" ref="A1417:A1422" si="323">A1416+1</f>
        <v>11</v>
      </c>
      <c r="B1417" s="223" t="s">
        <v>486</v>
      </c>
      <c r="C1417" s="97">
        <v>1969</v>
      </c>
      <c r="D1417" s="97"/>
      <c r="E1417" s="534" t="s">
        <v>218</v>
      </c>
      <c r="F1417" s="828">
        <v>2</v>
      </c>
      <c r="G1417" s="828">
        <v>2</v>
      </c>
      <c r="H1417" s="829">
        <v>502</v>
      </c>
      <c r="I1417" s="829">
        <v>502</v>
      </c>
      <c r="J1417" s="829">
        <v>340.9</v>
      </c>
      <c r="K1417" s="828">
        <v>15</v>
      </c>
      <c r="L1417" s="578">
        <f t="shared" ref="L1417:L1422" si="324">O1417</f>
        <v>1488068</v>
      </c>
      <c r="M1417" s="92">
        <v>0</v>
      </c>
      <c r="N1417" s="92">
        <v>0</v>
      </c>
      <c r="O1417" s="92">
        <v>1488068</v>
      </c>
      <c r="P1417" s="92">
        <v>0</v>
      </c>
      <c r="Q1417" s="142">
        <f t="shared" si="322"/>
        <v>2964.2788844621514</v>
      </c>
      <c r="R1417" s="93">
        <v>7920</v>
      </c>
      <c r="S1417" s="285">
        <v>43830</v>
      </c>
    </row>
    <row r="1418" spans="1:19" s="39" customFormat="1" ht="31.5">
      <c r="A1418" s="87">
        <f t="shared" si="323"/>
        <v>12</v>
      </c>
      <c r="B1418" s="223" t="s">
        <v>1015</v>
      </c>
      <c r="C1418" s="97">
        <v>1964</v>
      </c>
      <c r="D1418" s="97"/>
      <c r="E1418" s="534" t="s">
        <v>218</v>
      </c>
      <c r="F1418" s="828">
        <v>2</v>
      </c>
      <c r="G1418" s="828">
        <v>1</v>
      </c>
      <c r="H1418" s="829">
        <v>303.89999999999998</v>
      </c>
      <c r="I1418" s="829">
        <v>303.89999999999998</v>
      </c>
      <c r="J1418" s="829">
        <v>209.5</v>
      </c>
      <c r="K1418" s="828">
        <v>9</v>
      </c>
      <c r="L1418" s="578">
        <f t="shared" si="324"/>
        <v>931593</v>
      </c>
      <c r="M1418" s="92">
        <v>0</v>
      </c>
      <c r="N1418" s="92">
        <v>0</v>
      </c>
      <c r="O1418" s="92">
        <v>931593</v>
      </c>
      <c r="P1418" s="92">
        <v>0</v>
      </c>
      <c r="Q1418" s="142">
        <f t="shared" si="322"/>
        <v>3065.4590325765057</v>
      </c>
      <c r="R1418" s="93">
        <v>7920</v>
      </c>
      <c r="S1418" s="285">
        <v>43830</v>
      </c>
    </row>
    <row r="1419" spans="1:19" s="1" customFormat="1" ht="31.5">
      <c r="A1419" s="87">
        <f t="shared" si="323"/>
        <v>13</v>
      </c>
      <c r="B1419" s="143" t="s">
        <v>1016</v>
      </c>
      <c r="C1419" s="144" t="s">
        <v>190</v>
      </c>
      <c r="D1419" s="143"/>
      <c r="E1419" s="534" t="s">
        <v>218</v>
      </c>
      <c r="F1419" s="828">
        <v>1</v>
      </c>
      <c r="G1419" s="828">
        <v>2</v>
      </c>
      <c r="H1419" s="829">
        <v>113.3</v>
      </c>
      <c r="I1419" s="829">
        <v>113.3</v>
      </c>
      <c r="J1419" s="829">
        <v>89.2</v>
      </c>
      <c r="K1419" s="828">
        <v>6</v>
      </c>
      <c r="L1419" s="578">
        <f t="shared" si="324"/>
        <v>741660</v>
      </c>
      <c r="M1419" s="92">
        <v>0</v>
      </c>
      <c r="N1419" s="92">
        <v>0</v>
      </c>
      <c r="O1419" s="92">
        <v>741660</v>
      </c>
      <c r="P1419" s="92">
        <v>0</v>
      </c>
      <c r="Q1419" s="142">
        <f t="shared" si="322"/>
        <v>6545.9841129744045</v>
      </c>
      <c r="R1419" s="93">
        <v>7920</v>
      </c>
      <c r="S1419" s="285">
        <v>43830</v>
      </c>
    </row>
    <row r="1420" spans="1:19" s="1" customFormat="1" ht="31.5">
      <c r="A1420" s="87">
        <f t="shared" si="323"/>
        <v>14</v>
      </c>
      <c r="B1420" s="223" t="s">
        <v>1017</v>
      </c>
      <c r="C1420" s="97">
        <v>1972</v>
      </c>
      <c r="D1420" s="97"/>
      <c r="E1420" s="534" t="s">
        <v>218</v>
      </c>
      <c r="F1420" s="828">
        <v>3</v>
      </c>
      <c r="G1420" s="828">
        <v>2</v>
      </c>
      <c r="H1420" s="829">
        <v>979.7</v>
      </c>
      <c r="I1420" s="829">
        <v>979.7</v>
      </c>
      <c r="J1420" s="829">
        <v>648</v>
      </c>
      <c r="K1420" s="828">
        <v>42</v>
      </c>
      <c r="L1420" s="578">
        <f t="shared" si="324"/>
        <v>1854480</v>
      </c>
      <c r="M1420" s="92">
        <v>0</v>
      </c>
      <c r="N1420" s="92">
        <v>0</v>
      </c>
      <c r="O1420" s="92">
        <v>1854480</v>
      </c>
      <c r="P1420" s="92">
        <v>0</v>
      </c>
      <c r="Q1420" s="142">
        <f t="shared" si="322"/>
        <v>1892.9059916300907</v>
      </c>
      <c r="R1420" s="93">
        <v>7920</v>
      </c>
      <c r="S1420" s="285">
        <v>43830</v>
      </c>
    </row>
    <row r="1421" spans="1:19" s="18" customFormat="1" ht="31.5">
      <c r="A1421" s="87">
        <f t="shared" si="323"/>
        <v>15</v>
      </c>
      <c r="B1421" s="226" t="s">
        <v>1018</v>
      </c>
      <c r="C1421" s="97">
        <v>1972</v>
      </c>
      <c r="D1421" s="97"/>
      <c r="E1421" s="534" t="s">
        <v>218</v>
      </c>
      <c r="F1421" s="828">
        <v>5</v>
      </c>
      <c r="G1421" s="828">
        <v>4</v>
      </c>
      <c r="H1421" s="829">
        <v>3178.4</v>
      </c>
      <c r="I1421" s="829">
        <v>3178.4</v>
      </c>
      <c r="J1421" s="829">
        <v>3099.9</v>
      </c>
      <c r="K1421" s="828">
        <v>121</v>
      </c>
      <c r="L1421" s="578">
        <f t="shared" si="324"/>
        <v>2161845</v>
      </c>
      <c r="M1421" s="92">
        <v>0</v>
      </c>
      <c r="N1421" s="92">
        <v>0</v>
      </c>
      <c r="O1421" s="92">
        <v>2161845</v>
      </c>
      <c r="P1421" s="92">
        <v>0</v>
      </c>
      <c r="Q1421" s="142">
        <f t="shared" si="322"/>
        <v>680.16769443745284</v>
      </c>
      <c r="R1421" s="93">
        <v>7920</v>
      </c>
      <c r="S1421" s="285">
        <v>43830</v>
      </c>
    </row>
    <row r="1422" spans="1:19" s="1" customFormat="1" ht="31.5">
      <c r="A1422" s="87">
        <f t="shared" si="323"/>
        <v>16</v>
      </c>
      <c r="B1422" s="223" t="s">
        <v>1019</v>
      </c>
      <c r="C1422" s="97">
        <v>1977</v>
      </c>
      <c r="D1422" s="97"/>
      <c r="E1422" s="534" t="s">
        <v>218</v>
      </c>
      <c r="F1422" s="828">
        <v>5</v>
      </c>
      <c r="G1422" s="828">
        <v>4</v>
      </c>
      <c r="H1422" s="829">
        <v>3147.6</v>
      </c>
      <c r="I1422" s="829">
        <v>3147.6</v>
      </c>
      <c r="J1422" s="829">
        <v>2909.5</v>
      </c>
      <c r="K1422" s="828">
        <v>112</v>
      </c>
      <c r="L1422" s="578">
        <f t="shared" si="324"/>
        <v>2157015</v>
      </c>
      <c r="M1422" s="92">
        <v>0</v>
      </c>
      <c r="N1422" s="92">
        <v>0</v>
      </c>
      <c r="O1422" s="92">
        <v>2157015</v>
      </c>
      <c r="P1422" s="92">
        <v>0</v>
      </c>
      <c r="Q1422" s="142">
        <f t="shared" si="322"/>
        <v>685.28879146016016</v>
      </c>
      <c r="R1422" s="93">
        <v>7920</v>
      </c>
      <c r="S1422" s="285">
        <v>43830</v>
      </c>
    </row>
    <row r="1423" spans="1:19" s="1" customFormat="1" ht="21.6" customHeight="1">
      <c r="A1423" s="277"/>
      <c r="B1423" s="1143" t="s">
        <v>882</v>
      </c>
      <c r="C1423" s="1143"/>
      <c r="D1423" s="1143"/>
      <c r="E1423" s="1143"/>
      <c r="F1423" s="1146"/>
      <c r="G1423" s="1146"/>
      <c r="H1423" s="844">
        <f>H1424+H1425</f>
        <v>1097.9000000000001</v>
      </c>
      <c r="I1423" s="844">
        <f t="shared" ref="I1423:P1423" si="325">I1424+I1425</f>
        <v>1097.9000000000001</v>
      </c>
      <c r="J1423" s="844">
        <f t="shared" si="325"/>
        <v>848</v>
      </c>
      <c r="K1423" s="845">
        <f t="shared" si="325"/>
        <v>43</v>
      </c>
      <c r="L1423" s="846">
        <f t="shared" si="325"/>
        <v>1917878</v>
      </c>
      <c r="M1423" s="846">
        <f t="shared" si="325"/>
        <v>0</v>
      </c>
      <c r="N1423" s="846">
        <f t="shared" si="325"/>
        <v>0</v>
      </c>
      <c r="O1423" s="846">
        <f t="shared" si="325"/>
        <v>1917878</v>
      </c>
      <c r="P1423" s="846">
        <f t="shared" si="325"/>
        <v>0</v>
      </c>
      <c r="Q1423" s="303" t="s">
        <v>40</v>
      </c>
      <c r="R1423" s="303" t="s">
        <v>40</v>
      </c>
      <c r="S1423" s="285">
        <v>43830</v>
      </c>
    </row>
    <row r="1424" spans="1:19" s="1" customFormat="1" ht="37.15" customHeight="1">
      <c r="A1424" s="277"/>
      <c r="B1424" s="847" t="s">
        <v>886</v>
      </c>
      <c r="C1424" s="848">
        <v>1968</v>
      </c>
      <c r="D1424" s="847"/>
      <c r="E1424" s="280" t="s">
        <v>218</v>
      </c>
      <c r="F1424" s="848">
        <v>2</v>
      </c>
      <c r="G1424" s="848">
        <v>2</v>
      </c>
      <c r="H1424" s="849">
        <v>581.4</v>
      </c>
      <c r="I1424" s="849">
        <v>581.4</v>
      </c>
      <c r="J1424" s="848">
        <v>532</v>
      </c>
      <c r="K1424" s="850">
        <v>21</v>
      </c>
      <c r="L1424" s="283">
        <v>1625233</v>
      </c>
      <c r="M1424" s="283">
        <v>0</v>
      </c>
      <c r="N1424" s="283">
        <v>0</v>
      </c>
      <c r="O1424" s="283">
        <v>1625233</v>
      </c>
      <c r="P1424" s="283">
        <v>0</v>
      </c>
      <c r="Q1424" s="851">
        <f t="shared" si="322"/>
        <v>2795.3783969728242</v>
      </c>
      <c r="R1424" s="284">
        <v>7920</v>
      </c>
      <c r="S1424" s="285">
        <v>43830</v>
      </c>
    </row>
    <row r="1425" spans="1:34" s="1" customFormat="1" ht="24.6" customHeight="1">
      <c r="A1425" s="277"/>
      <c r="B1425" s="847" t="s">
        <v>884</v>
      </c>
      <c r="C1425" s="848">
        <v>1948</v>
      </c>
      <c r="D1425" s="847"/>
      <c r="E1425" s="280" t="s">
        <v>221</v>
      </c>
      <c r="F1425" s="848">
        <v>2</v>
      </c>
      <c r="G1425" s="848">
        <v>2</v>
      </c>
      <c r="H1425" s="849">
        <v>516.5</v>
      </c>
      <c r="I1425" s="849">
        <v>516.5</v>
      </c>
      <c r="J1425" s="848">
        <v>316</v>
      </c>
      <c r="K1425" s="850">
        <v>22</v>
      </c>
      <c r="L1425" s="283">
        <v>292645</v>
      </c>
      <c r="M1425" s="283">
        <v>0</v>
      </c>
      <c r="N1425" s="283">
        <v>0</v>
      </c>
      <c r="O1425" s="283">
        <v>292645</v>
      </c>
      <c r="P1425" s="283">
        <v>0</v>
      </c>
      <c r="Q1425" s="851">
        <f t="shared" si="322"/>
        <v>566.59244917715387</v>
      </c>
      <c r="R1425" s="284">
        <v>7920</v>
      </c>
      <c r="S1425" s="285">
        <v>43830</v>
      </c>
    </row>
    <row r="1426" spans="1:34" s="1" customFormat="1" ht="15.75">
      <c r="A1426" s="87"/>
      <c r="B1426" s="1066" t="s">
        <v>52</v>
      </c>
      <c r="C1426" s="1066"/>
      <c r="D1426" s="1066"/>
      <c r="E1426" s="1066"/>
      <c r="F1426" s="1066"/>
      <c r="G1426" s="1066"/>
      <c r="H1426" s="107">
        <f t="shared" ref="H1426:P1426" si="326">H1430+H1427+H1432</f>
        <v>2403.5</v>
      </c>
      <c r="I1426" s="107">
        <f t="shared" si="326"/>
        <v>2340.1</v>
      </c>
      <c r="J1426" s="107">
        <f t="shared" si="326"/>
        <v>1698.8</v>
      </c>
      <c r="K1426" s="97">
        <f t="shared" si="326"/>
        <v>83</v>
      </c>
      <c r="L1426" s="92">
        <f t="shared" si="326"/>
        <v>3677572</v>
      </c>
      <c r="M1426" s="92">
        <f t="shared" si="326"/>
        <v>0</v>
      </c>
      <c r="N1426" s="92">
        <f t="shared" si="326"/>
        <v>92056</v>
      </c>
      <c r="O1426" s="92">
        <f t="shared" si="326"/>
        <v>3585516</v>
      </c>
      <c r="P1426" s="92">
        <f t="shared" si="326"/>
        <v>0</v>
      </c>
      <c r="Q1426" s="86" t="s">
        <v>40</v>
      </c>
      <c r="R1426" s="86" t="s">
        <v>40</v>
      </c>
      <c r="S1426" s="285">
        <v>43830</v>
      </c>
    </row>
    <row r="1427" spans="1:34" s="1" customFormat="1" ht="15.75">
      <c r="A1427" s="277"/>
      <c r="B1427" s="1143" t="s">
        <v>130</v>
      </c>
      <c r="C1427" s="1143"/>
      <c r="D1427" s="1143"/>
      <c r="E1427" s="1143"/>
      <c r="F1427" s="1143"/>
      <c r="G1427" s="1143"/>
      <c r="H1427" s="301">
        <f>H1428</f>
        <v>747.7</v>
      </c>
      <c r="I1427" s="301">
        <f t="shared" ref="I1427:P1427" si="327">I1428</f>
        <v>747.7</v>
      </c>
      <c r="J1427" s="301">
        <f t="shared" si="327"/>
        <v>505</v>
      </c>
      <c r="K1427" s="301">
        <f t="shared" si="327"/>
        <v>18</v>
      </c>
      <c r="L1427" s="627">
        <f t="shared" si="327"/>
        <v>2385226</v>
      </c>
      <c r="M1427" s="627">
        <f t="shared" si="327"/>
        <v>0</v>
      </c>
      <c r="N1427" s="627">
        <f t="shared" si="327"/>
        <v>0</v>
      </c>
      <c r="O1427" s="627">
        <f t="shared" si="327"/>
        <v>2385226</v>
      </c>
      <c r="P1427" s="627">
        <f t="shared" si="327"/>
        <v>0</v>
      </c>
      <c r="Q1427" s="303" t="s">
        <v>40</v>
      </c>
      <c r="R1427" s="303" t="s">
        <v>40</v>
      </c>
      <c r="S1427" s="285">
        <v>43830</v>
      </c>
    </row>
    <row r="1428" spans="1:34" s="33" customFormat="1" ht="31.5">
      <c r="A1428" s="277" t="e">
        <f>#REF!+1</f>
        <v>#REF!</v>
      </c>
      <c r="B1428" s="278" t="s">
        <v>674</v>
      </c>
      <c r="C1428" s="314">
        <v>1957</v>
      </c>
      <c r="D1428" s="314"/>
      <c r="E1428" s="280" t="s">
        <v>218</v>
      </c>
      <c r="F1428" s="314">
        <v>2</v>
      </c>
      <c r="G1428" s="314">
        <v>2</v>
      </c>
      <c r="H1428" s="314">
        <v>747.7</v>
      </c>
      <c r="I1428" s="314">
        <v>747.7</v>
      </c>
      <c r="J1428" s="314">
        <v>505</v>
      </c>
      <c r="K1428" s="314">
        <v>18</v>
      </c>
      <c r="L1428" s="283">
        <v>2385226</v>
      </c>
      <c r="M1428" s="283">
        <v>0</v>
      </c>
      <c r="N1428" s="283">
        <v>0</v>
      </c>
      <c r="O1428" s="283">
        <f>L1428</f>
        <v>2385226</v>
      </c>
      <c r="P1428" s="283">
        <v>0</v>
      </c>
      <c r="Q1428" s="284">
        <f>L1428/I1428</f>
        <v>3190.0842583924032</v>
      </c>
      <c r="R1428" s="543">
        <v>7920</v>
      </c>
      <c r="S1428" s="285">
        <v>43830</v>
      </c>
    </row>
    <row r="1429" spans="1:34" s="33" customFormat="1" ht="15.75">
      <c r="A1429" s="87"/>
      <c r="B1429" s="118"/>
      <c r="C1429" s="111"/>
      <c r="D1429" s="111"/>
      <c r="E1429" s="89"/>
      <c r="F1429" s="111"/>
      <c r="G1429" s="111"/>
      <c r="H1429" s="123"/>
      <c r="I1429" s="123"/>
      <c r="J1429" s="87"/>
      <c r="K1429" s="87"/>
      <c r="L1429" s="92"/>
      <c r="M1429" s="92"/>
      <c r="N1429" s="92"/>
      <c r="O1429" s="92"/>
      <c r="P1429" s="92"/>
      <c r="Q1429" s="93"/>
      <c r="R1429" s="94"/>
      <c r="S1429" s="285"/>
    </row>
    <row r="1430" spans="1:34" s="1" customFormat="1" ht="15.75" customHeight="1">
      <c r="A1430" s="87"/>
      <c r="B1430" s="1068" t="s">
        <v>109</v>
      </c>
      <c r="C1430" s="1068"/>
      <c r="D1430" s="1068"/>
      <c r="E1430" s="1068"/>
      <c r="F1430" s="1068"/>
      <c r="G1430" s="1068"/>
      <c r="H1430" s="107">
        <f>H1431</f>
        <v>799.3</v>
      </c>
      <c r="I1430" s="86">
        <f t="shared" ref="I1430:P1430" si="328">I1431</f>
        <v>735.9</v>
      </c>
      <c r="J1430" s="86">
        <f t="shared" si="328"/>
        <v>693.8</v>
      </c>
      <c r="K1430" s="98">
        <f t="shared" si="328"/>
        <v>32</v>
      </c>
      <c r="L1430" s="92">
        <v>201010</v>
      </c>
      <c r="M1430" s="92">
        <f t="shared" si="328"/>
        <v>0</v>
      </c>
      <c r="N1430" s="92">
        <f t="shared" si="328"/>
        <v>92056</v>
      </c>
      <c r="O1430" s="92">
        <f t="shared" si="328"/>
        <v>108954</v>
      </c>
      <c r="P1430" s="92">
        <f t="shared" si="328"/>
        <v>0</v>
      </c>
      <c r="Q1430" s="86" t="s">
        <v>40</v>
      </c>
      <c r="R1430" s="86" t="s">
        <v>40</v>
      </c>
      <c r="S1430" s="285">
        <v>43830</v>
      </c>
    </row>
    <row r="1431" spans="1:34" s="1" customFormat="1" ht="15.75">
      <c r="A1431" s="87">
        <f>A1429+1</f>
        <v>1</v>
      </c>
      <c r="B1431" s="224" t="s">
        <v>414</v>
      </c>
      <c r="C1431" s="232">
        <v>1977</v>
      </c>
      <c r="D1431" s="97"/>
      <c r="E1431" s="89" t="s">
        <v>219</v>
      </c>
      <c r="F1431" s="97">
        <v>2</v>
      </c>
      <c r="G1431" s="97">
        <v>2</v>
      </c>
      <c r="H1431" s="107">
        <v>799.3</v>
      </c>
      <c r="I1431" s="86">
        <v>735.9</v>
      </c>
      <c r="J1431" s="86">
        <v>693.8</v>
      </c>
      <c r="K1431" s="98">
        <v>32</v>
      </c>
      <c r="L1431" s="92">
        <v>201010</v>
      </c>
      <c r="M1431" s="92">
        <v>0</v>
      </c>
      <c r="N1431" s="92">
        <v>92056</v>
      </c>
      <c r="O1431" s="92">
        <v>108954</v>
      </c>
      <c r="P1431" s="92">
        <v>0</v>
      </c>
      <c r="Q1431" s="86">
        <f>L1431/I1431</f>
        <v>273.14852561489334</v>
      </c>
      <c r="R1431" s="93">
        <v>6774</v>
      </c>
      <c r="S1431" s="285">
        <v>43830</v>
      </c>
    </row>
    <row r="1432" spans="1:34" s="18" customFormat="1" ht="15.75" customHeight="1">
      <c r="A1432" s="87"/>
      <c r="B1432" s="1102" t="s">
        <v>198</v>
      </c>
      <c r="C1432" s="1102"/>
      <c r="D1432" s="1102"/>
      <c r="E1432" s="1102"/>
      <c r="F1432" s="1102"/>
      <c r="G1432" s="1102"/>
      <c r="H1432" s="107">
        <f>H1433</f>
        <v>856.5</v>
      </c>
      <c r="I1432" s="107">
        <f t="shared" ref="I1432:P1432" si="329">I1433</f>
        <v>856.5</v>
      </c>
      <c r="J1432" s="107">
        <f t="shared" si="329"/>
        <v>500</v>
      </c>
      <c r="K1432" s="146">
        <f t="shared" si="329"/>
        <v>33</v>
      </c>
      <c r="L1432" s="92">
        <f t="shared" si="329"/>
        <v>1091336</v>
      </c>
      <c r="M1432" s="92">
        <f t="shared" si="329"/>
        <v>0</v>
      </c>
      <c r="N1432" s="92">
        <f t="shared" si="329"/>
        <v>0</v>
      </c>
      <c r="O1432" s="92">
        <f t="shared" si="329"/>
        <v>1091336</v>
      </c>
      <c r="P1432" s="92">
        <f t="shared" si="329"/>
        <v>0</v>
      </c>
      <c r="Q1432" s="86" t="s">
        <v>40</v>
      </c>
      <c r="R1432" s="93" t="s">
        <v>40</v>
      </c>
      <c r="S1432" s="285">
        <v>43830</v>
      </c>
    </row>
    <row r="1433" spans="1:34" s="18" customFormat="1" ht="31.5">
      <c r="A1433" s="87">
        <f>A1431+1</f>
        <v>2</v>
      </c>
      <c r="B1433" s="227" t="s">
        <v>415</v>
      </c>
      <c r="C1433" s="232">
        <v>1982</v>
      </c>
      <c r="D1433" s="97"/>
      <c r="E1433" s="89" t="s">
        <v>218</v>
      </c>
      <c r="F1433" s="97">
        <v>2</v>
      </c>
      <c r="G1433" s="97">
        <v>3</v>
      </c>
      <c r="H1433" s="107">
        <v>856.5</v>
      </c>
      <c r="I1433" s="86">
        <v>856.5</v>
      </c>
      <c r="J1433" s="86">
        <v>500</v>
      </c>
      <c r="K1433" s="98">
        <v>33</v>
      </c>
      <c r="L1433" s="92">
        <v>1091336</v>
      </c>
      <c r="M1433" s="92">
        <v>0</v>
      </c>
      <c r="N1433" s="92">
        <v>0</v>
      </c>
      <c r="O1433" s="92">
        <f>L1433</f>
        <v>1091336</v>
      </c>
      <c r="P1433" s="92">
        <v>0</v>
      </c>
      <c r="Q1433" s="86">
        <f>L1433/I1433</f>
        <v>1274.1809690601285</v>
      </c>
      <c r="R1433" s="93">
        <v>6774</v>
      </c>
      <c r="S1433" s="285">
        <v>43830</v>
      </c>
    </row>
    <row r="1434" spans="1:34" s="1" customFormat="1" ht="15.75">
      <c r="A1434" s="87"/>
      <c r="B1434" s="1066" t="s">
        <v>53</v>
      </c>
      <c r="C1434" s="1066"/>
      <c r="D1434" s="1066"/>
      <c r="E1434" s="1066"/>
      <c r="F1434" s="1066"/>
      <c r="G1434" s="1066"/>
      <c r="H1434" s="86">
        <f>H1435+H1447+H1449+H1451+H1458+H1459+H1461</f>
        <v>73224.099999999977</v>
      </c>
      <c r="I1434" s="86">
        <f>I1435+I1447+I1449+I1451+I1458+I1459+I1461</f>
        <v>52965.799999999996</v>
      </c>
      <c r="J1434" s="86">
        <f>J1435+J1447+J1449+J1451+J1458+J1459+J1461</f>
        <v>51251.19999999999</v>
      </c>
      <c r="K1434" s="98">
        <f>K1435+K1447+K1449+K1451+K1458+K1459+K1461</f>
        <v>2435</v>
      </c>
      <c r="L1434" s="92">
        <f>L1449+L1451+L1458+L1459+L1461+L1435+L1447</f>
        <v>45386895.920000002</v>
      </c>
      <c r="M1434" s="92">
        <f>M1449+M1451+M1458+M1459+M1461+M1435+M1447</f>
        <v>0</v>
      </c>
      <c r="N1434" s="92">
        <f>N1449+N1451+N1458+N1459+N1461+N1435+N1447</f>
        <v>146321.84</v>
      </c>
      <c r="O1434" s="92">
        <f>O1449+O1451+O1458+O1459+O1461+O1435+O1447</f>
        <v>45240534.079999998</v>
      </c>
      <c r="P1434" s="92">
        <f>P1449+P1451+P1458+P1459+P1461+P1435+P1447</f>
        <v>0</v>
      </c>
      <c r="Q1434" s="86" t="s">
        <v>40</v>
      </c>
      <c r="R1434" s="86" t="s">
        <v>40</v>
      </c>
      <c r="S1434" s="285">
        <v>43830</v>
      </c>
    </row>
    <row r="1435" spans="1:34" s="1" customFormat="1" ht="21.6" customHeight="1">
      <c r="A1435" s="87"/>
      <c r="B1435" s="1066" t="s">
        <v>88</v>
      </c>
      <c r="C1435" s="1066"/>
      <c r="D1435" s="1066"/>
      <c r="E1435" s="1066"/>
      <c r="F1435" s="1109"/>
      <c r="G1435" s="1109"/>
      <c r="H1435" s="536">
        <f>SUM(H1436:H1446)</f>
        <v>56547.399999999987</v>
      </c>
      <c r="I1435" s="536">
        <f t="shared" ref="I1435:P1435" si="330">SUM(I1436:I1446)</f>
        <v>38077.199999999997</v>
      </c>
      <c r="J1435" s="536">
        <f t="shared" si="330"/>
        <v>37432.799999999996</v>
      </c>
      <c r="K1435" s="536">
        <f t="shared" si="330"/>
        <v>1705</v>
      </c>
      <c r="L1435" s="359">
        <f t="shared" si="330"/>
        <v>29036828</v>
      </c>
      <c r="M1435" s="359">
        <f t="shared" si="330"/>
        <v>0</v>
      </c>
      <c r="N1435" s="359">
        <f t="shared" si="330"/>
        <v>0</v>
      </c>
      <c r="O1435" s="359">
        <f t="shared" si="330"/>
        <v>29036828</v>
      </c>
      <c r="P1435" s="359">
        <f t="shared" si="330"/>
        <v>0</v>
      </c>
      <c r="Q1435" s="86" t="s">
        <v>40</v>
      </c>
      <c r="R1435" s="86" t="s">
        <v>40</v>
      </c>
      <c r="S1435" s="285">
        <v>43830</v>
      </c>
    </row>
    <row r="1436" spans="1:34" s="17" customFormat="1" ht="31.5">
      <c r="A1436" s="277">
        <v>1</v>
      </c>
      <c r="B1436" s="755" t="s">
        <v>756</v>
      </c>
      <c r="C1436" s="341">
        <v>1970</v>
      </c>
      <c r="D1436" s="341"/>
      <c r="E1436" s="663" t="s">
        <v>218</v>
      </c>
      <c r="F1436" s="317">
        <v>5</v>
      </c>
      <c r="G1436" s="317">
        <v>3</v>
      </c>
      <c r="H1436" s="318">
        <v>4419.3999999999996</v>
      </c>
      <c r="I1436" s="318">
        <v>2368.3000000000002</v>
      </c>
      <c r="J1436" s="318">
        <v>2251.8000000000002</v>
      </c>
      <c r="K1436" s="317">
        <v>287</v>
      </c>
      <c r="L1436" s="768">
        <v>3116315</v>
      </c>
      <c r="M1436" s="769">
        <v>0</v>
      </c>
      <c r="N1436" s="283">
        <v>0</v>
      </c>
      <c r="O1436" s="283">
        <f t="shared" ref="O1436:O1446" si="331">L1436</f>
        <v>3116315</v>
      </c>
      <c r="P1436" s="283">
        <v>0</v>
      </c>
      <c r="Q1436" s="284">
        <f t="shared" ref="Q1436:Q1446" si="332">L1436/I1436</f>
        <v>1315.8446987290461</v>
      </c>
      <c r="R1436" s="284">
        <v>7920</v>
      </c>
      <c r="S1436" s="285">
        <v>43830</v>
      </c>
    </row>
    <row r="1437" spans="1:34" s="17" customFormat="1" ht="24.6" customHeight="1">
      <c r="A1437" s="277">
        <f t="shared" ref="A1437:A1444" si="333">A1436+1</f>
        <v>2</v>
      </c>
      <c r="B1437" s="755" t="s">
        <v>754</v>
      </c>
      <c r="C1437" s="341">
        <v>1974</v>
      </c>
      <c r="D1437" s="341"/>
      <c r="E1437" s="663" t="s">
        <v>219</v>
      </c>
      <c r="F1437" s="508">
        <v>5</v>
      </c>
      <c r="G1437" s="508">
        <v>8</v>
      </c>
      <c r="H1437" s="543">
        <v>4260.8999999999996</v>
      </c>
      <c r="I1437" s="543">
        <v>3791.7</v>
      </c>
      <c r="J1437" s="543">
        <v>3791.7</v>
      </c>
      <c r="K1437" s="317">
        <v>165</v>
      </c>
      <c r="L1437" s="768">
        <v>2952420</v>
      </c>
      <c r="M1437" s="769">
        <v>0</v>
      </c>
      <c r="N1437" s="283">
        <v>0</v>
      </c>
      <c r="O1437" s="283">
        <f t="shared" si="331"/>
        <v>2952420</v>
      </c>
      <c r="P1437" s="283">
        <v>0</v>
      </c>
      <c r="Q1437" s="284">
        <f t="shared" si="332"/>
        <v>778.65337447582885</v>
      </c>
      <c r="R1437" s="284">
        <v>7920</v>
      </c>
      <c r="S1437" s="285">
        <v>43830</v>
      </c>
    </row>
    <row r="1438" spans="1:34" s="17" customFormat="1" ht="24" customHeight="1">
      <c r="A1438" s="277">
        <f t="shared" si="333"/>
        <v>3</v>
      </c>
      <c r="B1438" s="755" t="s">
        <v>755</v>
      </c>
      <c r="C1438" s="341">
        <v>1974</v>
      </c>
      <c r="D1438" s="341"/>
      <c r="E1438" s="663" t="s">
        <v>219</v>
      </c>
      <c r="F1438" s="508">
        <v>5</v>
      </c>
      <c r="G1438" s="508">
        <v>8</v>
      </c>
      <c r="H1438" s="543">
        <v>4253.7</v>
      </c>
      <c r="I1438" s="543">
        <v>3784.3</v>
      </c>
      <c r="J1438" s="543">
        <v>3784.3</v>
      </c>
      <c r="K1438" s="317">
        <v>165</v>
      </c>
      <c r="L1438" s="768">
        <v>2857647</v>
      </c>
      <c r="M1438" s="769">
        <v>0</v>
      </c>
      <c r="N1438" s="283">
        <v>0</v>
      </c>
      <c r="O1438" s="283">
        <f t="shared" si="331"/>
        <v>2857647</v>
      </c>
      <c r="P1438" s="283">
        <v>0</v>
      </c>
      <c r="Q1438" s="284">
        <f t="shared" si="332"/>
        <v>755.13225695637232</v>
      </c>
      <c r="R1438" s="284">
        <v>7920</v>
      </c>
      <c r="S1438" s="285">
        <v>43830</v>
      </c>
    </row>
    <row r="1439" spans="1:34" s="17" customFormat="1" ht="31.5">
      <c r="A1439" s="277">
        <f t="shared" si="333"/>
        <v>4</v>
      </c>
      <c r="B1439" s="755" t="s">
        <v>759</v>
      </c>
      <c r="C1439" s="341">
        <v>1975</v>
      </c>
      <c r="D1439" s="341"/>
      <c r="E1439" s="663" t="s">
        <v>218</v>
      </c>
      <c r="F1439" s="508">
        <v>12</v>
      </c>
      <c r="G1439" s="508">
        <v>1</v>
      </c>
      <c r="H1439" s="543">
        <v>5393.6</v>
      </c>
      <c r="I1439" s="543">
        <v>3815.1</v>
      </c>
      <c r="J1439" s="543">
        <f>I1439-73.9</f>
        <v>3741.2</v>
      </c>
      <c r="K1439" s="317">
        <v>116</v>
      </c>
      <c r="L1439" s="318">
        <v>1532580</v>
      </c>
      <c r="M1439" s="769">
        <v>0</v>
      </c>
      <c r="N1439" s="283">
        <v>0</v>
      </c>
      <c r="O1439" s="283">
        <f t="shared" si="331"/>
        <v>1532580</v>
      </c>
      <c r="P1439" s="283">
        <v>0</v>
      </c>
      <c r="Q1439" s="284">
        <f t="shared" si="332"/>
        <v>401.71424078005822</v>
      </c>
      <c r="R1439" s="284">
        <v>7920</v>
      </c>
      <c r="S1439" s="285">
        <v>43830</v>
      </c>
    </row>
    <row r="1440" spans="1:34" s="17" customFormat="1" ht="15.75">
      <c r="A1440" s="277">
        <f t="shared" si="333"/>
        <v>5</v>
      </c>
      <c r="B1440" s="755" t="s">
        <v>760</v>
      </c>
      <c r="C1440" s="341">
        <v>1964</v>
      </c>
      <c r="D1440" s="341"/>
      <c r="E1440" s="663" t="s">
        <v>220</v>
      </c>
      <c r="F1440" s="508">
        <v>5</v>
      </c>
      <c r="G1440" s="508">
        <v>4</v>
      </c>
      <c r="H1440" s="543">
        <v>5456.4</v>
      </c>
      <c r="I1440" s="543">
        <v>3525.7</v>
      </c>
      <c r="J1440" s="543">
        <f>I1440-160.1</f>
        <v>3365.6</v>
      </c>
      <c r="K1440" s="317">
        <v>152</v>
      </c>
      <c r="L1440" s="768">
        <v>2654053</v>
      </c>
      <c r="M1440" s="769">
        <v>0</v>
      </c>
      <c r="N1440" s="283">
        <v>0</v>
      </c>
      <c r="O1440" s="283">
        <f t="shared" si="331"/>
        <v>2654053</v>
      </c>
      <c r="P1440" s="283">
        <v>0</v>
      </c>
      <c r="Q1440" s="284">
        <f t="shared" si="332"/>
        <v>752.77334997305502</v>
      </c>
      <c r="R1440" s="284">
        <v>7920</v>
      </c>
      <c r="S1440" s="285">
        <v>43830</v>
      </c>
      <c r="T1440" s="40"/>
      <c r="U1440" s="40"/>
      <c r="V1440" s="40"/>
      <c r="W1440" s="40"/>
      <c r="X1440" s="40"/>
      <c r="Y1440" s="40"/>
      <c r="Z1440" s="40"/>
      <c r="AA1440" s="40"/>
      <c r="AB1440" s="40"/>
      <c r="AC1440" s="40"/>
      <c r="AD1440" s="40"/>
      <c r="AE1440" s="40"/>
      <c r="AF1440" s="40"/>
      <c r="AG1440" s="40"/>
      <c r="AH1440" s="40"/>
    </row>
    <row r="1441" spans="1:34" s="40" customFormat="1" ht="15.75">
      <c r="A1441" s="277">
        <f t="shared" si="333"/>
        <v>6</v>
      </c>
      <c r="B1441" s="755" t="s">
        <v>761</v>
      </c>
      <c r="C1441" s="341">
        <v>1968</v>
      </c>
      <c r="D1441" s="341"/>
      <c r="E1441" s="663" t="s">
        <v>219</v>
      </c>
      <c r="F1441" s="508">
        <v>5</v>
      </c>
      <c r="G1441" s="508">
        <v>4</v>
      </c>
      <c r="H1441" s="543">
        <v>5361.8</v>
      </c>
      <c r="I1441" s="543">
        <v>3503.3</v>
      </c>
      <c r="J1441" s="543">
        <f>I1441-41</f>
        <v>3462.3</v>
      </c>
      <c r="K1441" s="317">
        <v>123</v>
      </c>
      <c r="L1441" s="768">
        <v>2653957</v>
      </c>
      <c r="M1441" s="769">
        <v>0</v>
      </c>
      <c r="N1441" s="283">
        <v>0</v>
      </c>
      <c r="O1441" s="283">
        <f t="shared" si="331"/>
        <v>2653957</v>
      </c>
      <c r="P1441" s="283">
        <v>0</v>
      </c>
      <c r="Q1441" s="284">
        <f t="shared" si="332"/>
        <v>757.5591585076927</v>
      </c>
      <c r="R1441" s="284">
        <v>7920</v>
      </c>
      <c r="S1441" s="285">
        <v>43830</v>
      </c>
      <c r="T1441" s="17"/>
      <c r="U1441" s="17"/>
      <c r="V1441" s="17"/>
      <c r="W1441" s="17"/>
      <c r="X1441" s="17"/>
      <c r="Y1441" s="17"/>
      <c r="Z1441" s="17"/>
      <c r="AA1441" s="17"/>
      <c r="AB1441" s="17"/>
      <c r="AC1441" s="17"/>
      <c r="AD1441" s="17"/>
      <c r="AE1441" s="17"/>
      <c r="AF1441" s="17"/>
      <c r="AG1441" s="17"/>
      <c r="AH1441" s="17"/>
    </row>
    <row r="1442" spans="1:34" s="17" customFormat="1" ht="15.75">
      <c r="A1442" s="277">
        <f t="shared" si="333"/>
        <v>7</v>
      </c>
      <c r="B1442" s="755" t="s">
        <v>762</v>
      </c>
      <c r="C1442" s="341">
        <v>1966</v>
      </c>
      <c r="D1442" s="341"/>
      <c r="E1442" s="663" t="s">
        <v>219</v>
      </c>
      <c r="F1442" s="508">
        <v>5</v>
      </c>
      <c r="G1442" s="508">
        <v>4</v>
      </c>
      <c r="H1442" s="543">
        <v>5498.4</v>
      </c>
      <c r="I1442" s="543">
        <v>3455.3</v>
      </c>
      <c r="J1442" s="543">
        <f>I1442-91.5</f>
        <v>3363.8</v>
      </c>
      <c r="K1442" s="317">
        <v>127</v>
      </c>
      <c r="L1442" s="768">
        <v>2653904</v>
      </c>
      <c r="M1442" s="769">
        <v>0</v>
      </c>
      <c r="N1442" s="283">
        <v>0</v>
      </c>
      <c r="O1442" s="283">
        <f t="shared" si="331"/>
        <v>2653904</v>
      </c>
      <c r="P1442" s="283">
        <v>0</v>
      </c>
      <c r="Q1442" s="284">
        <f t="shared" si="332"/>
        <v>768.06760628599534</v>
      </c>
      <c r="R1442" s="284">
        <v>7920</v>
      </c>
      <c r="S1442" s="285">
        <v>43830</v>
      </c>
    </row>
    <row r="1443" spans="1:34" s="40" customFormat="1" ht="15.75">
      <c r="A1443" s="277">
        <f t="shared" si="333"/>
        <v>8</v>
      </c>
      <c r="B1443" s="755" t="s">
        <v>763</v>
      </c>
      <c r="C1443" s="341">
        <v>1970</v>
      </c>
      <c r="D1443" s="341"/>
      <c r="E1443" s="663" t="s">
        <v>219</v>
      </c>
      <c r="F1443" s="508">
        <v>5</v>
      </c>
      <c r="G1443" s="508">
        <v>4</v>
      </c>
      <c r="H1443" s="543">
        <v>5402.7</v>
      </c>
      <c r="I1443" s="543">
        <v>3457.6</v>
      </c>
      <c r="J1443" s="543">
        <f>I1443-77.1</f>
        <v>3380.5</v>
      </c>
      <c r="K1443" s="317">
        <v>159</v>
      </c>
      <c r="L1443" s="768">
        <v>2653979</v>
      </c>
      <c r="M1443" s="769">
        <v>0</v>
      </c>
      <c r="N1443" s="283">
        <v>0</v>
      </c>
      <c r="O1443" s="283">
        <f t="shared" si="331"/>
        <v>2653979</v>
      </c>
      <c r="P1443" s="283">
        <v>0</v>
      </c>
      <c r="Q1443" s="284">
        <f t="shared" si="332"/>
        <v>767.57837806571035</v>
      </c>
      <c r="R1443" s="284">
        <v>7920</v>
      </c>
      <c r="S1443" s="285">
        <v>43830</v>
      </c>
    </row>
    <row r="1444" spans="1:34" s="17" customFormat="1" ht="15.75">
      <c r="A1444" s="277">
        <f t="shared" si="333"/>
        <v>9</v>
      </c>
      <c r="B1444" s="755" t="s">
        <v>764</v>
      </c>
      <c r="C1444" s="341">
        <v>1966</v>
      </c>
      <c r="D1444" s="341"/>
      <c r="E1444" s="663" t="s">
        <v>220</v>
      </c>
      <c r="F1444" s="508">
        <v>5</v>
      </c>
      <c r="G1444" s="508">
        <v>4</v>
      </c>
      <c r="H1444" s="543">
        <v>5532.6</v>
      </c>
      <c r="I1444" s="543">
        <v>3527</v>
      </c>
      <c r="J1444" s="543">
        <f>I1444-43</f>
        <v>3484</v>
      </c>
      <c r="K1444" s="317">
        <v>144</v>
      </c>
      <c r="L1444" s="768">
        <v>2654063</v>
      </c>
      <c r="M1444" s="769">
        <v>0</v>
      </c>
      <c r="N1444" s="283">
        <v>0</v>
      </c>
      <c r="O1444" s="283">
        <f t="shared" si="331"/>
        <v>2654063</v>
      </c>
      <c r="P1444" s="283">
        <v>0</v>
      </c>
      <c r="Q1444" s="284">
        <f t="shared" si="332"/>
        <v>752.49872412815421</v>
      </c>
      <c r="R1444" s="284">
        <v>7920</v>
      </c>
      <c r="S1444" s="285">
        <v>43830</v>
      </c>
    </row>
    <row r="1445" spans="1:34" s="17" customFormat="1" ht="21.6" customHeight="1">
      <c r="A1445" s="277">
        <v>10</v>
      </c>
      <c r="B1445" s="755" t="s">
        <v>765</v>
      </c>
      <c r="C1445" s="341">
        <v>1965</v>
      </c>
      <c r="D1445" s="341"/>
      <c r="E1445" s="663" t="s">
        <v>219</v>
      </c>
      <c r="F1445" s="508">
        <v>5</v>
      </c>
      <c r="G1445" s="508">
        <v>4</v>
      </c>
      <c r="H1445" s="543">
        <v>5561.7</v>
      </c>
      <c r="I1445" s="543">
        <v>3463.1</v>
      </c>
      <c r="J1445" s="543">
        <f>I1445</f>
        <v>3463.1</v>
      </c>
      <c r="K1445" s="317">
        <v>144</v>
      </c>
      <c r="L1445" s="768">
        <v>2653996</v>
      </c>
      <c r="M1445" s="769">
        <v>0</v>
      </c>
      <c r="N1445" s="283">
        <v>0</v>
      </c>
      <c r="O1445" s="283">
        <f t="shared" si="331"/>
        <v>2653996</v>
      </c>
      <c r="P1445" s="283">
        <v>0</v>
      </c>
      <c r="Q1445" s="284">
        <f t="shared" si="332"/>
        <v>766.36424013167391</v>
      </c>
      <c r="R1445" s="284">
        <v>7920</v>
      </c>
      <c r="S1445" s="285">
        <v>43830</v>
      </c>
    </row>
    <row r="1446" spans="1:34" s="17" customFormat="1" ht="20.45" customHeight="1">
      <c r="A1446" s="277">
        <v>11</v>
      </c>
      <c r="B1446" s="755" t="s">
        <v>766</v>
      </c>
      <c r="C1446" s="341">
        <v>1966</v>
      </c>
      <c r="D1446" s="341"/>
      <c r="E1446" s="663" t="s">
        <v>219</v>
      </c>
      <c r="F1446" s="508">
        <v>5</v>
      </c>
      <c r="G1446" s="508">
        <v>4</v>
      </c>
      <c r="H1446" s="543">
        <v>5406.2</v>
      </c>
      <c r="I1446" s="543">
        <v>3385.8</v>
      </c>
      <c r="J1446" s="543">
        <f>I1446-41.3</f>
        <v>3344.5</v>
      </c>
      <c r="K1446" s="317">
        <v>123</v>
      </c>
      <c r="L1446" s="768">
        <v>2653914</v>
      </c>
      <c r="M1446" s="769">
        <v>0</v>
      </c>
      <c r="N1446" s="283">
        <v>0</v>
      </c>
      <c r="O1446" s="283">
        <f t="shared" si="331"/>
        <v>2653914</v>
      </c>
      <c r="P1446" s="283">
        <v>0</v>
      </c>
      <c r="Q1446" s="284">
        <f t="shared" si="332"/>
        <v>783.83661173134851</v>
      </c>
      <c r="R1446" s="284">
        <v>7920</v>
      </c>
      <c r="S1446" s="285">
        <v>43830</v>
      </c>
    </row>
    <row r="1447" spans="1:34" s="17" customFormat="1" ht="15.75" customHeight="1">
      <c r="A1447" s="87"/>
      <c r="B1447" s="1078" t="s">
        <v>132</v>
      </c>
      <c r="C1447" s="1078"/>
      <c r="D1447" s="1078"/>
      <c r="E1447" s="1078"/>
      <c r="F1447" s="1078"/>
      <c r="G1447" s="1078"/>
      <c r="H1447" s="96">
        <f>H1448</f>
        <v>834</v>
      </c>
      <c r="I1447" s="96">
        <f t="shared" ref="I1447:P1447" si="334">I1448</f>
        <v>756.7</v>
      </c>
      <c r="J1447" s="96">
        <f t="shared" si="334"/>
        <v>756.7</v>
      </c>
      <c r="K1447" s="129">
        <f t="shared" si="334"/>
        <v>47</v>
      </c>
      <c r="L1447" s="92">
        <f t="shared" si="334"/>
        <v>1854126</v>
      </c>
      <c r="M1447" s="92">
        <f t="shared" si="334"/>
        <v>0</v>
      </c>
      <c r="N1447" s="92">
        <f t="shared" si="334"/>
        <v>0</v>
      </c>
      <c r="O1447" s="92">
        <f t="shared" si="334"/>
        <v>1854126</v>
      </c>
      <c r="P1447" s="92">
        <f t="shared" si="334"/>
        <v>0</v>
      </c>
      <c r="Q1447" s="93" t="s">
        <v>40</v>
      </c>
      <c r="R1447" s="93" t="s">
        <v>40</v>
      </c>
      <c r="S1447" s="285">
        <v>43830</v>
      </c>
    </row>
    <row r="1448" spans="1:34" s="17" customFormat="1" ht="31.5">
      <c r="A1448" s="277" t="e">
        <f>#REF!+1</f>
        <v>#REF!</v>
      </c>
      <c r="B1448" s="755" t="s">
        <v>702</v>
      </c>
      <c r="C1448" s="341">
        <v>1968</v>
      </c>
      <c r="D1448" s="341"/>
      <c r="E1448" s="280" t="s">
        <v>218</v>
      </c>
      <c r="F1448" s="341">
        <v>2</v>
      </c>
      <c r="G1448" s="341">
        <v>3</v>
      </c>
      <c r="H1448" s="503">
        <v>834</v>
      </c>
      <c r="I1448" s="503">
        <v>756.7</v>
      </c>
      <c r="J1448" s="503">
        <v>756.7</v>
      </c>
      <c r="K1448" s="523">
        <v>47</v>
      </c>
      <c r="L1448" s="283">
        <v>1854126</v>
      </c>
      <c r="M1448" s="283">
        <v>0</v>
      </c>
      <c r="N1448" s="283">
        <v>0</v>
      </c>
      <c r="O1448" s="283">
        <f>L1448</f>
        <v>1854126</v>
      </c>
      <c r="P1448" s="283">
        <v>0</v>
      </c>
      <c r="Q1448" s="284">
        <f>L1448/I1448</f>
        <v>2450.2788423417469</v>
      </c>
      <c r="R1448" s="284">
        <v>7920</v>
      </c>
      <c r="S1448" s="285">
        <v>43830</v>
      </c>
    </row>
    <row r="1449" spans="1:34" s="1" customFormat="1" ht="15.75" customHeight="1">
      <c r="A1449" s="87"/>
      <c r="B1449" s="1068" t="s">
        <v>110</v>
      </c>
      <c r="C1449" s="1068"/>
      <c r="D1449" s="1068"/>
      <c r="E1449" s="1068"/>
      <c r="F1449" s="1068"/>
      <c r="G1449" s="1068"/>
      <c r="H1449" s="107">
        <f t="shared" ref="H1449:O1449" si="335">SUM(H1450:H1450)</f>
        <v>1394.2</v>
      </c>
      <c r="I1449" s="86">
        <f t="shared" si="335"/>
        <v>990.2</v>
      </c>
      <c r="J1449" s="86">
        <f t="shared" si="335"/>
        <v>764.2</v>
      </c>
      <c r="K1449" s="98">
        <f t="shared" si="335"/>
        <v>60</v>
      </c>
      <c r="L1449" s="92">
        <f t="shared" si="335"/>
        <v>2569441</v>
      </c>
      <c r="M1449" s="92">
        <f t="shared" si="335"/>
        <v>0</v>
      </c>
      <c r="N1449" s="92">
        <f t="shared" si="335"/>
        <v>0</v>
      </c>
      <c r="O1449" s="92">
        <f t="shared" si="335"/>
        <v>2569441</v>
      </c>
      <c r="P1449" s="92">
        <v>0</v>
      </c>
      <c r="Q1449" s="86" t="s">
        <v>40</v>
      </c>
      <c r="R1449" s="86" t="s">
        <v>40</v>
      </c>
      <c r="S1449" s="285">
        <v>43830</v>
      </c>
    </row>
    <row r="1450" spans="1:34" s="1" customFormat="1" ht="15.75">
      <c r="A1450" s="277" t="e">
        <f>A1448+1</f>
        <v>#REF!</v>
      </c>
      <c r="B1450" s="278" t="s">
        <v>477</v>
      </c>
      <c r="C1450" s="277">
        <v>1965</v>
      </c>
      <c r="D1450" s="279"/>
      <c r="E1450" s="280" t="s">
        <v>473</v>
      </c>
      <c r="F1450" s="279">
        <v>3</v>
      </c>
      <c r="G1450" s="279">
        <v>3</v>
      </c>
      <c r="H1450" s="281">
        <v>1394.2</v>
      </c>
      <c r="I1450" s="279">
        <v>990.2</v>
      </c>
      <c r="J1450" s="279">
        <v>764.2</v>
      </c>
      <c r="K1450" s="282">
        <v>60</v>
      </c>
      <c r="L1450" s="283">
        <v>2569441</v>
      </c>
      <c r="M1450" s="283">
        <v>0</v>
      </c>
      <c r="N1450" s="283">
        <v>0</v>
      </c>
      <c r="O1450" s="283">
        <v>2569441</v>
      </c>
      <c r="P1450" s="283">
        <v>0</v>
      </c>
      <c r="Q1450" s="284">
        <f>L1450/I1450</f>
        <v>2594.8707331852152</v>
      </c>
      <c r="R1450" s="284">
        <v>7920</v>
      </c>
      <c r="S1450" s="285">
        <v>43830</v>
      </c>
    </row>
    <row r="1451" spans="1:34" s="1" customFormat="1" ht="15.75" customHeight="1">
      <c r="A1451" s="277"/>
      <c r="B1451" s="1138" t="s">
        <v>128</v>
      </c>
      <c r="C1451" s="1138"/>
      <c r="D1451" s="1138"/>
      <c r="E1451" s="1138"/>
      <c r="F1451" s="1139"/>
      <c r="G1451" s="1139"/>
      <c r="H1451" s="726">
        <f>H1452+H1453+H1454</f>
        <v>12875.8</v>
      </c>
      <c r="I1451" s="726">
        <f t="shared" ref="I1451:P1451" si="336">I1452+I1453+I1454</f>
        <v>11648.4</v>
      </c>
      <c r="J1451" s="726">
        <f t="shared" si="336"/>
        <v>11035.6</v>
      </c>
      <c r="K1451" s="726">
        <f t="shared" si="336"/>
        <v>521</v>
      </c>
      <c r="L1451" s="727">
        <f t="shared" si="336"/>
        <v>9681670</v>
      </c>
      <c r="M1451" s="727">
        <f t="shared" si="336"/>
        <v>0</v>
      </c>
      <c r="N1451" s="727">
        <f t="shared" si="336"/>
        <v>0</v>
      </c>
      <c r="O1451" s="727">
        <f t="shared" si="336"/>
        <v>9681670</v>
      </c>
      <c r="P1451" s="727">
        <f t="shared" si="336"/>
        <v>0</v>
      </c>
      <c r="Q1451" s="726" t="s">
        <v>40</v>
      </c>
      <c r="R1451" s="284" t="s">
        <v>40</v>
      </c>
      <c r="S1451" s="285">
        <v>43830</v>
      </c>
    </row>
    <row r="1452" spans="1:34" customFormat="1" ht="38.450000000000003" customHeight="1">
      <c r="A1452" s="277"/>
      <c r="B1452" s="288" t="s">
        <v>729</v>
      </c>
      <c r="C1452" s="277">
        <v>1970</v>
      </c>
      <c r="D1452" s="279"/>
      <c r="E1452" s="663" t="s">
        <v>218</v>
      </c>
      <c r="F1452" s="574">
        <v>5</v>
      </c>
      <c r="G1452" s="574">
        <v>4</v>
      </c>
      <c r="H1452" s="728">
        <v>3164</v>
      </c>
      <c r="I1452" s="729">
        <v>2892</v>
      </c>
      <c r="J1452" s="728">
        <v>2892</v>
      </c>
      <c r="K1452" s="574">
        <v>107</v>
      </c>
      <c r="L1452" s="730">
        <v>2026223</v>
      </c>
      <c r="M1452" s="730">
        <v>0</v>
      </c>
      <c r="N1452" s="730">
        <v>0</v>
      </c>
      <c r="O1452" s="730">
        <f>L1452</f>
        <v>2026223</v>
      </c>
      <c r="P1452" s="730">
        <v>0</v>
      </c>
      <c r="Q1452" s="731">
        <f>L1452/I1452</f>
        <v>700.63035961272476</v>
      </c>
      <c r="R1452" s="732">
        <v>7920</v>
      </c>
      <c r="S1452" s="285">
        <v>43830</v>
      </c>
    </row>
    <row r="1453" spans="1:34" customFormat="1" ht="31.5">
      <c r="A1453" s="277"/>
      <c r="B1453" s="288" t="s">
        <v>730</v>
      </c>
      <c r="C1453" s="277">
        <v>1982</v>
      </c>
      <c r="D1453" s="279"/>
      <c r="E1453" s="663" t="s">
        <v>218</v>
      </c>
      <c r="F1453" s="574">
        <v>5</v>
      </c>
      <c r="G1453" s="574">
        <v>7</v>
      </c>
      <c r="H1453" s="728">
        <v>5381</v>
      </c>
      <c r="I1453" s="729">
        <v>4862.3999999999996</v>
      </c>
      <c r="J1453" s="728">
        <v>4530.6000000000004</v>
      </c>
      <c r="K1453" s="574">
        <v>245</v>
      </c>
      <c r="L1453" s="730">
        <v>4351244</v>
      </c>
      <c r="M1453" s="730">
        <v>0</v>
      </c>
      <c r="N1453" s="730">
        <v>0</v>
      </c>
      <c r="O1453" s="730">
        <f>L1453</f>
        <v>4351244</v>
      </c>
      <c r="P1453" s="730">
        <v>0</v>
      </c>
      <c r="Q1453" s="731">
        <f>L1453/I1453</f>
        <v>894.87578150707475</v>
      </c>
      <c r="R1453" s="732">
        <v>7920</v>
      </c>
      <c r="S1453" s="285">
        <v>43830</v>
      </c>
    </row>
    <row r="1454" spans="1:34" customFormat="1" ht="31.5">
      <c r="A1454" s="277"/>
      <c r="B1454" s="288" t="s">
        <v>731</v>
      </c>
      <c r="C1454" s="277">
        <v>1982</v>
      </c>
      <c r="D1454" s="279"/>
      <c r="E1454" s="663" t="s">
        <v>218</v>
      </c>
      <c r="F1454" s="574">
        <v>5</v>
      </c>
      <c r="G1454" s="574">
        <v>6</v>
      </c>
      <c r="H1454" s="728">
        <v>4330.8</v>
      </c>
      <c r="I1454" s="729">
        <v>3894</v>
      </c>
      <c r="J1454" s="728">
        <v>3613</v>
      </c>
      <c r="K1454" s="574">
        <v>169</v>
      </c>
      <c r="L1454" s="730">
        <v>3304203</v>
      </c>
      <c r="M1454" s="730">
        <v>0</v>
      </c>
      <c r="N1454" s="730">
        <v>0</v>
      </c>
      <c r="O1454" s="730">
        <f>L1454</f>
        <v>3304203</v>
      </c>
      <c r="P1454" s="730">
        <v>0</v>
      </c>
      <c r="Q1454" s="731">
        <f>L1454/I1454</f>
        <v>848.53697996918334</v>
      </c>
      <c r="R1454" s="732">
        <v>7920</v>
      </c>
      <c r="S1454" s="285">
        <v>43830</v>
      </c>
    </row>
    <row r="1455" spans="1:34" customFormat="1" ht="15.75">
      <c r="A1455" s="277"/>
      <c r="B1455" s="288"/>
      <c r="C1455" s="277"/>
      <c r="D1455" s="279"/>
      <c r="E1455" s="280"/>
      <c r="F1455" s="559"/>
      <c r="G1455" s="559"/>
      <c r="H1455" s="559"/>
      <c r="I1455" s="560"/>
      <c r="J1455" s="559"/>
      <c r="K1455" s="559"/>
      <c r="L1455" s="548"/>
      <c r="M1455" s="548"/>
      <c r="N1455" s="548"/>
      <c r="O1455" s="548"/>
      <c r="P1455" s="548"/>
      <c r="Q1455" s="549"/>
      <c r="R1455" s="284"/>
      <c r="S1455" s="285"/>
    </row>
    <row r="1456" spans="1:34" customFormat="1" ht="15.75">
      <c r="A1456" s="277"/>
      <c r="B1456" s="288"/>
      <c r="C1456" s="277"/>
      <c r="D1456" s="279"/>
      <c r="E1456" s="280"/>
      <c r="F1456" s="279"/>
      <c r="G1456" s="279"/>
      <c r="H1456" s="279"/>
      <c r="I1456" s="300"/>
      <c r="J1456" s="279"/>
      <c r="K1456" s="279"/>
      <c r="L1456" s="283"/>
      <c r="M1456" s="283"/>
      <c r="N1456" s="283"/>
      <c r="O1456" s="283"/>
      <c r="P1456" s="283"/>
      <c r="Q1456" s="284"/>
      <c r="R1456" s="284"/>
      <c r="S1456" s="285"/>
    </row>
    <row r="1457" spans="1:19" customFormat="1" ht="15.75">
      <c r="A1457" s="277"/>
      <c r="B1457" s="288"/>
      <c r="C1457" s="277"/>
      <c r="D1457" s="279"/>
      <c r="E1457" s="280"/>
      <c r="F1457" s="279"/>
      <c r="G1457" s="279"/>
      <c r="H1457" s="279"/>
      <c r="I1457" s="300"/>
      <c r="J1457" s="279"/>
      <c r="K1457" s="279"/>
      <c r="L1457" s="283"/>
      <c r="M1457" s="283"/>
      <c r="N1457" s="283"/>
      <c r="O1457" s="283"/>
      <c r="P1457" s="283"/>
      <c r="Q1457" s="284"/>
      <c r="R1457" s="284"/>
      <c r="S1457" s="285"/>
    </row>
    <row r="1458" spans="1:19" s="1" customFormat="1" ht="29.45" customHeight="1">
      <c r="A1458" s="87"/>
      <c r="B1458" s="1066" t="s">
        <v>994</v>
      </c>
      <c r="C1458" s="1066"/>
      <c r="D1458" s="1066"/>
      <c r="E1458" s="1066"/>
      <c r="F1458" s="1066"/>
      <c r="G1458" s="1066"/>
      <c r="H1458" s="107">
        <v>0</v>
      </c>
      <c r="I1458" s="86">
        <v>0</v>
      </c>
      <c r="J1458" s="86">
        <v>0</v>
      </c>
      <c r="K1458" s="98">
        <v>0</v>
      </c>
      <c r="L1458" s="92">
        <v>0</v>
      </c>
      <c r="M1458" s="92">
        <v>0</v>
      </c>
      <c r="N1458" s="92">
        <v>0</v>
      </c>
      <c r="O1458" s="92">
        <v>0</v>
      </c>
      <c r="P1458" s="92">
        <v>0</v>
      </c>
      <c r="Q1458" s="86" t="s">
        <v>40</v>
      </c>
      <c r="R1458" s="93" t="s">
        <v>40</v>
      </c>
      <c r="S1458" s="285">
        <v>43830</v>
      </c>
    </row>
    <row r="1459" spans="1:19" s="1" customFormat="1" ht="15.75" customHeight="1">
      <c r="A1459" s="87"/>
      <c r="B1459" s="1068" t="s">
        <v>111</v>
      </c>
      <c r="C1459" s="1068"/>
      <c r="D1459" s="1068"/>
      <c r="E1459" s="1068"/>
      <c r="F1459" s="1068"/>
      <c r="G1459" s="1068"/>
      <c r="H1459" s="107">
        <f t="shared" ref="H1459:P1459" si="337">H1460</f>
        <v>533.5</v>
      </c>
      <c r="I1459" s="107">
        <f t="shared" si="337"/>
        <v>525.5</v>
      </c>
      <c r="J1459" s="107">
        <f t="shared" si="337"/>
        <v>294.10000000000002</v>
      </c>
      <c r="K1459" s="98">
        <f t="shared" si="337"/>
        <v>54</v>
      </c>
      <c r="L1459" s="92">
        <f t="shared" si="337"/>
        <v>657835.92000000004</v>
      </c>
      <c r="M1459" s="92">
        <f t="shared" si="337"/>
        <v>0</v>
      </c>
      <c r="N1459" s="92">
        <f t="shared" si="337"/>
        <v>146321.84</v>
      </c>
      <c r="O1459" s="92">
        <f t="shared" si="337"/>
        <v>511514.08</v>
      </c>
      <c r="P1459" s="92">
        <f t="shared" si="337"/>
        <v>0</v>
      </c>
      <c r="Q1459" s="86" t="s">
        <v>40</v>
      </c>
      <c r="R1459" s="86" t="s">
        <v>40</v>
      </c>
      <c r="S1459" s="285">
        <v>43830</v>
      </c>
    </row>
    <row r="1460" spans="1:19" s="1" customFormat="1" ht="31.5">
      <c r="A1460" s="87" t="e">
        <f>#REF!+1</f>
        <v>#REF!</v>
      </c>
      <c r="B1460" s="224" t="s">
        <v>420</v>
      </c>
      <c r="C1460" s="232">
        <v>1967</v>
      </c>
      <c r="D1460" s="223"/>
      <c r="E1460" s="89" t="s">
        <v>218</v>
      </c>
      <c r="F1460" s="97">
        <v>2</v>
      </c>
      <c r="G1460" s="97">
        <v>2</v>
      </c>
      <c r="H1460" s="107">
        <v>533.5</v>
      </c>
      <c r="I1460" s="86">
        <v>525.5</v>
      </c>
      <c r="J1460" s="86">
        <v>294.10000000000002</v>
      </c>
      <c r="K1460" s="98">
        <v>54</v>
      </c>
      <c r="L1460" s="92">
        <v>657835.92000000004</v>
      </c>
      <c r="M1460" s="92">
        <v>0</v>
      </c>
      <c r="N1460" s="92">
        <v>146321.84</v>
      </c>
      <c r="O1460" s="92">
        <v>511514.08</v>
      </c>
      <c r="P1460" s="92">
        <v>0</v>
      </c>
      <c r="Q1460" s="86">
        <f>L1459/I1460</f>
        <v>1251.828582302569</v>
      </c>
      <c r="R1460" s="93">
        <v>6774</v>
      </c>
      <c r="S1460" s="285">
        <v>43830</v>
      </c>
    </row>
    <row r="1461" spans="1:19" s="1" customFormat="1" ht="15.75">
      <c r="A1461" s="277"/>
      <c r="B1461" s="1143" t="s">
        <v>129</v>
      </c>
      <c r="C1461" s="1143"/>
      <c r="D1461" s="1143"/>
      <c r="E1461" s="1143"/>
      <c r="F1461" s="1143"/>
      <c r="G1461" s="1143"/>
      <c r="H1461" s="301">
        <f>H1462</f>
        <v>1039.2</v>
      </c>
      <c r="I1461" s="301">
        <f t="shared" ref="I1461:P1461" si="338">I1462</f>
        <v>967.8</v>
      </c>
      <c r="J1461" s="301">
        <f t="shared" si="338"/>
        <v>967.8</v>
      </c>
      <c r="K1461" s="301">
        <f t="shared" si="338"/>
        <v>48</v>
      </c>
      <c r="L1461" s="627">
        <f t="shared" si="338"/>
        <v>1586995</v>
      </c>
      <c r="M1461" s="627">
        <f t="shared" si="338"/>
        <v>0</v>
      </c>
      <c r="N1461" s="627">
        <f t="shared" si="338"/>
        <v>0</v>
      </c>
      <c r="O1461" s="627">
        <f t="shared" si="338"/>
        <v>1586955</v>
      </c>
      <c r="P1461" s="627">
        <f t="shared" si="338"/>
        <v>0</v>
      </c>
      <c r="Q1461" s="303" t="s">
        <v>40</v>
      </c>
      <c r="R1461" s="284" t="s">
        <v>40</v>
      </c>
      <c r="S1461" s="285">
        <v>43830</v>
      </c>
    </row>
    <row r="1462" spans="1:19" customFormat="1" ht="31.5">
      <c r="A1462" s="277" t="e">
        <f>A1460+1</f>
        <v>#REF!</v>
      </c>
      <c r="B1462" s="288" t="s">
        <v>683</v>
      </c>
      <c r="C1462" s="279"/>
      <c r="D1462" s="279"/>
      <c r="E1462" s="280" t="s">
        <v>218</v>
      </c>
      <c r="F1462" s="279">
        <v>3</v>
      </c>
      <c r="G1462" s="279">
        <v>2</v>
      </c>
      <c r="H1462" s="277">
        <v>1039.2</v>
      </c>
      <c r="I1462" s="279">
        <v>967.8</v>
      </c>
      <c r="J1462" s="279">
        <v>967.8</v>
      </c>
      <c r="K1462" s="279">
        <v>48</v>
      </c>
      <c r="L1462" s="283">
        <v>1586995</v>
      </c>
      <c r="M1462" s="283">
        <v>0</v>
      </c>
      <c r="N1462" s="283">
        <v>0</v>
      </c>
      <c r="O1462" s="283">
        <v>1586955</v>
      </c>
      <c r="P1462" s="283">
        <v>0</v>
      </c>
      <c r="Q1462" s="284">
        <f>L1462/I1462</f>
        <v>1639.7964455466006</v>
      </c>
      <c r="R1462" s="284">
        <v>7920</v>
      </c>
      <c r="S1462" s="285">
        <v>43830</v>
      </c>
    </row>
    <row r="1463" spans="1:19" customFormat="1" ht="15.75">
      <c r="A1463" s="277"/>
      <c r="B1463" s="288"/>
      <c r="C1463" s="279"/>
      <c r="D1463" s="279"/>
      <c r="E1463" s="280"/>
      <c r="F1463" s="279"/>
      <c r="G1463" s="279"/>
      <c r="H1463" s="279"/>
      <c r="I1463" s="279"/>
      <c r="J1463" s="279"/>
      <c r="K1463" s="279"/>
      <c r="L1463" s="283"/>
      <c r="M1463" s="283"/>
      <c r="N1463" s="283"/>
      <c r="O1463" s="283"/>
      <c r="P1463" s="283"/>
      <c r="Q1463" s="284"/>
      <c r="R1463" s="284"/>
      <c r="S1463" s="285"/>
    </row>
    <row r="1464" spans="1:19" customFormat="1" ht="15.75">
      <c r="A1464" s="277"/>
      <c r="B1464" s="288"/>
      <c r="C1464" s="279"/>
      <c r="D1464" s="279"/>
      <c r="E1464" s="280"/>
      <c r="F1464" s="279"/>
      <c r="G1464" s="279"/>
      <c r="H1464" s="279"/>
      <c r="I1464" s="279"/>
      <c r="J1464" s="279"/>
      <c r="K1464" s="279"/>
      <c r="L1464" s="283"/>
      <c r="M1464" s="283"/>
      <c r="N1464" s="283"/>
      <c r="O1464" s="283"/>
      <c r="P1464" s="283"/>
      <c r="Q1464" s="284"/>
      <c r="R1464" s="284"/>
      <c r="S1464" s="285"/>
    </row>
    <row r="1465" spans="1:19" customFormat="1" ht="15.75">
      <c r="A1465" s="277"/>
      <c r="B1465" s="288"/>
      <c r="C1465" s="279"/>
      <c r="D1465" s="279"/>
      <c r="E1465" s="280"/>
      <c r="F1465" s="279"/>
      <c r="G1465" s="279"/>
      <c r="H1465" s="279"/>
      <c r="I1465" s="279"/>
      <c r="J1465" s="279"/>
      <c r="K1465" s="279"/>
      <c r="L1465" s="283"/>
      <c r="M1465" s="283"/>
      <c r="N1465" s="283"/>
      <c r="O1465" s="283"/>
      <c r="P1465" s="283"/>
      <c r="Q1465" s="284"/>
      <c r="R1465" s="284"/>
      <c r="S1465" s="285"/>
    </row>
    <row r="1466" spans="1:19" s="1" customFormat="1" ht="15.75">
      <c r="A1466" s="87"/>
      <c r="B1466" s="1066" t="s">
        <v>54</v>
      </c>
      <c r="C1466" s="1066"/>
      <c r="D1466" s="1066"/>
      <c r="E1466" s="1066"/>
      <c r="F1466" s="1066"/>
      <c r="G1466" s="1066"/>
      <c r="H1466" s="107">
        <f>H1467</f>
        <v>1983</v>
      </c>
      <c r="I1466" s="86">
        <f t="shared" ref="I1466:P1466" si="339">I1467</f>
        <v>1780.1</v>
      </c>
      <c r="J1466" s="86">
        <f t="shared" si="339"/>
        <v>1780.1</v>
      </c>
      <c r="K1466" s="98">
        <f t="shared" si="339"/>
        <v>80</v>
      </c>
      <c r="L1466" s="92">
        <f t="shared" si="339"/>
        <v>2222747</v>
      </c>
      <c r="M1466" s="92">
        <f t="shared" si="339"/>
        <v>0</v>
      </c>
      <c r="N1466" s="92">
        <f t="shared" si="339"/>
        <v>0</v>
      </c>
      <c r="O1466" s="92">
        <f t="shared" si="339"/>
        <v>2222747</v>
      </c>
      <c r="P1466" s="92">
        <f t="shared" si="339"/>
        <v>0</v>
      </c>
      <c r="Q1466" s="86" t="s">
        <v>40</v>
      </c>
      <c r="R1466" s="86" t="s">
        <v>40</v>
      </c>
      <c r="S1466" s="285">
        <v>43830</v>
      </c>
    </row>
    <row r="1467" spans="1:19" s="1" customFormat="1" ht="15.75" customHeight="1">
      <c r="A1467" s="87"/>
      <c r="B1467" s="1068" t="s">
        <v>112</v>
      </c>
      <c r="C1467" s="1068"/>
      <c r="D1467" s="1068"/>
      <c r="E1467" s="1068"/>
      <c r="F1467" s="1068"/>
      <c r="G1467" s="1068"/>
      <c r="H1467" s="107">
        <f>SUM(H1468:H1470)</f>
        <v>1983</v>
      </c>
      <c r="I1467" s="86">
        <f t="shared" ref="I1467:P1467" si="340">SUM(I1468:I1470)</f>
        <v>1780.1</v>
      </c>
      <c r="J1467" s="86">
        <f t="shared" si="340"/>
        <v>1780.1</v>
      </c>
      <c r="K1467" s="98">
        <f t="shared" si="340"/>
        <v>80</v>
      </c>
      <c r="L1467" s="92">
        <f t="shared" si="340"/>
        <v>2222747</v>
      </c>
      <c r="M1467" s="92">
        <f t="shared" si="340"/>
        <v>0</v>
      </c>
      <c r="N1467" s="92">
        <f t="shared" si="340"/>
        <v>0</v>
      </c>
      <c r="O1467" s="92">
        <f t="shared" si="340"/>
        <v>2222747</v>
      </c>
      <c r="P1467" s="92">
        <f t="shared" si="340"/>
        <v>0</v>
      </c>
      <c r="Q1467" s="86" t="s">
        <v>40</v>
      </c>
      <c r="R1467" s="86" t="s">
        <v>40</v>
      </c>
      <c r="S1467" s="285">
        <v>43830</v>
      </c>
    </row>
    <row r="1468" spans="1:19" s="28" customFormat="1" ht="31.5">
      <c r="A1468" s="87">
        <f>A1465+1</f>
        <v>1</v>
      </c>
      <c r="B1468" s="225" t="s">
        <v>422</v>
      </c>
      <c r="C1468" s="87">
        <v>1972</v>
      </c>
      <c r="D1468" s="145"/>
      <c r="E1468" s="89" t="s">
        <v>218</v>
      </c>
      <c r="F1468" s="88">
        <v>2</v>
      </c>
      <c r="G1468" s="88">
        <v>2</v>
      </c>
      <c r="H1468" s="90">
        <v>778.9</v>
      </c>
      <c r="I1468" s="105">
        <v>719.8</v>
      </c>
      <c r="J1468" s="105">
        <v>719.8</v>
      </c>
      <c r="K1468" s="91">
        <v>27</v>
      </c>
      <c r="L1468" s="92">
        <v>1003542</v>
      </c>
      <c r="M1468" s="92">
        <v>0</v>
      </c>
      <c r="N1468" s="92">
        <v>0</v>
      </c>
      <c r="O1468" s="92">
        <f>L1468</f>
        <v>1003542</v>
      </c>
      <c r="P1468" s="92">
        <v>0</v>
      </c>
      <c r="Q1468" s="93">
        <f>L1468/I1468</f>
        <v>1394.1956098916366</v>
      </c>
      <c r="R1468" s="93">
        <v>6774</v>
      </c>
      <c r="S1468" s="285">
        <v>43830</v>
      </c>
    </row>
    <row r="1469" spans="1:19" s="28" customFormat="1" ht="31.5">
      <c r="A1469" s="87">
        <f>A1468+1</f>
        <v>2</v>
      </c>
      <c r="B1469" s="225" t="s">
        <v>421</v>
      </c>
      <c r="C1469" s="148">
        <v>1980</v>
      </c>
      <c r="D1469" s="149"/>
      <c r="E1469" s="89" t="s">
        <v>218</v>
      </c>
      <c r="F1469" s="88">
        <v>3</v>
      </c>
      <c r="G1469" s="88">
        <v>2</v>
      </c>
      <c r="H1469" s="90">
        <v>928.6</v>
      </c>
      <c r="I1469" s="105">
        <v>843.2</v>
      </c>
      <c r="J1469" s="105">
        <v>843.2</v>
      </c>
      <c r="K1469" s="91">
        <v>39</v>
      </c>
      <c r="L1469" s="92">
        <v>740146</v>
      </c>
      <c r="M1469" s="92">
        <v>0</v>
      </c>
      <c r="N1469" s="92">
        <v>0</v>
      </c>
      <c r="O1469" s="92">
        <f>L1469</f>
        <v>740146</v>
      </c>
      <c r="P1469" s="92">
        <v>0</v>
      </c>
      <c r="Q1469" s="93">
        <f>L1469/I1469</f>
        <v>877.7822580645161</v>
      </c>
      <c r="R1469" s="93">
        <v>6774</v>
      </c>
      <c r="S1469" s="285">
        <v>43830</v>
      </c>
    </row>
    <row r="1470" spans="1:19" s="28" customFormat="1" ht="15.75">
      <c r="A1470" s="87">
        <f>A1469+1</f>
        <v>3</v>
      </c>
      <c r="B1470" s="225" t="s">
        <v>423</v>
      </c>
      <c r="C1470" s="88">
        <v>1965</v>
      </c>
      <c r="D1470" s="145"/>
      <c r="E1470" s="89" t="s">
        <v>221</v>
      </c>
      <c r="F1470" s="88">
        <v>2</v>
      </c>
      <c r="G1470" s="88">
        <v>2</v>
      </c>
      <c r="H1470" s="90">
        <v>275.5</v>
      </c>
      <c r="I1470" s="105">
        <v>217.1</v>
      </c>
      <c r="J1470" s="105">
        <v>217.1</v>
      </c>
      <c r="K1470" s="91">
        <v>14</v>
      </c>
      <c r="L1470" s="92">
        <v>479059</v>
      </c>
      <c r="M1470" s="92">
        <v>0</v>
      </c>
      <c r="N1470" s="92">
        <v>0</v>
      </c>
      <c r="O1470" s="92">
        <f>L1470</f>
        <v>479059</v>
      </c>
      <c r="P1470" s="92">
        <v>0</v>
      </c>
      <c r="Q1470" s="93">
        <f>L1470/I1470</f>
        <v>2206.6282818977429</v>
      </c>
      <c r="R1470" s="93">
        <v>6774</v>
      </c>
      <c r="S1470" s="285">
        <v>43830</v>
      </c>
    </row>
    <row r="1471" spans="1:19" s="1" customFormat="1" ht="15.75">
      <c r="A1471" s="87"/>
      <c r="B1471" s="1066" t="s">
        <v>55</v>
      </c>
      <c r="C1471" s="1066"/>
      <c r="D1471" s="1066"/>
      <c r="E1471" s="1066"/>
      <c r="F1471" s="1066"/>
      <c r="G1471" s="1066"/>
      <c r="H1471" s="107">
        <f>H1472</f>
        <v>988.7</v>
      </c>
      <c r="I1471" s="86">
        <f t="shared" ref="I1471:R1472" si="341">I1472</f>
        <v>893.7</v>
      </c>
      <c r="J1471" s="86">
        <f t="shared" si="341"/>
        <v>636.9</v>
      </c>
      <c r="K1471" s="98">
        <f t="shared" si="341"/>
        <v>17</v>
      </c>
      <c r="L1471" s="92">
        <f t="shared" si="341"/>
        <v>2451868</v>
      </c>
      <c r="M1471" s="92">
        <f t="shared" si="341"/>
        <v>0</v>
      </c>
      <c r="N1471" s="92">
        <f t="shared" si="341"/>
        <v>0</v>
      </c>
      <c r="O1471" s="92">
        <f t="shared" si="341"/>
        <v>2451868</v>
      </c>
      <c r="P1471" s="92">
        <f t="shared" si="341"/>
        <v>0</v>
      </c>
      <c r="Q1471" s="86" t="str">
        <f t="shared" si="341"/>
        <v>Х</v>
      </c>
      <c r="R1471" s="86" t="str">
        <f t="shared" si="341"/>
        <v>Х</v>
      </c>
      <c r="S1471" s="285">
        <v>43830</v>
      </c>
    </row>
    <row r="1472" spans="1:19" s="1" customFormat="1" ht="15.75">
      <c r="A1472" s="87"/>
      <c r="B1472" s="1066" t="s">
        <v>122</v>
      </c>
      <c r="C1472" s="1066"/>
      <c r="D1472" s="1066"/>
      <c r="E1472" s="1066"/>
      <c r="F1472" s="1066"/>
      <c r="G1472" s="1066"/>
      <c r="H1472" s="107">
        <f>H1473</f>
        <v>988.7</v>
      </c>
      <c r="I1472" s="107">
        <f t="shared" si="341"/>
        <v>893.7</v>
      </c>
      <c r="J1472" s="107">
        <f t="shared" si="341"/>
        <v>636.9</v>
      </c>
      <c r="K1472" s="107">
        <f t="shared" si="341"/>
        <v>17</v>
      </c>
      <c r="L1472" s="313">
        <f t="shared" si="341"/>
        <v>2451868</v>
      </c>
      <c r="M1472" s="313">
        <f t="shared" si="341"/>
        <v>0</v>
      </c>
      <c r="N1472" s="313">
        <f t="shared" si="341"/>
        <v>0</v>
      </c>
      <c r="O1472" s="313">
        <f t="shared" si="341"/>
        <v>2451868</v>
      </c>
      <c r="P1472" s="313">
        <f t="shared" si="341"/>
        <v>0</v>
      </c>
      <c r="Q1472" s="86" t="s">
        <v>40</v>
      </c>
      <c r="R1472" s="93" t="s">
        <v>40</v>
      </c>
      <c r="S1472" s="285">
        <v>43830</v>
      </c>
    </row>
    <row r="1473" spans="1:19" s="1" customFormat="1" ht="31.5">
      <c r="A1473" s="277"/>
      <c r="B1473" s="288" t="s">
        <v>390</v>
      </c>
      <c r="C1473" s="488" t="s">
        <v>604</v>
      </c>
      <c r="D1473" s="279"/>
      <c r="E1473" s="280" t="s">
        <v>218</v>
      </c>
      <c r="F1473" s="279">
        <v>2</v>
      </c>
      <c r="G1473" s="279">
        <v>3</v>
      </c>
      <c r="H1473" s="281">
        <v>988.7</v>
      </c>
      <c r="I1473" s="284">
        <v>893.7</v>
      </c>
      <c r="J1473" s="284">
        <v>636.9</v>
      </c>
      <c r="K1473" s="282">
        <v>17</v>
      </c>
      <c r="L1473" s="283">
        <v>2451868</v>
      </c>
      <c r="M1473" s="283">
        <v>0</v>
      </c>
      <c r="N1473" s="283">
        <v>0</v>
      </c>
      <c r="O1473" s="283">
        <v>2451868</v>
      </c>
      <c r="P1473" s="283">
        <v>0</v>
      </c>
      <c r="Q1473" s="284">
        <f>L1473/I1473</f>
        <v>2743.5022938346201</v>
      </c>
      <c r="R1473" s="284">
        <v>7920</v>
      </c>
      <c r="S1473" s="285">
        <v>43830</v>
      </c>
    </row>
    <row r="1474" spans="1:19" s="1" customFormat="1" ht="15.75">
      <c r="A1474" s="277"/>
      <c r="B1474" s="288"/>
      <c r="C1474" s="488"/>
      <c r="D1474" s="279"/>
      <c r="E1474" s="280"/>
      <c r="F1474" s="279"/>
      <c r="G1474" s="279"/>
      <c r="H1474" s="281"/>
      <c r="I1474" s="284"/>
      <c r="J1474" s="284"/>
      <c r="K1474" s="282"/>
      <c r="L1474" s="283"/>
      <c r="M1474" s="283"/>
      <c r="N1474" s="283"/>
      <c r="O1474" s="283"/>
      <c r="P1474" s="283"/>
      <c r="Q1474" s="284"/>
      <c r="R1474" s="284"/>
      <c r="S1474" s="285"/>
    </row>
    <row r="1475" spans="1:19" s="1" customFormat="1" ht="15.75">
      <c r="A1475" s="277"/>
      <c r="B1475" s="288"/>
      <c r="C1475" s="488"/>
      <c r="D1475" s="279"/>
      <c r="E1475" s="280"/>
      <c r="F1475" s="279"/>
      <c r="G1475" s="279"/>
      <c r="H1475" s="281"/>
      <c r="I1475" s="284"/>
      <c r="J1475" s="284"/>
      <c r="K1475" s="282"/>
      <c r="L1475" s="283"/>
      <c r="M1475" s="283"/>
      <c r="N1475" s="283"/>
      <c r="O1475" s="283"/>
      <c r="P1475" s="283"/>
      <c r="Q1475" s="284"/>
      <c r="R1475" s="284"/>
      <c r="S1475" s="285"/>
    </row>
    <row r="1476" spans="1:19" s="1" customFormat="1" ht="15.75">
      <c r="A1476" s="87"/>
      <c r="B1476" s="1066" t="s">
        <v>56</v>
      </c>
      <c r="C1476" s="1066"/>
      <c r="D1476" s="1066"/>
      <c r="E1476" s="1066"/>
      <c r="F1476" s="1066"/>
      <c r="G1476" s="1066"/>
      <c r="H1476" s="107">
        <f t="shared" ref="H1476:P1476" si="342">H1483+H1477+H1485</f>
        <v>8840.7000000000007</v>
      </c>
      <c r="I1476" s="86">
        <f t="shared" si="342"/>
        <v>6723.3</v>
      </c>
      <c r="J1476" s="86">
        <f t="shared" si="342"/>
        <v>6115.2</v>
      </c>
      <c r="K1476" s="98">
        <f t="shared" si="342"/>
        <v>304</v>
      </c>
      <c r="L1476" s="92">
        <f t="shared" si="342"/>
        <v>11882203</v>
      </c>
      <c r="M1476" s="92">
        <f t="shared" si="342"/>
        <v>0</v>
      </c>
      <c r="N1476" s="92">
        <f t="shared" si="342"/>
        <v>0</v>
      </c>
      <c r="O1476" s="92">
        <f t="shared" si="342"/>
        <v>11882203</v>
      </c>
      <c r="P1476" s="92">
        <f t="shared" si="342"/>
        <v>0</v>
      </c>
      <c r="Q1476" s="86" t="str">
        <f>Q1477</f>
        <v>Х</v>
      </c>
      <c r="R1476" s="86" t="str">
        <f>R1477</f>
        <v>Х</v>
      </c>
      <c r="S1476" s="285">
        <v>43830</v>
      </c>
    </row>
    <row r="1477" spans="1:19" s="14" customFormat="1" ht="26.45" customHeight="1">
      <c r="A1477" s="277"/>
      <c r="B1477" s="1145" t="s">
        <v>424</v>
      </c>
      <c r="C1477" s="1145"/>
      <c r="D1477" s="1145"/>
      <c r="E1477" s="1145"/>
      <c r="F1477" s="1147"/>
      <c r="G1477" s="1147"/>
      <c r="H1477" s="659">
        <f>SUM(H1478:H1482)</f>
        <v>4232.5</v>
      </c>
      <c r="I1477" s="659">
        <f t="shared" ref="I1477:P1477" si="343">SUM(I1478:I1482)</f>
        <v>3017.6</v>
      </c>
      <c r="J1477" s="659">
        <f t="shared" si="343"/>
        <v>2627.5</v>
      </c>
      <c r="K1477" s="659">
        <f t="shared" si="343"/>
        <v>175</v>
      </c>
      <c r="L1477" s="660">
        <f t="shared" si="343"/>
        <v>9225003</v>
      </c>
      <c r="M1477" s="660">
        <f t="shared" si="343"/>
        <v>0</v>
      </c>
      <c r="N1477" s="660">
        <f t="shared" si="343"/>
        <v>0</v>
      </c>
      <c r="O1477" s="660">
        <f t="shared" si="343"/>
        <v>9225003</v>
      </c>
      <c r="P1477" s="660">
        <f t="shared" si="343"/>
        <v>0</v>
      </c>
      <c r="Q1477" s="661" t="s">
        <v>40</v>
      </c>
      <c r="R1477" s="662" t="s">
        <v>40</v>
      </c>
      <c r="S1477" s="285">
        <v>43830</v>
      </c>
    </row>
    <row r="1478" spans="1:19" s="33" customFormat="1" ht="31.5">
      <c r="A1478" s="277">
        <f>A1475+1</f>
        <v>1</v>
      </c>
      <c r="B1478" s="544" t="s">
        <v>715</v>
      </c>
      <c r="C1478" s="277">
        <v>1976</v>
      </c>
      <c r="D1478" s="277"/>
      <c r="E1478" s="663" t="s">
        <v>218</v>
      </c>
      <c r="F1478" s="279">
        <v>2</v>
      </c>
      <c r="G1478" s="279">
        <v>2</v>
      </c>
      <c r="H1478" s="305">
        <v>1011.9</v>
      </c>
      <c r="I1478" s="305">
        <v>686.6</v>
      </c>
      <c r="J1478" s="305">
        <v>603</v>
      </c>
      <c r="K1478" s="279">
        <v>62</v>
      </c>
      <c r="L1478" s="664">
        <v>3119960</v>
      </c>
      <c r="M1478" s="664">
        <v>0</v>
      </c>
      <c r="N1478" s="664">
        <v>0</v>
      </c>
      <c r="O1478" s="664">
        <v>3119960</v>
      </c>
      <c r="P1478" s="664">
        <v>0</v>
      </c>
      <c r="Q1478" s="664">
        <f>L1478/I1478</f>
        <v>4544.0722400233035</v>
      </c>
      <c r="R1478" s="664">
        <v>7920</v>
      </c>
      <c r="S1478" s="547">
        <v>43830</v>
      </c>
    </row>
    <row r="1479" spans="1:19" s="33" customFormat="1" ht="31.5">
      <c r="A1479" s="277">
        <f>A1478+1</f>
        <v>2</v>
      </c>
      <c r="B1479" s="665" t="s">
        <v>716</v>
      </c>
      <c r="C1479" s="277">
        <v>1957</v>
      </c>
      <c r="D1479" s="277"/>
      <c r="E1479" s="663" t="s">
        <v>218</v>
      </c>
      <c r="F1479" s="279">
        <v>2</v>
      </c>
      <c r="G1479" s="279">
        <v>2</v>
      </c>
      <c r="H1479" s="305">
        <v>978.8</v>
      </c>
      <c r="I1479" s="305">
        <v>798</v>
      </c>
      <c r="J1479" s="305">
        <v>701.9</v>
      </c>
      <c r="K1479" s="279">
        <v>26</v>
      </c>
      <c r="L1479" s="664">
        <v>2408975</v>
      </c>
      <c r="M1479" s="664">
        <v>0</v>
      </c>
      <c r="N1479" s="664">
        <v>0</v>
      </c>
      <c r="O1479" s="664">
        <v>2408975</v>
      </c>
      <c r="P1479" s="664">
        <v>0</v>
      </c>
      <c r="Q1479" s="664">
        <f>L1479/I1479</f>
        <v>3018.7656641604012</v>
      </c>
      <c r="R1479" s="664">
        <v>7920</v>
      </c>
      <c r="S1479" s="547">
        <v>43830</v>
      </c>
    </row>
    <row r="1480" spans="1:19" s="33" customFormat="1" ht="31.5">
      <c r="A1480" s="277">
        <f>A1479+1</f>
        <v>3</v>
      </c>
      <c r="B1480" s="544" t="s">
        <v>717</v>
      </c>
      <c r="C1480" s="277">
        <v>1853</v>
      </c>
      <c r="D1480" s="277"/>
      <c r="E1480" s="663" t="s">
        <v>218</v>
      </c>
      <c r="F1480" s="279">
        <v>2</v>
      </c>
      <c r="G1480" s="279">
        <v>1</v>
      </c>
      <c r="H1480" s="305">
        <v>374.3</v>
      </c>
      <c r="I1480" s="305">
        <v>257.89999999999998</v>
      </c>
      <c r="J1480" s="305">
        <v>176</v>
      </c>
      <c r="K1480" s="279">
        <v>14</v>
      </c>
      <c r="L1480" s="664">
        <v>678910</v>
      </c>
      <c r="M1480" s="664">
        <v>0</v>
      </c>
      <c r="N1480" s="664">
        <v>0</v>
      </c>
      <c r="O1480" s="664">
        <v>678910</v>
      </c>
      <c r="P1480" s="664">
        <v>0</v>
      </c>
      <c r="Q1480" s="664">
        <f>L1480/I1480</f>
        <v>2632.4544397053123</v>
      </c>
      <c r="R1480" s="664">
        <v>7920</v>
      </c>
      <c r="S1480" s="547">
        <v>43830</v>
      </c>
    </row>
    <row r="1481" spans="1:19" s="33" customFormat="1" ht="31.5">
      <c r="A1481" s="277">
        <f>A1480+1</f>
        <v>4</v>
      </c>
      <c r="B1481" s="542" t="s">
        <v>718</v>
      </c>
      <c r="C1481" s="277">
        <v>1970</v>
      </c>
      <c r="D1481" s="277"/>
      <c r="E1481" s="663" t="s">
        <v>218</v>
      </c>
      <c r="F1481" s="279">
        <v>2</v>
      </c>
      <c r="G1481" s="279">
        <v>2</v>
      </c>
      <c r="H1481" s="305">
        <v>541.9</v>
      </c>
      <c r="I1481" s="305">
        <v>493.7</v>
      </c>
      <c r="J1481" s="305">
        <v>452.5</v>
      </c>
      <c r="K1481" s="279">
        <v>19</v>
      </c>
      <c r="L1481" s="664">
        <v>1603279</v>
      </c>
      <c r="M1481" s="664">
        <v>0</v>
      </c>
      <c r="N1481" s="664">
        <v>0</v>
      </c>
      <c r="O1481" s="664">
        <v>1603279</v>
      </c>
      <c r="P1481" s="664">
        <v>0</v>
      </c>
      <c r="Q1481" s="664">
        <f>L1481/I1481</f>
        <v>3247.4762001215313</v>
      </c>
      <c r="R1481" s="664">
        <v>7920</v>
      </c>
      <c r="S1481" s="547">
        <v>43830</v>
      </c>
    </row>
    <row r="1482" spans="1:19" s="33" customFormat="1" ht="31.5">
      <c r="A1482" s="277">
        <f>A1481+1</f>
        <v>5</v>
      </c>
      <c r="B1482" s="544" t="s">
        <v>719</v>
      </c>
      <c r="C1482" s="277">
        <v>1983</v>
      </c>
      <c r="D1482" s="277"/>
      <c r="E1482" s="663" t="s">
        <v>218</v>
      </c>
      <c r="F1482" s="279">
        <v>2</v>
      </c>
      <c r="G1482" s="279">
        <v>2</v>
      </c>
      <c r="H1482" s="305">
        <v>1325.6</v>
      </c>
      <c r="I1482" s="305">
        <v>781.4</v>
      </c>
      <c r="J1482" s="305">
        <v>694.1</v>
      </c>
      <c r="K1482" s="279">
        <v>54</v>
      </c>
      <c r="L1482" s="664">
        <v>1413879</v>
      </c>
      <c r="M1482" s="664">
        <v>0</v>
      </c>
      <c r="N1482" s="664">
        <v>0</v>
      </c>
      <c r="O1482" s="664">
        <v>1413879</v>
      </c>
      <c r="P1482" s="664">
        <v>0</v>
      </c>
      <c r="Q1482" s="664">
        <f>L1482/I1482</f>
        <v>1809.4177117993345</v>
      </c>
      <c r="R1482" s="664">
        <v>7920</v>
      </c>
      <c r="S1482" s="547">
        <v>43830</v>
      </c>
    </row>
    <row r="1483" spans="1:19" s="1" customFormat="1" ht="23.45" customHeight="1">
      <c r="A1483" s="87"/>
      <c r="B1483" s="1068" t="s">
        <v>121</v>
      </c>
      <c r="C1483" s="1068"/>
      <c r="D1483" s="1068"/>
      <c r="E1483" s="1068"/>
      <c r="F1483" s="1068"/>
      <c r="G1483" s="1068"/>
      <c r="H1483" s="107">
        <f>H1484</f>
        <v>3954</v>
      </c>
      <c r="I1483" s="86">
        <f t="shared" ref="I1483:P1483" si="344">I1484</f>
        <v>3051.5</v>
      </c>
      <c r="J1483" s="86">
        <f t="shared" si="344"/>
        <v>2833.5</v>
      </c>
      <c r="K1483" s="98">
        <f t="shared" si="344"/>
        <v>93</v>
      </c>
      <c r="L1483" s="92">
        <f t="shared" si="344"/>
        <v>2068781</v>
      </c>
      <c r="M1483" s="92">
        <f t="shared" si="344"/>
        <v>0</v>
      </c>
      <c r="N1483" s="92">
        <f t="shared" si="344"/>
        <v>0</v>
      </c>
      <c r="O1483" s="92">
        <f t="shared" si="344"/>
        <v>2068781</v>
      </c>
      <c r="P1483" s="92">
        <f t="shared" si="344"/>
        <v>0</v>
      </c>
      <c r="Q1483" s="86" t="s">
        <v>40</v>
      </c>
      <c r="R1483" s="86" t="s">
        <v>40</v>
      </c>
      <c r="S1483" s="285">
        <v>43830</v>
      </c>
    </row>
    <row r="1484" spans="1:19" s="1" customFormat="1" ht="29.45" customHeight="1">
      <c r="A1484" s="87" t="e">
        <f>#REF!+1</f>
        <v>#REF!</v>
      </c>
      <c r="B1484" s="224" t="s">
        <v>993</v>
      </c>
      <c r="C1484" s="232">
        <v>1982</v>
      </c>
      <c r="D1484" s="97"/>
      <c r="E1484" s="89" t="s">
        <v>219</v>
      </c>
      <c r="F1484" s="97">
        <v>5</v>
      </c>
      <c r="G1484" s="97">
        <v>4</v>
      </c>
      <c r="H1484" s="107">
        <v>3954</v>
      </c>
      <c r="I1484" s="86">
        <v>3051.5</v>
      </c>
      <c r="J1484" s="86">
        <v>2833.5</v>
      </c>
      <c r="K1484" s="98">
        <v>93</v>
      </c>
      <c r="L1484" s="92">
        <v>2068781</v>
      </c>
      <c r="M1484" s="92">
        <v>0</v>
      </c>
      <c r="N1484" s="92">
        <v>0</v>
      </c>
      <c r="O1484" s="92">
        <f>L1484</f>
        <v>2068781</v>
      </c>
      <c r="P1484" s="92">
        <v>0</v>
      </c>
      <c r="Q1484" s="86">
        <f>L1484/I1484</f>
        <v>677.95543175487467</v>
      </c>
      <c r="R1484" s="93">
        <v>7920</v>
      </c>
      <c r="S1484" s="285">
        <v>43830</v>
      </c>
    </row>
    <row r="1485" spans="1:19" s="1" customFormat="1" ht="15.75" customHeight="1">
      <c r="A1485" s="87"/>
      <c r="B1485" s="1068" t="s">
        <v>807</v>
      </c>
      <c r="C1485" s="1068"/>
      <c r="D1485" s="1068"/>
      <c r="E1485" s="1068"/>
      <c r="F1485" s="1068"/>
      <c r="G1485" s="1068"/>
      <c r="H1485" s="107">
        <f>H1486</f>
        <v>654.20000000000005</v>
      </c>
      <c r="I1485" s="86">
        <f t="shared" ref="I1485:P1485" si="345">I1486</f>
        <v>654.20000000000005</v>
      </c>
      <c r="J1485" s="86">
        <f t="shared" si="345"/>
        <v>654.20000000000005</v>
      </c>
      <c r="K1485" s="98">
        <f t="shared" si="345"/>
        <v>36</v>
      </c>
      <c r="L1485" s="92">
        <f t="shared" si="345"/>
        <v>588419</v>
      </c>
      <c r="M1485" s="92">
        <f t="shared" si="345"/>
        <v>0</v>
      </c>
      <c r="N1485" s="92">
        <f t="shared" si="345"/>
        <v>0</v>
      </c>
      <c r="O1485" s="92">
        <f t="shared" si="345"/>
        <v>588419</v>
      </c>
      <c r="P1485" s="92">
        <f t="shared" si="345"/>
        <v>0</v>
      </c>
      <c r="Q1485" s="86" t="s">
        <v>40</v>
      </c>
      <c r="R1485" s="86" t="s">
        <v>40</v>
      </c>
      <c r="S1485" s="285">
        <v>43830</v>
      </c>
    </row>
    <row r="1486" spans="1:19" s="1" customFormat="1" ht="31.5">
      <c r="A1486" s="87" t="e">
        <f>A1484+1</f>
        <v>#REF!</v>
      </c>
      <c r="B1486" s="224" t="s">
        <v>809</v>
      </c>
      <c r="C1486" s="232">
        <v>1962</v>
      </c>
      <c r="D1486" s="97"/>
      <c r="E1486" s="89" t="s">
        <v>218</v>
      </c>
      <c r="F1486" s="97">
        <v>2</v>
      </c>
      <c r="G1486" s="97">
        <v>2</v>
      </c>
      <c r="H1486" s="107">
        <v>654.20000000000005</v>
      </c>
      <c r="I1486" s="86">
        <v>654.20000000000005</v>
      </c>
      <c r="J1486" s="86">
        <v>654.20000000000005</v>
      </c>
      <c r="K1486" s="98">
        <v>36</v>
      </c>
      <c r="L1486" s="92">
        <v>588419</v>
      </c>
      <c r="M1486" s="92">
        <v>0</v>
      </c>
      <c r="N1486" s="92">
        <v>0</v>
      </c>
      <c r="O1486" s="92">
        <f>L1486</f>
        <v>588419</v>
      </c>
      <c r="P1486" s="92">
        <v>0</v>
      </c>
      <c r="Q1486" s="86">
        <f>L1486/I1486</f>
        <v>899.4481809844084</v>
      </c>
      <c r="R1486" s="93">
        <v>7920</v>
      </c>
      <c r="S1486" s="285">
        <v>43830</v>
      </c>
    </row>
    <row r="1487" spans="1:19" s="1" customFormat="1" ht="15.75">
      <c r="A1487" s="87"/>
      <c r="B1487" s="1066" t="s">
        <v>57</v>
      </c>
      <c r="C1487" s="1066"/>
      <c r="D1487" s="1066"/>
      <c r="E1487" s="1066"/>
      <c r="F1487" s="1066"/>
      <c r="G1487" s="1066"/>
      <c r="H1487" s="107">
        <f>H1488</f>
        <v>821.12</v>
      </c>
      <c r="I1487" s="107">
        <f t="shared" ref="I1487:P1488" si="346">I1488</f>
        <v>756</v>
      </c>
      <c r="J1487" s="107">
        <f t="shared" si="346"/>
        <v>756</v>
      </c>
      <c r="K1487" s="98">
        <f t="shared" si="346"/>
        <v>21</v>
      </c>
      <c r="L1487" s="92">
        <f t="shared" si="346"/>
        <v>1788296</v>
      </c>
      <c r="M1487" s="92">
        <f t="shared" si="346"/>
        <v>0</v>
      </c>
      <c r="N1487" s="92">
        <f t="shared" si="346"/>
        <v>0</v>
      </c>
      <c r="O1487" s="92">
        <f t="shared" si="346"/>
        <v>1788296</v>
      </c>
      <c r="P1487" s="92">
        <f t="shared" si="346"/>
        <v>0</v>
      </c>
      <c r="Q1487" s="86" t="s">
        <v>40</v>
      </c>
      <c r="R1487" s="93" t="s">
        <v>40</v>
      </c>
      <c r="S1487" s="285">
        <v>43830</v>
      </c>
    </row>
    <row r="1488" spans="1:19" s="1" customFormat="1" ht="15.6" customHeight="1">
      <c r="A1488" s="87"/>
      <c r="B1488" s="1068" t="s">
        <v>119</v>
      </c>
      <c r="C1488" s="1068"/>
      <c r="D1488" s="1068"/>
      <c r="E1488" s="1068"/>
      <c r="F1488" s="1068"/>
      <c r="G1488" s="1068"/>
      <c r="H1488" s="107">
        <f>H1489</f>
        <v>821.12</v>
      </c>
      <c r="I1488" s="107">
        <f t="shared" si="346"/>
        <v>756</v>
      </c>
      <c r="J1488" s="107">
        <f t="shared" si="346"/>
        <v>756</v>
      </c>
      <c r="K1488" s="107">
        <f t="shared" si="346"/>
        <v>21</v>
      </c>
      <c r="L1488" s="496">
        <f t="shared" si="346"/>
        <v>1788296</v>
      </c>
      <c r="M1488" s="496">
        <f t="shared" si="346"/>
        <v>0</v>
      </c>
      <c r="N1488" s="496">
        <f t="shared" si="346"/>
        <v>0</v>
      </c>
      <c r="O1488" s="496">
        <f t="shared" si="346"/>
        <v>1788296</v>
      </c>
      <c r="P1488" s="496">
        <f t="shared" si="346"/>
        <v>0</v>
      </c>
      <c r="Q1488" s="86" t="s">
        <v>40</v>
      </c>
      <c r="R1488" s="86" t="s">
        <v>40</v>
      </c>
      <c r="S1488" s="285">
        <v>43830</v>
      </c>
    </row>
    <row r="1489" spans="1:19" s="18" customFormat="1" ht="31.5">
      <c r="A1489" s="87">
        <v>1</v>
      </c>
      <c r="B1489" s="227" t="s">
        <v>984</v>
      </c>
      <c r="C1489" s="232">
        <v>1920</v>
      </c>
      <c r="D1489" s="97"/>
      <c r="E1489" s="89" t="s">
        <v>218</v>
      </c>
      <c r="F1489" s="97">
        <v>2</v>
      </c>
      <c r="G1489" s="97">
        <v>2</v>
      </c>
      <c r="H1489" s="107">
        <v>821.12</v>
      </c>
      <c r="I1489" s="107">
        <v>756</v>
      </c>
      <c r="J1489" s="107">
        <v>756</v>
      </c>
      <c r="K1489" s="98">
        <v>21</v>
      </c>
      <c r="L1489" s="92">
        <v>1788296</v>
      </c>
      <c r="M1489" s="92">
        <v>0</v>
      </c>
      <c r="N1489" s="92">
        <v>0</v>
      </c>
      <c r="O1489" s="92">
        <f>L1489</f>
        <v>1788296</v>
      </c>
      <c r="P1489" s="92">
        <v>0</v>
      </c>
      <c r="Q1489" s="86">
        <f>L1489/I1489</f>
        <v>2365.4708994708994</v>
      </c>
      <c r="R1489" s="93">
        <v>7920</v>
      </c>
      <c r="S1489" s="285">
        <v>43830</v>
      </c>
    </row>
    <row r="1490" spans="1:19" s="1" customFormat="1" ht="15.75">
      <c r="A1490" s="87"/>
      <c r="B1490" s="1066" t="s">
        <v>58</v>
      </c>
      <c r="C1490" s="1066"/>
      <c r="D1490" s="1066"/>
      <c r="E1490" s="1066"/>
      <c r="F1490" s="1066"/>
      <c r="G1490" s="1066"/>
      <c r="H1490" s="107">
        <f>H1491</f>
        <v>15250.300000000001</v>
      </c>
      <c r="I1490" s="107">
        <f t="shared" ref="I1490:P1490" si="347">I1491</f>
        <v>13418.4</v>
      </c>
      <c r="J1490" s="107">
        <f t="shared" si="347"/>
        <v>12151.1</v>
      </c>
      <c r="K1490" s="98">
        <f t="shared" si="347"/>
        <v>490</v>
      </c>
      <c r="L1490" s="92">
        <f t="shared" si="347"/>
        <v>12013200</v>
      </c>
      <c r="M1490" s="92">
        <f t="shared" si="347"/>
        <v>0</v>
      </c>
      <c r="N1490" s="92">
        <f t="shared" si="347"/>
        <v>0</v>
      </c>
      <c r="O1490" s="92">
        <f t="shared" si="347"/>
        <v>12013200</v>
      </c>
      <c r="P1490" s="92">
        <f t="shared" si="347"/>
        <v>0</v>
      </c>
      <c r="Q1490" s="86" t="s">
        <v>40</v>
      </c>
      <c r="R1490" s="86" t="s">
        <v>40</v>
      </c>
      <c r="S1490" s="285">
        <v>43830</v>
      </c>
    </row>
    <row r="1491" spans="1:19" s="1" customFormat="1" ht="15.75" customHeight="1">
      <c r="A1491" s="87"/>
      <c r="B1491" s="1068" t="s">
        <v>87</v>
      </c>
      <c r="C1491" s="1068"/>
      <c r="D1491" s="1068"/>
      <c r="E1491" s="1068"/>
      <c r="F1491" s="1068"/>
      <c r="G1491" s="1068"/>
      <c r="H1491" s="107">
        <f>SUM(H1492:H1500)</f>
        <v>15250.300000000001</v>
      </c>
      <c r="I1491" s="86">
        <f t="shared" ref="I1491:N1491" si="348">SUM(I1492:I1500)</f>
        <v>13418.4</v>
      </c>
      <c r="J1491" s="86">
        <f t="shared" si="348"/>
        <v>12151.1</v>
      </c>
      <c r="K1491" s="98">
        <f t="shared" si="348"/>
        <v>490</v>
      </c>
      <c r="L1491" s="92">
        <f t="shared" si="348"/>
        <v>12013200</v>
      </c>
      <c r="M1491" s="92">
        <f t="shared" si="348"/>
        <v>0</v>
      </c>
      <c r="N1491" s="92">
        <f t="shared" si="348"/>
        <v>0</v>
      </c>
      <c r="O1491" s="92">
        <f>SUM(O1492:O1500)</f>
        <v>12013200</v>
      </c>
      <c r="P1491" s="92">
        <v>0</v>
      </c>
      <c r="Q1491" s="86" t="s">
        <v>40</v>
      </c>
      <c r="R1491" s="86" t="s">
        <v>40</v>
      </c>
      <c r="S1491" s="285">
        <v>43830</v>
      </c>
    </row>
    <row r="1492" spans="1:19" s="24" customFormat="1" ht="31.5">
      <c r="A1492" s="87">
        <f>A1489+1</f>
        <v>2</v>
      </c>
      <c r="B1492" s="227" t="s">
        <v>425</v>
      </c>
      <c r="C1492" s="87">
        <v>1962</v>
      </c>
      <c r="D1492" s="79"/>
      <c r="E1492" s="89" t="s">
        <v>218</v>
      </c>
      <c r="F1492" s="79">
        <v>5</v>
      </c>
      <c r="G1492" s="79">
        <v>4</v>
      </c>
      <c r="H1492" s="150">
        <v>3382</v>
      </c>
      <c r="I1492" s="94">
        <v>3164.5</v>
      </c>
      <c r="J1492" s="94">
        <v>2546.4</v>
      </c>
      <c r="K1492" s="128">
        <v>88</v>
      </c>
      <c r="L1492" s="92">
        <f t="shared" ref="L1492:L1500" si="349">O1492</f>
        <v>2239107</v>
      </c>
      <c r="M1492" s="92">
        <v>0</v>
      </c>
      <c r="N1492" s="92">
        <v>0</v>
      </c>
      <c r="O1492" s="92">
        <v>2239107</v>
      </c>
      <c r="P1492" s="92">
        <v>0</v>
      </c>
      <c r="Q1492" s="80">
        <f t="shared" ref="Q1492:Q1500" si="350">L1492/I1492</f>
        <v>707.57054826986882</v>
      </c>
      <c r="R1492" s="93">
        <v>6774</v>
      </c>
      <c r="S1492" s="285">
        <v>43830</v>
      </c>
    </row>
    <row r="1493" spans="1:19" s="24" customFormat="1" ht="15.75">
      <c r="A1493" s="87">
        <f t="shared" ref="A1493:A1500" si="351">A1492+1</f>
        <v>3</v>
      </c>
      <c r="B1493" s="227" t="s">
        <v>79</v>
      </c>
      <c r="C1493" s="79">
        <v>1949</v>
      </c>
      <c r="D1493" s="79"/>
      <c r="E1493" s="89" t="s">
        <v>222</v>
      </c>
      <c r="F1493" s="79">
        <v>2</v>
      </c>
      <c r="G1493" s="79">
        <v>2</v>
      </c>
      <c r="H1493" s="150">
        <v>448.3</v>
      </c>
      <c r="I1493" s="80">
        <v>402.5</v>
      </c>
      <c r="J1493" s="80">
        <v>346.7</v>
      </c>
      <c r="K1493" s="81">
        <v>16</v>
      </c>
      <c r="L1493" s="92">
        <f t="shared" si="349"/>
        <v>706234</v>
      </c>
      <c r="M1493" s="92">
        <v>0</v>
      </c>
      <c r="N1493" s="92">
        <v>0</v>
      </c>
      <c r="O1493" s="92">
        <v>706234</v>
      </c>
      <c r="P1493" s="92">
        <v>0</v>
      </c>
      <c r="Q1493" s="80">
        <f t="shared" si="350"/>
        <v>1754.6186335403727</v>
      </c>
      <c r="R1493" s="93">
        <v>6774</v>
      </c>
      <c r="S1493" s="285">
        <v>43830</v>
      </c>
    </row>
    <row r="1494" spans="1:19" s="24" customFormat="1" ht="15.75">
      <c r="A1494" s="87">
        <f t="shared" si="351"/>
        <v>4</v>
      </c>
      <c r="B1494" s="227" t="s">
        <v>78</v>
      </c>
      <c r="C1494" s="79">
        <v>1949</v>
      </c>
      <c r="D1494" s="79"/>
      <c r="E1494" s="89" t="s">
        <v>221</v>
      </c>
      <c r="F1494" s="79">
        <v>2</v>
      </c>
      <c r="G1494" s="79">
        <v>2</v>
      </c>
      <c r="H1494" s="150">
        <v>438.3</v>
      </c>
      <c r="I1494" s="80">
        <v>393.5</v>
      </c>
      <c r="J1494" s="80">
        <f>I1494-49.9</f>
        <v>343.6</v>
      </c>
      <c r="K1494" s="81">
        <v>16</v>
      </c>
      <c r="L1494" s="92">
        <f t="shared" si="349"/>
        <v>651603</v>
      </c>
      <c r="M1494" s="92">
        <v>0</v>
      </c>
      <c r="N1494" s="92">
        <v>0</v>
      </c>
      <c r="O1494" s="92">
        <v>651603</v>
      </c>
      <c r="P1494" s="92">
        <v>0</v>
      </c>
      <c r="Q1494" s="80">
        <f t="shared" si="350"/>
        <v>1655.9161372299873</v>
      </c>
      <c r="R1494" s="93">
        <v>6774</v>
      </c>
      <c r="S1494" s="285">
        <v>43830</v>
      </c>
    </row>
    <row r="1495" spans="1:19" s="24" customFormat="1" ht="31.5">
      <c r="A1495" s="87">
        <f t="shared" si="351"/>
        <v>5</v>
      </c>
      <c r="B1495" s="227" t="s">
        <v>426</v>
      </c>
      <c r="C1495" s="87">
        <v>1990</v>
      </c>
      <c r="D1495" s="79"/>
      <c r="E1495" s="89" t="s">
        <v>218</v>
      </c>
      <c r="F1495" s="79">
        <v>3</v>
      </c>
      <c r="G1495" s="79">
        <v>1</v>
      </c>
      <c r="H1495" s="150">
        <v>700.1</v>
      </c>
      <c r="I1495" s="94">
        <v>650.70000000000005</v>
      </c>
      <c r="J1495" s="94">
        <v>650.70000000000005</v>
      </c>
      <c r="K1495" s="128">
        <v>18</v>
      </c>
      <c r="L1495" s="92">
        <f t="shared" si="349"/>
        <v>698701</v>
      </c>
      <c r="M1495" s="92">
        <v>0</v>
      </c>
      <c r="N1495" s="92">
        <v>0</v>
      </c>
      <c r="O1495" s="92">
        <v>698701</v>
      </c>
      <c r="P1495" s="92">
        <v>0</v>
      </c>
      <c r="Q1495" s="80">
        <f t="shared" si="350"/>
        <v>1073.7682495773781</v>
      </c>
      <c r="R1495" s="93">
        <v>6774</v>
      </c>
      <c r="S1495" s="285">
        <v>43830</v>
      </c>
    </row>
    <row r="1496" spans="1:19" s="24" customFormat="1" ht="31.5">
      <c r="A1496" s="87">
        <f t="shared" si="351"/>
        <v>6</v>
      </c>
      <c r="B1496" s="227" t="s">
        <v>80</v>
      </c>
      <c r="C1496" s="87">
        <v>1982</v>
      </c>
      <c r="D1496" s="79"/>
      <c r="E1496" s="89" t="s">
        <v>218</v>
      </c>
      <c r="F1496" s="79">
        <v>5</v>
      </c>
      <c r="G1496" s="79">
        <v>4</v>
      </c>
      <c r="H1496" s="151">
        <v>3159.2</v>
      </c>
      <c r="I1496" s="94">
        <v>2600.8000000000002</v>
      </c>
      <c r="J1496" s="94">
        <v>2455.5</v>
      </c>
      <c r="K1496" s="128">
        <v>106</v>
      </c>
      <c r="L1496" s="92">
        <f t="shared" si="349"/>
        <v>1512903</v>
      </c>
      <c r="M1496" s="92">
        <v>0</v>
      </c>
      <c r="N1496" s="92">
        <v>0</v>
      </c>
      <c r="O1496" s="92">
        <v>1512903</v>
      </c>
      <c r="P1496" s="92">
        <v>0</v>
      </c>
      <c r="Q1496" s="80">
        <f t="shared" si="350"/>
        <v>581.70678252845278</v>
      </c>
      <c r="R1496" s="93">
        <v>6774</v>
      </c>
      <c r="S1496" s="285">
        <v>43830</v>
      </c>
    </row>
    <row r="1497" spans="1:19" s="24" customFormat="1" ht="15.75">
      <c r="A1497" s="87">
        <f t="shared" si="351"/>
        <v>7</v>
      </c>
      <c r="B1497" s="227" t="s">
        <v>84</v>
      </c>
      <c r="C1497" s="87">
        <v>1953</v>
      </c>
      <c r="D1497" s="79"/>
      <c r="E1497" s="89" t="s">
        <v>220</v>
      </c>
      <c r="F1497" s="79">
        <v>2</v>
      </c>
      <c r="G1497" s="79">
        <v>2</v>
      </c>
      <c r="H1497" s="151">
        <v>664.5</v>
      </c>
      <c r="I1497" s="94">
        <v>609.4</v>
      </c>
      <c r="J1497" s="94">
        <f>450.2-48.3</f>
        <v>401.9</v>
      </c>
      <c r="K1497" s="128">
        <v>15</v>
      </c>
      <c r="L1497" s="92">
        <f t="shared" si="349"/>
        <v>1668544</v>
      </c>
      <c r="M1497" s="92">
        <v>0</v>
      </c>
      <c r="N1497" s="92">
        <v>0</v>
      </c>
      <c r="O1497" s="92">
        <v>1668544</v>
      </c>
      <c r="P1497" s="92">
        <v>0</v>
      </c>
      <c r="Q1497" s="80">
        <f t="shared" si="350"/>
        <v>2738.0111585165737</v>
      </c>
      <c r="R1497" s="93">
        <v>6774</v>
      </c>
      <c r="S1497" s="285">
        <v>43830</v>
      </c>
    </row>
    <row r="1498" spans="1:19" s="24" customFormat="1" ht="31.5">
      <c r="A1498" s="87">
        <f t="shared" si="351"/>
        <v>8</v>
      </c>
      <c r="B1498" s="227" t="s">
        <v>81</v>
      </c>
      <c r="C1498" s="87">
        <v>1988</v>
      </c>
      <c r="D1498" s="79"/>
      <c r="E1498" s="89" t="s">
        <v>218</v>
      </c>
      <c r="F1498" s="79">
        <v>5</v>
      </c>
      <c r="G1498" s="79">
        <v>6</v>
      </c>
      <c r="H1498" s="151">
        <v>4806.3999999999996</v>
      </c>
      <c r="I1498" s="94">
        <v>4087.2</v>
      </c>
      <c r="J1498" s="94">
        <v>4087.2</v>
      </c>
      <c r="K1498" s="128">
        <v>172</v>
      </c>
      <c r="L1498" s="92">
        <f t="shared" si="349"/>
        <v>2294873</v>
      </c>
      <c r="M1498" s="92">
        <v>0</v>
      </c>
      <c r="N1498" s="92">
        <v>0</v>
      </c>
      <c r="O1498" s="92">
        <v>2294873</v>
      </c>
      <c r="P1498" s="92">
        <v>0</v>
      </c>
      <c r="Q1498" s="80">
        <f t="shared" si="350"/>
        <v>561.47802896848702</v>
      </c>
      <c r="R1498" s="93">
        <v>6774</v>
      </c>
      <c r="S1498" s="285">
        <v>43830</v>
      </c>
    </row>
    <row r="1499" spans="1:19" s="24" customFormat="1" ht="15.75">
      <c r="A1499" s="87">
        <f t="shared" si="351"/>
        <v>9</v>
      </c>
      <c r="B1499" s="227" t="s">
        <v>82</v>
      </c>
      <c r="C1499" s="87">
        <v>1948</v>
      </c>
      <c r="D1499" s="79"/>
      <c r="E1499" s="89" t="s">
        <v>221</v>
      </c>
      <c r="F1499" s="79">
        <v>2</v>
      </c>
      <c r="G1499" s="79">
        <v>1</v>
      </c>
      <c r="H1499" s="151">
        <v>559.9</v>
      </c>
      <c r="I1499" s="94">
        <v>503.7</v>
      </c>
      <c r="J1499" s="94">
        <f>I1499-190.7</f>
        <v>313</v>
      </c>
      <c r="K1499" s="128">
        <v>26</v>
      </c>
      <c r="L1499" s="92">
        <f t="shared" si="349"/>
        <v>879987</v>
      </c>
      <c r="M1499" s="92">
        <v>0</v>
      </c>
      <c r="N1499" s="92">
        <v>0</v>
      </c>
      <c r="O1499" s="92">
        <v>879987</v>
      </c>
      <c r="P1499" s="92">
        <v>0</v>
      </c>
      <c r="Q1499" s="80">
        <f t="shared" si="350"/>
        <v>1747.0458606313282</v>
      </c>
      <c r="R1499" s="93">
        <v>6774</v>
      </c>
      <c r="S1499" s="285">
        <v>43830</v>
      </c>
    </row>
    <row r="1500" spans="1:19" s="24" customFormat="1" ht="31.5">
      <c r="A1500" s="87">
        <f t="shared" si="351"/>
        <v>10</v>
      </c>
      <c r="B1500" s="227" t="s">
        <v>83</v>
      </c>
      <c r="C1500" s="87">
        <v>1958</v>
      </c>
      <c r="D1500" s="79"/>
      <c r="E1500" s="89" t="s">
        <v>218</v>
      </c>
      <c r="F1500" s="79">
        <v>2</v>
      </c>
      <c r="G1500" s="79">
        <v>3</v>
      </c>
      <c r="H1500" s="151">
        <v>1091.5999999999999</v>
      </c>
      <c r="I1500" s="94">
        <v>1006.1</v>
      </c>
      <c r="J1500" s="94">
        <v>1006.1</v>
      </c>
      <c r="K1500" s="128">
        <v>33</v>
      </c>
      <c r="L1500" s="92">
        <f t="shared" si="349"/>
        <v>1361248</v>
      </c>
      <c r="M1500" s="92">
        <v>0</v>
      </c>
      <c r="N1500" s="92">
        <v>0</v>
      </c>
      <c r="O1500" s="92">
        <v>1361248</v>
      </c>
      <c r="P1500" s="92">
        <v>0</v>
      </c>
      <c r="Q1500" s="80">
        <f t="shared" si="350"/>
        <v>1352.9947321339828</v>
      </c>
      <c r="R1500" s="93">
        <v>6774</v>
      </c>
      <c r="S1500" s="285">
        <v>43830</v>
      </c>
    </row>
    <row r="1501" spans="1:19" s="1" customFormat="1" ht="15.75">
      <c r="A1501" s="87"/>
      <c r="B1501" s="1066" t="s">
        <v>60</v>
      </c>
      <c r="C1501" s="1066"/>
      <c r="D1501" s="1066"/>
      <c r="E1501" s="1066"/>
      <c r="F1501" s="1066"/>
      <c r="G1501" s="1066"/>
      <c r="H1501" s="107">
        <f>H1502</f>
        <v>10619.599999999999</v>
      </c>
      <c r="I1501" s="86">
        <f t="shared" ref="I1501:P1501" si="352">I1502</f>
        <v>8195.6999999999989</v>
      </c>
      <c r="J1501" s="86">
        <f t="shared" si="352"/>
        <v>6450.3</v>
      </c>
      <c r="K1501" s="98">
        <f t="shared" si="352"/>
        <v>429</v>
      </c>
      <c r="L1501" s="92">
        <f t="shared" si="352"/>
        <v>9462538</v>
      </c>
      <c r="M1501" s="92">
        <f t="shared" si="352"/>
        <v>0</v>
      </c>
      <c r="N1501" s="92">
        <f t="shared" si="352"/>
        <v>0</v>
      </c>
      <c r="O1501" s="92">
        <f t="shared" si="352"/>
        <v>9462538</v>
      </c>
      <c r="P1501" s="92">
        <f t="shared" si="352"/>
        <v>0</v>
      </c>
      <c r="Q1501" s="86" t="s">
        <v>40</v>
      </c>
      <c r="R1501" s="86" t="s">
        <v>40</v>
      </c>
      <c r="S1501" s="285">
        <v>43830</v>
      </c>
    </row>
    <row r="1502" spans="1:19" s="1" customFormat="1" ht="15.75">
      <c r="A1502" s="87"/>
      <c r="B1502" s="1066" t="s">
        <v>113</v>
      </c>
      <c r="C1502" s="1066"/>
      <c r="D1502" s="1066"/>
      <c r="E1502" s="1066"/>
      <c r="F1502" s="1066"/>
      <c r="G1502" s="1066"/>
      <c r="H1502" s="107">
        <f>SUM(H1503:H1506)</f>
        <v>10619.599999999999</v>
      </c>
      <c r="I1502" s="86">
        <f t="shared" ref="I1502:P1502" si="353">SUM(I1503:I1506)</f>
        <v>8195.6999999999989</v>
      </c>
      <c r="J1502" s="86">
        <f t="shared" si="353"/>
        <v>6450.3</v>
      </c>
      <c r="K1502" s="98">
        <f t="shared" si="353"/>
        <v>429</v>
      </c>
      <c r="L1502" s="92">
        <f t="shared" si="353"/>
        <v>9462538</v>
      </c>
      <c r="M1502" s="92">
        <f t="shared" si="353"/>
        <v>0</v>
      </c>
      <c r="N1502" s="92">
        <f t="shared" si="353"/>
        <v>0</v>
      </c>
      <c r="O1502" s="92">
        <f t="shared" si="353"/>
        <v>9462538</v>
      </c>
      <c r="P1502" s="92">
        <f t="shared" si="353"/>
        <v>0</v>
      </c>
      <c r="Q1502" s="86" t="s">
        <v>40</v>
      </c>
      <c r="R1502" s="86" t="s">
        <v>40</v>
      </c>
      <c r="S1502" s="285">
        <v>43830</v>
      </c>
    </row>
    <row r="1503" spans="1:19" s="41" customFormat="1" ht="15.75">
      <c r="A1503" s="87">
        <f>A1500+1</f>
        <v>11</v>
      </c>
      <c r="B1503" s="225" t="s">
        <v>76</v>
      </c>
      <c r="C1503" s="88">
        <v>1979</v>
      </c>
      <c r="D1503" s="88"/>
      <c r="E1503" s="89" t="s">
        <v>219</v>
      </c>
      <c r="F1503" s="88">
        <v>5</v>
      </c>
      <c r="G1503" s="88">
        <v>4</v>
      </c>
      <c r="H1503" s="90">
        <v>3482.7</v>
      </c>
      <c r="I1503" s="88">
        <v>3216.7</v>
      </c>
      <c r="J1503" s="88">
        <v>2864.9</v>
      </c>
      <c r="K1503" s="91">
        <v>131</v>
      </c>
      <c r="L1503" s="92">
        <v>3626543</v>
      </c>
      <c r="M1503" s="92">
        <v>0</v>
      </c>
      <c r="N1503" s="92">
        <v>0</v>
      </c>
      <c r="O1503" s="92">
        <f>L1503</f>
        <v>3626543</v>
      </c>
      <c r="P1503" s="92">
        <v>0</v>
      </c>
      <c r="Q1503" s="93">
        <f>L1503/I1503</f>
        <v>1127.4110112848573</v>
      </c>
      <c r="R1503" s="93">
        <v>6774</v>
      </c>
      <c r="S1503" s="285">
        <v>43830</v>
      </c>
    </row>
    <row r="1504" spans="1:19" s="41" customFormat="1" ht="31.5">
      <c r="A1504" s="87">
        <f>A1503+1</f>
        <v>12</v>
      </c>
      <c r="B1504" s="225" t="s">
        <v>75</v>
      </c>
      <c r="C1504" s="88">
        <v>1978</v>
      </c>
      <c r="D1504" s="88"/>
      <c r="E1504" s="89" t="s">
        <v>218</v>
      </c>
      <c r="F1504" s="88">
        <v>5</v>
      </c>
      <c r="G1504" s="88">
        <v>1</v>
      </c>
      <c r="H1504" s="90">
        <v>4056.6</v>
      </c>
      <c r="I1504" s="88">
        <v>2191.6</v>
      </c>
      <c r="J1504" s="88">
        <v>937</v>
      </c>
      <c r="K1504" s="91">
        <v>196</v>
      </c>
      <c r="L1504" s="92">
        <v>2160246</v>
      </c>
      <c r="M1504" s="92">
        <v>0</v>
      </c>
      <c r="N1504" s="92">
        <v>0</v>
      </c>
      <c r="O1504" s="92">
        <f>L1504</f>
        <v>2160246</v>
      </c>
      <c r="P1504" s="92">
        <v>0</v>
      </c>
      <c r="Q1504" s="93">
        <f>L1504/I1504</f>
        <v>985.69355721847057</v>
      </c>
      <c r="R1504" s="93">
        <v>6774</v>
      </c>
      <c r="S1504" s="285">
        <v>43830</v>
      </c>
    </row>
    <row r="1505" spans="1:19" s="41" customFormat="1" ht="31.5">
      <c r="A1505" s="87">
        <f>A1504+1</f>
        <v>13</v>
      </c>
      <c r="B1505" s="225" t="s">
        <v>77</v>
      </c>
      <c r="C1505" s="88">
        <v>1925</v>
      </c>
      <c r="D1505" s="88"/>
      <c r="E1505" s="89" t="s">
        <v>218</v>
      </c>
      <c r="F1505" s="88">
        <v>2</v>
      </c>
      <c r="G1505" s="88">
        <v>2</v>
      </c>
      <c r="H1505" s="90">
        <v>597.1</v>
      </c>
      <c r="I1505" s="88">
        <v>487.9</v>
      </c>
      <c r="J1505" s="88">
        <v>455.6</v>
      </c>
      <c r="K1505" s="91">
        <v>16</v>
      </c>
      <c r="L1505" s="92">
        <v>1013564</v>
      </c>
      <c r="M1505" s="92">
        <v>0</v>
      </c>
      <c r="N1505" s="92">
        <v>0</v>
      </c>
      <c r="O1505" s="92">
        <f>L1505</f>
        <v>1013564</v>
      </c>
      <c r="P1505" s="92">
        <v>0</v>
      </c>
      <c r="Q1505" s="93">
        <f>L1505/I1505</f>
        <v>2077.401106784177</v>
      </c>
      <c r="R1505" s="93">
        <v>6774</v>
      </c>
      <c r="S1505" s="285">
        <v>43830</v>
      </c>
    </row>
    <row r="1506" spans="1:19" s="41" customFormat="1" ht="15.75">
      <c r="A1506" s="87">
        <f>A1505+1</f>
        <v>14</v>
      </c>
      <c r="B1506" s="225" t="s">
        <v>427</v>
      </c>
      <c r="C1506" s="88">
        <v>1982</v>
      </c>
      <c r="D1506" s="88"/>
      <c r="E1506" s="89" t="s">
        <v>219</v>
      </c>
      <c r="F1506" s="88">
        <v>5</v>
      </c>
      <c r="G1506" s="88">
        <v>3</v>
      </c>
      <c r="H1506" s="90">
        <v>2483.1999999999998</v>
      </c>
      <c r="I1506" s="88">
        <v>2299.5</v>
      </c>
      <c r="J1506" s="88">
        <v>2192.8000000000002</v>
      </c>
      <c r="K1506" s="91">
        <v>86</v>
      </c>
      <c r="L1506" s="92">
        <v>2662185</v>
      </c>
      <c r="M1506" s="92">
        <v>0</v>
      </c>
      <c r="N1506" s="92">
        <v>0</v>
      </c>
      <c r="O1506" s="92">
        <f>L1506</f>
        <v>2662185</v>
      </c>
      <c r="P1506" s="92">
        <v>0</v>
      </c>
      <c r="Q1506" s="93">
        <f>L1506/I1506</f>
        <v>1157.723418134377</v>
      </c>
      <c r="R1506" s="93">
        <v>6774</v>
      </c>
      <c r="S1506" s="285">
        <v>43830</v>
      </c>
    </row>
    <row r="1507" spans="1:19" s="41" customFormat="1" ht="15.75" customHeight="1">
      <c r="A1507" s="87"/>
      <c r="B1507" s="1079" t="s">
        <v>208</v>
      </c>
      <c r="C1507" s="1079"/>
      <c r="D1507" s="1079"/>
      <c r="E1507" s="1079"/>
      <c r="F1507" s="1079"/>
      <c r="G1507" s="1079"/>
      <c r="H1507" s="93">
        <f t="shared" ref="H1507:O1508" si="354">H1508</f>
        <v>340.3</v>
      </c>
      <c r="I1507" s="93">
        <f t="shared" si="354"/>
        <v>310</v>
      </c>
      <c r="J1507" s="93">
        <f t="shared" si="354"/>
        <v>310</v>
      </c>
      <c r="K1507" s="91">
        <f t="shared" si="354"/>
        <v>14</v>
      </c>
      <c r="L1507" s="92">
        <f t="shared" si="354"/>
        <v>512860</v>
      </c>
      <c r="M1507" s="92">
        <f t="shared" si="354"/>
        <v>0</v>
      </c>
      <c r="N1507" s="92">
        <f t="shared" si="354"/>
        <v>0</v>
      </c>
      <c r="O1507" s="92">
        <f t="shared" si="354"/>
        <v>512860</v>
      </c>
      <c r="P1507" s="92">
        <f>P1508</f>
        <v>0</v>
      </c>
      <c r="Q1507" s="86" t="s">
        <v>40</v>
      </c>
      <c r="R1507" s="93" t="s">
        <v>40</v>
      </c>
      <c r="S1507" s="285">
        <v>43830</v>
      </c>
    </row>
    <row r="1508" spans="1:19" s="41" customFormat="1" ht="15.75">
      <c r="A1508" s="87"/>
      <c r="B1508" s="1066" t="s">
        <v>209</v>
      </c>
      <c r="C1508" s="1066"/>
      <c r="D1508" s="1066"/>
      <c r="E1508" s="1066"/>
      <c r="F1508" s="1066"/>
      <c r="G1508" s="1066"/>
      <c r="H1508" s="93">
        <f t="shared" si="354"/>
        <v>340.3</v>
      </c>
      <c r="I1508" s="93">
        <f t="shared" si="354"/>
        <v>310</v>
      </c>
      <c r="J1508" s="93">
        <f t="shared" si="354"/>
        <v>310</v>
      </c>
      <c r="K1508" s="91">
        <f t="shared" si="354"/>
        <v>14</v>
      </c>
      <c r="L1508" s="92">
        <f t="shared" si="354"/>
        <v>512860</v>
      </c>
      <c r="M1508" s="92">
        <f t="shared" si="354"/>
        <v>0</v>
      </c>
      <c r="N1508" s="92">
        <f t="shared" si="354"/>
        <v>0</v>
      </c>
      <c r="O1508" s="92">
        <f t="shared" si="354"/>
        <v>512860</v>
      </c>
      <c r="P1508" s="92">
        <f>P1509</f>
        <v>0</v>
      </c>
      <c r="Q1508" s="86" t="s">
        <v>40</v>
      </c>
      <c r="R1508" s="86" t="s">
        <v>40</v>
      </c>
      <c r="S1508" s="285">
        <v>43830</v>
      </c>
    </row>
    <row r="1509" spans="1:19" s="41" customFormat="1" ht="31.5">
      <c r="A1509" s="277">
        <f>A1506+1</f>
        <v>15</v>
      </c>
      <c r="B1509" s="288" t="s">
        <v>480</v>
      </c>
      <c r="C1509" s="279">
        <v>1959</v>
      </c>
      <c r="D1509" s="279"/>
      <c r="E1509" s="280" t="s">
        <v>218</v>
      </c>
      <c r="F1509" s="279">
        <v>2</v>
      </c>
      <c r="G1509" s="279">
        <v>1</v>
      </c>
      <c r="H1509" s="281">
        <v>340.3</v>
      </c>
      <c r="I1509" s="279">
        <v>310</v>
      </c>
      <c r="J1509" s="279">
        <v>310</v>
      </c>
      <c r="K1509" s="282">
        <v>14</v>
      </c>
      <c r="L1509" s="283">
        <v>512860</v>
      </c>
      <c r="M1509" s="283">
        <v>0</v>
      </c>
      <c r="N1509" s="283">
        <v>0</v>
      </c>
      <c r="O1509" s="283">
        <v>512860</v>
      </c>
      <c r="P1509" s="283">
        <v>0</v>
      </c>
      <c r="Q1509" s="284">
        <f>L1509/I1509</f>
        <v>1654.3870967741937</v>
      </c>
      <c r="R1509" s="284">
        <v>7920</v>
      </c>
      <c r="S1509" s="285">
        <v>43830</v>
      </c>
    </row>
    <row r="1510" spans="1:19" s="1" customFormat="1" ht="15.75">
      <c r="A1510" s="87"/>
      <c r="B1510" s="1066" t="s">
        <v>61</v>
      </c>
      <c r="C1510" s="1066"/>
      <c r="D1510" s="1066"/>
      <c r="E1510" s="1066"/>
      <c r="F1510" s="1066"/>
      <c r="G1510" s="1066"/>
      <c r="H1510" s="107">
        <f>H1511</f>
        <v>2833.2999999999997</v>
      </c>
      <c r="I1510" s="86">
        <f t="shared" ref="I1510:P1510" si="355">I1511</f>
        <v>2631.4</v>
      </c>
      <c r="J1510" s="86">
        <f t="shared" si="355"/>
        <v>2598.2999999999997</v>
      </c>
      <c r="K1510" s="98">
        <f t="shared" si="355"/>
        <v>119</v>
      </c>
      <c r="L1510" s="92">
        <f t="shared" si="355"/>
        <v>4336309</v>
      </c>
      <c r="M1510" s="92">
        <f t="shared" si="355"/>
        <v>0</v>
      </c>
      <c r="N1510" s="92">
        <f t="shared" si="355"/>
        <v>0</v>
      </c>
      <c r="O1510" s="267">
        <f t="shared" si="355"/>
        <v>4336309</v>
      </c>
      <c r="P1510" s="267">
        <f t="shared" si="355"/>
        <v>0</v>
      </c>
      <c r="Q1510" s="93" t="s">
        <v>40</v>
      </c>
      <c r="R1510" s="93" t="s">
        <v>40</v>
      </c>
      <c r="S1510" s="285">
        <v>43830</v>
      </c>
    </row>
    <row r="1511" spans="1:19" s="1" customFormat="1" ht="15.75">
      <c r="A1511" s="87"/>
      <c r="B1511" s="1066" t="s">
        <v>118</v>
      </c>
      <c r="C1511" s="1066"/>
      <c r="D1511" s="1066"/>
      <c r="E1511" s="1066"/>
      <c r="F1511" s="1066"/>
      <c r="G1511" s="1066"/>
      <c r="H1511" s="107">
        <f>H1512+H1513+H1514+H1515</f>
        <v>2833.2999999999997</v>
      </c>
      <c r="I1511" s="107">
        <f t="shared" ref="I1511:P1511" si="356">I1512+I1513+I1514+I1515</f>
        <v>2631.4</v>
      </c>
      <c r="J1511" s="107">
        <f t="shared" si="356"/>
        <v>2598.2999999999997</v>
      </c>
      <c r="K1511" s="107">
        <f t="shared" si="356"/>
        <v>119</v>
      </c>
      <c r="L1511" s="313">
        <f t="shared" si="356"/>
        <v>4336309</v>
      </c>
      <c r="M1511" s="107">
        <f t="shared" si="356"/>
        <v>0</v>
      </c>
      <c r="N1511" s="107">
        <f t="shared" si="356"/>
        <v>0</v>
      </c>
      <c r="O1511" s="107">
        <f t="shared" si="356"/>
        <v>4336309</v>
      </c>
      <c r="P1511" s="107">
        <f t="shared" si="356"/>
        <v>0</v>
      </c>
      <c r="Q1511" s="93" t="s">
        <v>40</v>
      </c>
      <c r="R1511" s="86" t="s">
        <v>40</v>
      </c>
      <c r="S1511" s="285">
        <v>43830</v>
      </c>
    </row>
    <row r="1512" spans="1:19" s="1" customFormat="1" ht="31.5">
      <c r="A1512" s="277"/>
      <c r="B1512" s="312" t="s">
        <v>489</v>
      </c>
      <c r="C1512" s="300">
        <v>1973</v>
      </c>
      <c r="D1512" s="312"/>
      <c r="E1512" s="280" t="s">
        <v>218</v>
      </c>
      <c r="F1512" s="300">
        <v>2</v>
      </c>
      <c r="G1512" s="300">
        <v>2</v>
      </c>
      <c r="H1512" s="301">
        <v>366.6</v>
      </c>
      <c r="I1512" s="303">
        <v>338.2</v>
      </c>
      <c r="J1512" s="303">
        <v>338.2</v>
      </c>
      <c r="K1512" s="302">
        <v>16</v>
      </c>
      <c r="L1512" s="283">
        <v>1231974</v>
      </c>
      <c r="M1512" s="283">
        <v>0</v>
      </c>
      <c r="N1512" s="283">
        <v>0</v>
      </c>
      <c r="O1512" s="283">
        <v>1231974</v>
      </c>
      <c r="P1512" s="283">
        <f>P1519</f>
        <v>0</v>
      </c>
      <c r="Q1512" s="284">
        <f>L1512/I1512</f>
        <v>3642.7380248373743</v>
      </c>
      <c r="R1512" s="303">
        <v>7920</v>
      </c>
      <c r="S1512" s="285">
        <v>43830</v>
      </c>
    </row>
    <row r="1513" spans="1:19" s="1" customFormat="1" ht="15.75">
      <c r="A1513" s="277"/>
      <c r="B1513" s="312" t="s">
        <v>225</v>
      </c>
      <c r="C1513" s="300">
        <v>1990</v>
      </c>
      <c r="D1513" s="312"/>
      <c r="E1513" s="280" t="s">
        <v>219</v>
      </c>
      <c r="F1513" s="300">
        <v>3</v>
      </c>
      <c r="G1513" s="300">
        <v>3</v>
      </c>
      <c r="H1513" s="301">
        <v>1344.1</v>
      </c>
      <c r="I1513" s="303">
        <v>1284.0999999999999</v>
      </c>
      <c r="J1513" s="303">
        <v>1284.0999999999999</v>
      </c>
      <c r="K1513" s="302">
        <v>61</v>
      </c>
      <c r="L1513" s="283">
        <v>1299802</v>
      </c>
      <c r="M1513" s="283">
        <v>0</v>
      </c>
      <c r="N1513" s="283">
        <v>0</v>
      </c>
      <c r="O1513" s="283">
        <v>1299802</v>
      </c>
      <c r="P1513" s="283">
        <f>P1520</f>
        <v>0</v>
      </c>
      <c r="Q1513" s="284">
        <f>L1513/I1513</f>
        <v>1012.2280196246398</v>
      </c>
      <c r="R1513" s="303">
        <v>7920</v>
      </c>
      <c r="S1513" s="285">
        <v>43830</v>
      </c>
    </row>
    <row r="1514" spans="1:19" s="1" customFormat="1" ht="31.5">
      <c r="A1514" s="277"/>
      <c r="B1514" s="312" t="s">
        <v>490</v>
      </c>
      <c r="C1514" s="300">
        <v>1973</v>
      </c>
      <c r="D1514" s="312"/>
      <c r="E1514" s="280" t="s">
        <v>218</v>
      </c>
      <c r="F1514" s="300">
        <v>2</v>
      </c>
      <c r="G1514" s="300">
        <v>2</v>
      </c>
      <c r="H1514" s="301">
        <v>567</v>
      </c>
      <c r="I1514" s="303">
        <v>519.5</v>
      </c>
      <c r="J1514" s="303">
        <v>486.4</v>
      </c>
      <c r="K1514" s="302">
        <v>28</v>
      </c>
      <c r="L1514" s="283">
        <v>1450861</v>
      </c>
      <c r="M1514" s="283">
        <v>0</v>
      </c>
      <c r="N1514" s="283">
        <v>0</v>
      </c>
      <c r="O1514" s="283">
        <v>1450861</v>
      </c>
      <c r="P1514" s="283">
        <f>P1521</f>
        <v>0</v>
      </c>
      <c r="Q1514" s="284">
        <f>L1514/I1514</f>
        <v>2792.8026948989414</v>
      </c>
      <c r="R1514" s="303">
        <v>7920</v>
      </c>
      <c r="S1514" s="285">
        <v>43830</v>
      </c>
    </row>
    <row r="1515" spans="1:19" s="1" customFormat="1" ht="31.5">
      <c r="A1515" s="277">
        <f>A1509+1</f>
        <v>16</v>
      </c>
      <c r="B1515" s="299" t="s">
        <v>491</v>
      </c>
      <c r="C1515" s="279">
        <v>1960</v>
      </c>
      <c r="D1515" s="279"/>
      <c r="E1515" s="280" t="s">
        <v>218</v>
      </c>
      <c r="F1515" s="279">
        <v>2</v>
      </c>
      <c r="G1515" s="279">
        <v>2</v>
      </c>
      <c r="H1515" s="281">
        <v>555.6</v>
      </c>
      <c r="I1515" s="284">
        <v>489.6</v>
      </c>
      <c r="J1515" s="284">
        <v>489.6</v>
      </c>
      <c r="K1515" s="282">
        <v>14</v>
      </c>
      <c r="L1515" s="283">
        <v>353672</v>
      </c>
      <c r="M1515" s="283">
        <v>0</v>
      </c>
      <c r="N1515" s="283">
        <v>0</v>
      </c>
      <c r="O1515" s="283">
        <v>353672</v>
      </c>
      <c r="P1515" s="283">
        <v>0</v>
      </c>
      <c r="Q1515" s="303">
        <f>L1515/I1515</f>
        <v>722.36928104575156</v>
      </c>
      <c r="R1515" s="284">
        <v>7920</v>
      </c>
      <c r="S1515" s="285">
        <v>43830</v>
      </c>
    </row>
    <row r="1516" spans="1:19" s="1" customFormat="1" ht="23.45" customHeight="1">
      <c r="B1516" s="1066" t="s">
        <v>649</v>
      </c>
      <c r="C1516" s="1066"/>
      <c r="D1516" s="1066"/>
      <c r="E1516" s="1066"/>
      <c r="F1516" s="1066"/>
      <c r="G1516" s="1066"/>
      <c r="H1516" s="90">
        <f>H1517</f>
        <v>952.2</v>
      </c>
      <c r="I1516" s="90">
        <f t="shared" ref="I1516:P1516" si="357">I1517</f>
        <v>814</v>
      </c>
      <c r="J1516" s="90">
        <f t="shared" si="357"/>
        <v>630.1</v>
      </c>
      <c r="K1516" s="90">
        <f t="shared" si="357"/>
        <v>41</v>
      </c>
      <c r="L1516" s="497">
        <f t="shared" si="357"/>
        <v>1490380</v>
      </c>
      <c r="M1516" s="497">
        <f t="shared" si="357"/>
        <v>0</v>
      </c>
      <c r="N1516" s="497">
        <f t="shared" si="357"/>
        <v>0</v>
      </c>
      <c r="O1516" s="497">
        <f t="shared" si="357"/>
        <v>1490380</v>
      </c>
      <c r="P1516" s="497">
        <f t="shared" si="357"/>
        <v>0</v>
      </c>
      <c r="Q1516" s="86" t="s">
        <v>40</v>
      </c>
      <c r="R1516" s="93" t="s">
        <v>40</v>
      </c>
      <c r="S1516" s="285">
        <v>43830</v>
      </c>
    </row>
    <row r="1517" spans="1:19" s="1" customFormat="1" ht="21.6" customHeight="1">
      <c r="A1517" s="87"/>
      <c r="B1517" s="1066" t="s">
        <v>655</v>
      </c>
      <c r="C1517" s="1066"/>
      <c r="D1517" s="1066"/>
      <c r="E1517" s="1066"/>
      <c r="F1517" s="1066"/>
      <c r="G1517" s="1066"/>
      <c r="H1517" s="90">
        <f>H1518</f>
        <v>952.2</v>
      </c>
      <c r="I1517" s="90">
        <f t="shared" ref="I1517:P1517" si="358">I1518</f>
        <v>814</v>
      </c>
      <c r="J1517" s="90">
        <f t="shared" si="358"/>
        <v>630.1</v>
      </c>
      <c r="K1517" s="90">
        <f t="shared" si="358"/>
        <v>41</v>
      </c>
      <c r="L1517" s="497">
        <f t="shared" si="358"/>
        <v>1490380</v>
      </c>
      <c r="M1517" s="497">
        <f t="shared" si="358"/>
        <v>0</v>
      </c>
      <c r="N1517" s="497">
        <f t="shared" si="358"/>
        <v>0</v>
      </c>
      <c r="O1517" s="497">
        <f t="shared" si="358"/>
        <v>1490380</v>
      </c>
      <c r="P1517" s="497">
        <f t="shared" si="358"/>
        <v>0</v>
      </c>
      <c r="Q1517" s="86" t="s">
        <v>40</v>
      </c>
      <c r="R1517" s="86" t="s">
        <v>40</v>
      </c>
      <c r="S1517" s="285">
        <v>43830</v>
      </c>
    </row>
    <row r="1518" spans="1:19" s="1" customFormat="1" ht="39" customHeight="1">
      <c r="A1518" s="87"/>
      <c r="B1518" s="227" t="s">
        <v>657</v>
      </c>
      <c r="C1518" s="88">
        <v>1983</v>
      </c>
      <c r="D1518" s="88"/>
      <c r="E1518" s="79" t="s">
        <v>220</v>
      </c>
      <c r="F1518" s="88">
        <v>2</v>
      </c>
      <c r="G1518" s="88">
        <v>3</v>
      </c>
      <c r="H1518" s="90">
        <v>952.2</v>
      </c>
      <c r="I1518" s="93">
        <v>814</v>
      </c>
      <c r="J1518" s="93">
        <v>630.1</v>
      </c>
      <c r="K1518" s="91">
        <v>41</v>
      </c>
      <c r="L1518" s="92">
        <v>1490380</v>
      </c>
      <c r="M1518" s="92">
        <v>0</v>
      </c>
      <c r="N1518" s="92">
        <v>0</v>
      </c>
      <c r="O1518" s="92">
        <v>1490380</v>
      </c>
      <c r="P1518" s="92">
        <v>0</v>
      </c>
      <c r="Q1518" s="86">
        <f>L1518/I1518</f>
        <v>1830.933660933661</v>
      </c>
      <c r="R1518" s="87">
        <v>7920</v>
      </c>
      <c r="S1518" s="285">
        <v>43830</v>
      </c>
    </row>
    <row r="1519" spans="1:19" s="1" customFormat="1" ht="15.75">
      <c r="A1519" s="87"/>
      <c r="B1519" s="1066" t="s">
        <v>62</v>
      </c>
      <c r="C1519" s="1066"/>
      <c r="D1519" s="1066"/>
      <c r="E1519" s="1066"/>
      <c r="F1519" s="1066"/>
      <c r="G1519" s="1066"/>
      <c r="H1519" s="107">
        <f>H1520</f>
        <v>445.14</v>
      </c>
      <c r="I1519" s="86">
        <f t="shared" ref="I1519:P1520" si="359">I1520</f>
        <v>380.18</v>
      </c>
      <c r="J1519" s="86">
        <f t="shared" si="359"/>
        <v>380.18</v>
      </c>
      <c r="K1519" s="98">
        <f t="shared" si="359"/>
        <v>18</v>
      </c>
      <c r="L1519" s="92">
        <f t="shared" si="359"/>
        <v>1175875</v>
      </c>
      <c r="M1519" s="92">
        <f t="shared" si="359"/>
        <v>0</v>
      </c>
      <c r="N1519" s="92">
        <f t="shared" si="359"/>
        <v>0</v>
      </c>
      <c r="O1519" s="92">
        <f t="shared" si="359"/>
        <v>1175875</v>
      </c>
      <c r="P1519" s="92">
        <f t="shared" si="359"/>
        <v>0</v>
      </c>
      <c r="Q1519" s="86" t="s">
        <v>40</v>
      </c>
      <c r="R1519" s="86" t="s">
        <v>40</v>
      </c>
      <c r="S1519" s="285">
        <v>43830</v>
      </c>
    </row>
    <row r="1520" spans="1:19" s="1" customFormat="1" ht="15.75">
      <c r="A1520" s="87"/>
      <c r="B1520" s="1066" t="s">
        <v>117</v>
      </c>
      <c r="C1520" s="1066"/>
      <c r="D1520" s="1066"/>
      <c r="E1520" s="1066"/>
      <c r="F1520" s="1066"/>
      <c r="G1520" s="1066"/>
      <c r="H1520" s="107">
        <f>H1521</f>
        <v>445.14</v>
      </c>
      <c r="I1520" s="86">
        <f t="shared" si="359"/>
        <v>380.18</v>
      </c>
      <c r="J1520" s="86">
        <f t="shared" si="359"/>
        <v>380.18</v>
      </c>
      <c r="K1520" s="98">
        <f t="shared" si="359"/>
        <v>18</v>
      </c>
      <c r="L1520" s="92">
        <f t="shared" si="359"/>
        <v>1175875</v>
      </c>
      <c r="M1520" s="92">
        <f t="shared" si="359"/>
        <v>0</v>
      </c>
      <c r="N1520" s="92">
        <f t="shared" si="359"/>
        <v>0</v>
      </c>
      <c r="O1520" s="92">
        <f t="shared" si="359"/>
        <v>1175875</v>
      </c>
      <c r="P1520" s="92">
        <f t="shared" si="359"/>
        <v>0</v>
      </c>
      <c r="Q1520" s="86" t="s">
        <v>40</v>
      </c>
      <c r="R1520" s="86" t="s">
        <v>40</v>
      </c>
      <c r="S1520" s="285">
        <v>43830</v>
      </c>
    </row>
    <row r="1521" spans="1:19" s="1" customFormat="1" ht="31.5">
      <c r="A1521" s="277">
        <f>A1515+1</f>
        <v>17</v>
      </c>
      <c r="B1521" s="312" t="s">
        <v>488</v>
      </c>
      <c r="C1521" s="300">
        <v>1967</v>
      </c>
      <c r="D1521" s="300"/>
      <c r="E1521" s="280" t="s">
        <v>218</v>
      </c>
      <c r="F1521" s="300">
        <v>2</v>
      </c>
      <c r="G1521" s="300">
        <v>2</v>
      </c>
      <c r="H1521" s="301">
        <v>445.14</v>
      </c>
      <c r="I1521" s="303">
        <v>380.18</v>
      </c>
      <c r="J1521" s="303">
        <v>380.18</v>
      </c>
      <c r="K1521" s="302">
        <v>18</v>
      </c>
      <c r="L1521" s="283">
        <v>1175875</v>
      </c>
      <c r="M1521" s="283">
        <v>0</v>
      </c>
      <c r="N1521" s="283">
        <v>0</v>
      </c>
      <c r="O1521" s="283">
        <f>L1521</f>
        <v>1175875</v>
      </c>
      <c r="P1521" s="283">
        <v>0</v>
      </c>
      <c r="Q1521" s="303">
        <f>L1521/I1521</f>
        <v>3092.9428165605764</v>
      </c>
      <c r="R1521" s="284">
        <v>7920</v>
      </c>
      <c r="S1521" s="285">
        <v>43830</v>
      </c>
    </row>
    <row r="1522" spans="1:19" s="1" customFormat="1" ht="15.75">
      <c r="A1522" s="277"/>
      <c r="B1522" s="1143" t="s">
        <v>63</v>
      </c>
      <c r="C1522" s="1143"/>
      <c r="D1522" s="1143"/>
      <c r="E1522" s="1143"/>
      <c r="F1522" s="1143"/>
      <c r="G1522" s="1143"/>
      <c r="H1522" s="301">
        <f>H1523</f>
        <v>571.1</v>
      </c>
      <c r="I1522" s="303">
        <f t="shared" ref="I1522:P1522" si="360">I1523</f>
        <v>516.70000000000005</v>
      </c>
      <c r="J1522" s="303">
        <f t="shared" si="360"/>
        <v>516.70000000000005</v>
      </c>
      <c r="K1522" s="302">
        <f t="shared" si="360"/>
        <v>28</v>
      </c>
      <c r="L1522" s="283">
        <f t="shared" si="360"/>
        <v>1608623</v>
      </c>
      <c r="M1522" s="283">
        <f t="shared" si="360"/>
        <v>0</v>
      </c>
      <c r="N1522" s="283">
        <f t="shared" si="360"/>
        <v>0</v>
      </c>
      <c r="O1522" s="283">
        <f t="shared" si="360"/>
        <v>1608623</v>
      </c>
      <c r="P1522" s="283">
        <f t="shared" si="360"/>
        <v>0</v>
      </c>
      <c r="Q1522" s="303" t="s">
        <v>40</v>
      </c>
      <c r="R1522" s="303" t="s">
        <v>40</v>
      </c>
      <c r="S1522" s="285">
        <v>43830</v>
      </c>
    </row>
    <row r="1523" spans="1:19" s="1" customFormat="1" ht="15.75" customHeight="1">
      <c r="A1523" s="277"/>
      <c r="B1523" s="1145" t="s">
        <v>116</v>
      </c>
      <c r="C1523" s="1145"/>
      <c r="D1523" s="1145"/>
      <c r="E1523" s="1145"/>
      <c r="F1523" s="1145"/>
      <c r="G1523" s="1145"/>
      <c r="H1523" s="301">
        <f>H1524</f>
        <v>571.1</v>
      </c>
      <c r="I1523" s="301">
        <f t="shared" ref="I1523:P1523" si="361">I1524</f>
        <v>516.70000000000005</v>
      </c>
      <c r="J1523" s="301">
        <f t="shared" si="361"/>
        <v>516.70000000000005</v>
      </c>
      <c r="K1523" s="301">
        <f t="shared" si="361"/>
        <v>28</v>
      </c>
      <c r="L1523" s="627">
        <f t="shared" si="361"/>
        <v>1608623</v>
      </c>
      <c r="M1523" s="627">
        <f t="shared" si="361"/>
        <v>0</v>
      </c>
      <c r="N1523" s="627">
        <f t="shared" si="361"/>
        <v>0</v>
      </c>
      <c r="O1523" s="627">
        <f t="shared" si="361"/>
        <v>1608623</v>
      </c>
      <c r="P1523" s="627">
        <f t="shared" si="361"/>
        <v>0</v>
      </c>
      <c r="Q1523" s="303" t="s">
        <v>40</v>
      </c>
      <c r="R1523" s="303" t="s">
        <v>40</v>
      </c>
      <c r="S1523" s="285">
        <v>43830</v>
      </c>
    </row>
    <row r="1524" spans="1:19" s="1" customFormat="1" ht="31.5">
      <c r="A1524" s="277"/>
      <c r="B1524" s="642" t="s">
        <v>678</v>
      </c>
      <c r="C1524" s="643">
        <v>1969</v>
      </c>
      <c r="D1524" s="644"/>
      <c r="E1524" s="280" t="s">
        <v>218</v>
      </c>
      <c r="F1524" s="645">
        <v>2</v>
      </c>
      <c r="G1524" s="645">
        <v>2</v>
      </c>
      <c r="H1524" s="315">
        <v>571.1</v>
      </c>
      <c r="I1524" s="316">
        <v>516.70000000000005</v>
      </c>
      <c r="J1524" s="316">
        <v>516.70000000000005</v>
      </c>
      <c r="K1524" s="317">
        <v>28</v>
      </c>
      <c r="L1524" s="283">
        <v>1608623</v>
      </c>
      <c r="M1524" s="283">
        <v>0</v>
      </c>
      <c r="N1524" s="283">
        <v>0</v>
      </c>
      <c r="O1524" s="283">
        <v>1608623</v>
      </c>
      <c r="P1524" s="283">
        <v>0</v>
      </c>
      <c r="Q1524" s="318">
        <f>L1524/I1524</f>
        <v>3113.2630152893357</v>
      </c>
      <c r="R1524" s="284">
        <v>7920</v>
      </c>
      <c r="S1524" s="285">
        <v>43830</v>
      </c>
    </row>
    <row r="1525" spans="1:19" s="1" customFormat="1" ht="15.75">
      <c r="A1525" s="277"/>
      <c r="B1525" s="1148" t="s">
        <v>663</v>
      </c>
      <c r="C1525" s="1149"/>
      <c r="D1525" s="1149"/>
      <c r="E1525" s="1149"/>
      <c r="F1525" s="1149"/>
      <c r="G1525" s="1150"/>
      <c r="H1525" s="318">
        <f>H1526</f>
        <v>783.2</v>
      </c>
      <c r="I1525" s="318">
        <f t="shared" ref="I1525:P1525" si="362">I1526</f>
        <v>734.8</v>
      </c>
      <c r="J1525" s="318">
        <f t="shared" si="362"/>
        <v>552.79999999999995</v>
      </c>
      <c r="K1525" s="318">
        <f t="shared" si="362"/>
        <v>32</v>
      </c>
      <c r="L1525" s="619">
        <f t="shared" si="362"/>
        <v>1457324</v>
      </c>
      <c r="M1525" s="619">
        <f t="shared" si="362"/>
        <v>0</v>
      </c>
      <c r="N1525" s="619">
        <f t="shared" si="362"/>
        <v>0</v>
      </c>
      <c r="O1525" s="619">
        <f t="shared" si="362"/>
        <v>1457324</v>
      </c>
      <c r="P1525" s="619">
        <f t="shared" si="362"/>
        <v>0</v>
      </c>
      <c r="Q1525" s="303" t="s">
        <v>40</v>
      </c>
      <c r="R1525" s="303" t="s">
        <v>40</v>
      </c>
      <c r="S1525" s="285">
        <v>43830</v>
      </c>
    </row>
    <row r="1526" spans="1:19" s="1" customFormat="1" ht="31.5">
      <c r="A1526" s="277"/>
      <c r="B1526" s="642" t="s">
        <v>666</v>
      </c>
      <c r="C1526" s="643">
        <v>1978</v>
      </c>
      <c r="D1526" s="644"/>
      <c r="E1526" s="280" t="s">
        <v>218</v>
      </c>
      <c r="F1526" s="645">
        <v>2</v>
      </c>
      <c r="G1526" s="645">
        <v>2</v>
      </c>
      <c r="H1526" s="315">
        <v>783.2</v>
      </c>
      <c r="I1526" s="316">
        <v>734.8</v>
      </c>
      <c r="J1526" s="316">
        <v>552.79999999999995</v>
      </c>
      <c r="K1526" s="317">
        <v>32</v>
      </c>
      <c r="L1526" s="283">
        <v>1457324</v>
      </c>
      <c r="M1526" s="283">
        <v>0</v>
      </c>
      <c r="N1526" s="283">
        <v>0</v>
      </c>
      <c r="O1526" s="283">
        <v>1457324</v>
      </c>
      <c r="P1526" s="283">
        <v>0</v>
      </c>
      <c r="Q1526" s="318">
        <f>L1526/I1526</f>
        <v>1983.2934131736529</v>
      </c>
      <c r="R1526" s="284">
        <v>7920</v>
      </c>
      <c r="S1526" s="285">
        <v>43830</v>
      </c>
    </row>
    <row r="1527" spans="1:19" s="1" customFormat="1" ht="15.75">
      <c r="A1527" s="87"/>
      <c r="B1527" s="1066" t="s">
        <v>64</v>
      </c>
      <c r="C1527" s="1066"/>
      <c r="D1527" s="1066"/>
      <c r="E1527" s="1066"/>
      <c r="F1527" s="1066"/>
      <c r="G1527" s="1066"/>
      <c r="H1527" s="107">
        <f>H1528</f>
        <v>3434.5</v>
      </c>
      <c r="I1527" s="86">
        <f t="shared" ref="I1527:P1527" si="363">I1528</f>
        <v>3176.9</v>
      </c>
      <c r="J1527" s="86">
        <f t="shared" si="363"/>
        <v>3176.9</v>
      </c>
      <c r="K1527" s="98">
        <f t="shared" si="363"/>
        <v>113</v>
      </c>
      <c r="L1527" s="92">
        <f t="shared" si="363"/>
        <v>5448472</v>
      </c>
      <c r="M1527" s="92">
        <f t="shared" si="363"/>
        <v>0</v>
      </c>
      <c r="N1527" s="92">
        <f t="shared" si="363"/>
        <v>0</v>
      </c>
      <c r="O1527" s="92">
        <f t="shared" si="363"/>
        <v>5448472</v>
      </c>
      <c r="P1527" s="92">
        <f t="shared" si="363"/>
        <v>0</v>
      </c>
      <c r="Q1527" s="86" t="s">
        <v>40</v>
      </c>
      <c r="R1527" s="86" t="s">
        <v>40</v>
      </c>
      <c r="S1527" s="285">
        <v>43830</v>
      </c>
    </row>
    <row r="1528" spans="1:19" s="1" customFormat="1" ht="15.75">
      <c r="A1528" s="87"/>
      <c r="B1528" s="1066" t="s">
        <v>115</v>
      </c>
      <c r="C1528" s="1066"/>
      <c r="D1528" s="1066"/>
      <c r="E1528" s="1066"/>
      <c r="F1528" s="1066"/>
      <c r="G1528" s="1066"/>
      <c r="H1528" s="107">
        <f>SUM(H1529:H1530)</f>
        <v>3434.5</v>
      </c>
      <c r="I1528" s="107">
        <f t="shared" ref="I1528:P1528" si="364">SUM(I1529:I1530)</f>
        <v>3176.9</v>
      </c>
      <c r="J1528" s="107">
        <f t="shared" si="364"/>
        <v>3176.9</v>
      </c>
      <c r="K1528" s="107">
        <f t="shared" si="364"/>
        <v>113</v>
      </c>
      <c r="L1528" s="313">
        <f t="shared" si="364"/>
        <v>5448472</v>
      </c>
      <c r="M1528" s="313">
        <f t="shared" si="364"/>
        <v>0</v>
      </c>
      <c r="N1528" s="313">
        <f t="shared" si="364"/>
        <v>0</v>
      </c>
      <c r="O1528" s="313">
        <f t="shared" si="364"/>
        <v>5448472</v>
      </c>
      <c r="P1528" s="313">
        <f t="shared" si="364"/>
        <v>0</v>
      </c>
      <c r="Q1528" s="86" t="s">
        <v>40</v>
      </c>
      <c r="R1528" s="86" t="s">
        <v>40</v>
      </c>
      <c r="S1528" s="285">
        <v>43830</v>
      </c>
    </row>
    <row r="1529" spans="1:19" s="1" customFormat="1" ht="31.5">
      <c r="A1529" s="277">
        <f>A1524+1</f>
        <v>1</v>
      </c>
      <c r="B1529" s="312" t="s">
        <v>616</v>
      </c>
      <c r="C1529" s="300">
        <v>1970</v>
      </c>
      <c r="D1529" s="300"/>
      <c r="E1529" s="280" t="s">
        <v>218</v>
      </c>
      <c r="F1529" s="300">
        <v>2</v>
      </c>
      <c r="G1529" s="300">
        <v>2</v>
      </c>
      <c r="H1529" s="301">
        <v>795.4</v>
      </c>
      <c r="I1529" s="303">
        <v>735.1</v>
      </c>
      <c r="J1529" s="303">
        <v>735.1</v>
      </c>
      <c r="K1529" s="302">
        <v>30</v>
      </c>
      <c r="L1529" s="283">
        <v>1902273</v>
      </c>
      <c r="M1529" s="283">
        <v>0</v>
      </c>
      <c r="N1529" s="283">
        <v>0</v>
      </c>
      <c r="O1529" s="283">
        <f>L1529</f>
        <v>1902273</v>
      </c>
      <c r="P1529" s="283">
        <v>0</v>
      </c>
      <c r="Q1529" s="303">
        <f>L1529/I1529</f>
        <v>2587.7744524554482</v>
      </c>
      <c r="R1529" s="284">
        <v>7920</v>
      </c>
      <c r="S1529" s="285">
        <v>43830</v>
      </c>
    </row>
    <row r="1530" spans="1:19" s="1" customFormat="1" ht="31.5">
      <c r="A1530" s="277">
        <f>A1529+1</f>
        <v>2</v>
      </c>
      <c r="B1530" s="312" t="s">
        <v>617</v>
      </c>
      <c r="C1530" s="300">
        <v>1985</v>
      </c>
      <c r="D1530" s="300"/>
      <c r="E1530" s="280" t="s">
        <v>218</v>
      </c>
      <c r="F1530" s="300">
        <v>3</v>
      </c>
      <c r="G1530" s="300">
        <v>4</v>
      </c>
      <c r="H1530" s="301">
        <v>2639.1</v>
      </c>
      <c r="I1530" s="303">
        <v>2441.8000000000002</v>
      </c>
      <c r="J1530" s="303">
        <v>2441.8000000000002</v>
      </c>
      <c r="K1530" s="302">
        <v>83</v>
      </c>
      <c r="L1530" s="283">
        <v>3546199</v>
      </c>
      <c r="M1530" s="283">
        <v>0</v>
      </c>
      <c r="N1530" s="283">
        <v>0</v>
      </c>
      <c r="O1530" s="283">
        <f>L1530</f>
        <v>3546199</v>
      </c>
      <c r="P1530" s="283">
        <v>0</v>
      </c>
      <c r="Q1530" s="303">
        <f>L1530/I1530</f>
        <v>1452.2888852485869</v>
      </c>
      <c r="R1530" s="284">
        <v>7920</v>
      </c>
      <c r="S1530" s="285">
        <v>43830</v>
      </c>
    </row>
    <row r="1531" spans="1:19" s="1" customFormat="1" ht="15.75">
      <c r="A1531" s="277"/>
      <c r="B1531" s="312"/>
      <c r="C1531" s="300"/>
      <c r="D1531" s="300"/>
      <c r="E1531" s="280"/>
      <c r="F1531" s="300"/>
      <c r="G1531" s="300"/>
      <c r="H1531" s="301"/>
      <c r="I1531" s="303"/>
      <c r="J1531" s="303"/>
      <c r="K1531" s="302"/>
      <c r="L1531" s="283"/>
      <c r="M1531" s="283"/>
      <c r="N1531" s="283"/>
      <c r="O1531" s="283"/>
      <c r="P1531" s="283"/>
      <c r="Q1531" s="303"/>
      <c r="R1531" s="284"/>
      <c r="S1531" s="285"/>
    </row>
    <row r="1532" spans="1:19" s="1" customFormat="1" ht="15.75">
      <c r="A1532" s="277"/>
      <c r="B1532" s="312"/>
      <c r="C1532" s="300"/>
      <c r="D1532" s="300"/>
      <c r="E1532" s="280"/>
      <c r="F1532" s="300"/>
      <c r="G1532" s="300"/>
      <c r="H1532" s="301"/>
      <c r="I1532" s="303"/>
      <c r="J1532" s="303"/>
      <c r="K1532" s="302"/>
      <c r="L1532" s="283"/>
      <c r="M1532" s="283"/>
      <c r="N1532" s="283"/>
      <c r="O1532" s="283"/>
      <c r="P1532" s="283"/>
      <c r="Q1532" s="303"/>
      <c r="R1532" s="284"/>
      <c r="S1532" s="285"/>
    </row>
    <row r="1533" spans="1:19" s="1" customFormat="1" ht="15.75">
      <c r="A1533" s="87"/>
      <c r="B1533" s="1066" t="s">
        <v>211</v>
      </c>
      <c r="C1533" s="1066"/>
      <c r="D1533" s="1066"/>
      <c r="E1533" s="1066"/>
      <c r="F1533" s="1066"/>
      <c r="G1533" s="1066"/>
      <c r="H1533" s="107">
        <f>H1534+H1536</f>
        <v>2953.2000000000003</v>
      </c>
      <c r="I1533" s="107">
        <f t="shared" ref="I1533:P1533" si="365">I1534+I1536</f>
        <v>2191.4</v>
      </c>
      <c r="J1533" s="107">
        <f t="shared" si="365"/>
        <v>2191.4</v>
      </c>
      <c r="K1533" s="98">
        <f t="shared" si="365"/>
        <v>85</v>
      </c>
      <c r="L1533" s="92">
        <f t="shared" si="365"/>
        <v>3398521</v>
      </c>
      <c r="M1533" s="92">
        <f t="shared" si="365"/>
        <v>0</v>
      </c>
      <c r="N1533" s="92">
        <f t="shared" si="365"/>
        <v>0</v>
      </c>
      <c r="O1533" s="92">
        <f t="shared" si="365"/>
        <v>3398521</v>
      </c>
      <c r="P1533" s="92">
        <f t="shared" si="365"/>
        <v>0</v>
      </c>
      <c r="Q1533" s="86" t="s">
        <v>40</v>
      </c>
      <c r="R1533" s="86" t="s">
        <v>40</v>
      </c>
      <c r="S1533" s="285">
        <v>43830</v>
      </c>
    </row>
    <row r="1534" spans="1:19" s="1" customFormat="1" ht="15.75">
      <c r="A1534" s="87"/>
      <c r="B1534" s="1066" t="s">
        <v>637</v>
      </c>
      <c r="C1534" s="1066"/>
      <c r="D1534" s="1066"/>
      <c r="E1534" s="1066"/>
      <c r="F1534" s="1066"/>
      <c r="G1534" s="1066"/>
      <c r="H1534" s="107">
        <f>H1535</f>
        <v>2145.8000000000002</v>
      </c>
      <c r="I1534" s="107">
        <f t="shared" ref="I1534:P1534" si="366">I1535</f>
        <v>1475.9</v>
      </c>
      <c r="J1534" s="107">
        <f t="shared" si="366"/>
        <v>1475.9</v>
      </c>
      <c r="K1534" s="98">
        <f t="shared" si="366"/>
        <v>60</v>
      </c>
      <c r="L1534" s="92">
        <f t="shared" si="366"/>
        <v>1889892</v>
      </c>
      <c r="M1534" s="92">
        <f t="shared" si="366"/>
        <v>0</v>
      </c>
      <c r="N1534" s="92">
        <f t="shared" si="366"/>
        <v>0</v>
      </c>
      <c r="O1534" s="92">
        <f t="shared" si="366"/>
        <v>1889892</v>
      </c>
      <c r="P1534" s="92">
        <f t="shared" si="366"/>
        <v>0</v>
      </c>
      <c r="Q1534" s="86" t="s">
        <v>40</v>
      </c>
      <c r="R1534" s="93" t="s">
        <v>40</v>
      </c>
      <c r="S1534" s="285">
        <v>43830</v>
      </c>
    </row>
    <row r="1535" spans="1:19" s="1" customFormat="1" ht="31.5">
      <c r="A1535" s="87">
        <f>A1532+1</f>
        <v>1</v>
      </c>
      <c r="B1535" s="223" t="s">
        <v>638</v>
      </c>
      <c r="C1535" s="97">
        <v>1967</v>
      </c>
      <c r="D1535" s="97"/>
      <c r="E1535" s="89" t="s">
        <v>218</v>
      </c>
      <c r="F1535" s="97">
        <v>4</v>
      </c>
      <c r="G1535" s="97">
        <v>3</v>
      </c>
      <c r="H1535" s="107">
        <v>2145.8000000000002</v>
      </c>
      <c r="I1535" s="86">
        <v>1475.9</v>
      </c>
      <c r="J1535" s="86">
        <v>1475.9</v>
      </c>
      <c r="K1535" s="98">
        <v>60</v>
      </c>
      <c r="L1535" s="92">
        <v>1889892</v>
      </c>
      <c r="M1535" s="92">
        <v>0</v>
      </c>
      <c r="N1535" s="92">
        <v>0</v>
      </c>
      <c r="O1535" s="92">
        <v>1889892</v>
      </c>
      <c r="P1535" s="92">
        <v>0</v>
      </c>
      <c r="Q1535" s="86">
        <f>L1535/I1535</f>
        <v>1280.5013889829934</v>
      </c>
      <c r="R1535" s="93">
        <v>7920</v>
      </c>
      <c r="S1535" s="285">
        <v>43830</v>
      </c>
    </row>
    <row r="1536" spans="1:19" s="1" customFormat="1" ht="15.75">
      <c r="A1536" s="87"/>
      <c r="B1536" s="1066" t="s">
        <v>639</v>
      </c>
      <c r="C1536" s="1066"/>
      <c r="D1536" s="1066"/>
      <c r="E1536" s="1066"/>
      <c r="F1536" s="1066"/>
      <c r="G1536" s="1066"/>
      <c r="H1536" s="107">
        <f>H1537</f>
        <v>807.4</v>
      </c>
      <c r="I1536" s="107">
        <f t="shared" ref="I1536:P1536" si="367">I1537</f>
        <v>715.5</v>
      </c>
      <c r="J1536" s="107">
        <f t="shared" si="367"/>
        <v>715.5</v>
      </c>
      <c r="K1536" s="98">
        <f t="shared" si="367"/>
        <v>25</v>
      </c>
      <c r="L1536" s="92">
        <f t="shared" si="367"/>
        <v>1508629</v>
      </c>
      <c r="M1536" s="92">
        <f t="shared" si="367"/>
        <v>0</v>
      </c>
      <c r="N1536" s="92">
        <f t="shared" si="367"/>
        <v>0</v>
      </c>
      <c r="O1536" s="92">
        <f t="shared" si="367"/>
        <v>1508629</v>
      </c>
      <c r="P1536" s="92">
        <f t="shared" si="367"/>
        <v>0</v>
      </c>
      <c r="Q1536" s="86" t="s">
        <v>40</v>
      </c>
      <c r="R1536" s="93" t="s">
        <v>40</v>
      </c>
      <c r="S1536" s="285">
        <v>43830</v>
      </c>
    </row>
    <row r="1537" spans="1:19" s="1" customFormat="1" ht="31.5">
      <c r="A1537" s="87">
        <f>A1535+1</f>
        <v>2</v>
      </c>
      <c r="B1537" s="223" t="s">
        <v>640</v>
      </c>
      <c r="C1537" s="97">
        <v>1981</v>
      </c>
      <c r="D1537" s="97"/>
      <c r="E1537" s="89" t="s">
        <v>218</v>
      </c>
      <c r="F1537" s="97">
        <v>2</v>
      </c>
      <c r="G1537" s="97">
        <v>2</v>
      </c>
      <c r="H1537" s="107">
        <v>807.4</v>
      </c>
      <c r="I1537" s="86">
        <v>715.5</v>
      </c>
      <c r="J1537" s="86">
        <v>715.5</v>
      </c>
      <c r="K1537" s="98">
        <v>25</v>
      </c>
      <c r="L1537" s="92">
        <v>1508629</v>
      </c>
      <c r="M1537" s="92">
        <v>0</v>
      </c>
      <c r="N1537" s="92">
        <v>0</v>
      </c>
      <c r="O1537" s="92">
        <v>1508629</v>
      </c>
      <c r="P1537" s="92">
        <v>0</v>
      </c>
      <c r="Q1537" s="86">
        <f>L1537/I1537</f>
        <v>2108.4961565338922</v>
      </c>
      <c r="R1537" s="93">
        <v>7920</v>
      </c>
      <c r="S1537" s="285">
        <v>43830</v>
      </c>
    </row>
    <row r="1538" spans="1:19" s="1" customFormat="1" ht="15.75">
      <c r="A1538" s="87"/>
      <c r="B1538" s="1066" t="s">
        <v>66</v>
      </c>
      <c r="C1538" s="1066"/>
      <c r="D1538" s="1066"/>
      <c r="E1538" s="1066"/>
      <c r="F1538" s="1066"/>
      <c r="G1538" s="1066"/>
      <c r="H1538" s="107">
        <f>H1541+H1539</f>
        <v>1902.9</v>
      </c>
      <c r="I1538" s="107">
        <f t="shared" ref="I1538:P1538" si="368">I1541+I1539</f>
        <v>1758.6999999999998</v>
      </c>
      <c r="J1538" s="107">
        <f t="shared" si="368"/>
        <v>1631.9</v>
      </c>
      <c r="K1538" s="107">
        <f t="shared" si="368"/>
        <v>48</v>
      </c>
      <c r="L1538" s="313">
        <f t="shared" si="368"/>
        <v>4103443</v>
      </c>
      <c r="M1538" s="313">
        <f t="shared" si="368"/>
        <v>0</v>
      </c>
      <c r="N1538" s="313">
        <f t="shared" si="368"/>
        <v>0</v>
      </c>
      <c r="O1538" s="313">
        <f t="shared" si="368"/>
        <v>4103443</v>
      </c>
      <c r="P1538" s="313">
        <f t="shared" si="368"/>
        <v>0</v>
      </c>
      <c r="Q1538" s="86" t="s">
        <v>40</v>
      </c>
      <c r="R1538" s="86" t="s">
        <v>40</v>
      </c>
      <c r="S1538" s="285">
        <v>43830</v>
      </c>
    </row>
    <row r="1539" spans="1:19" s="1" customFormat="1" ht="22.9" customHeight="1">
      <c r="A1539" s="277"/>
      <c r="B1539" s="312" t="s">
        <v>641</v>
      </c>
      <c r="C1539" s="312"/>
      <c r="D1539" s="312"/>
      <c r="E1539" s="312"/>
      <c r="F1539" s="312"/>
      <c r="G1539" s="312"/>
      <c r="H1539" s="301">
        <f>H1540</f>
        <v>689.6</v>
      </c>
      <c r="I1539" s="301">
        <f t="shared" ref="I1539:P1539" si="369">I1540</f>
        <v>641.1</v>
      </c>
      <c r="J1539" s="301">
        <f t="shared" si="369"/>
        <v>555.5</v>
      </c>
      <c r="K1539" s="301">
        <f t="shared" si="369"/>
        <v>19</v>
      </c>
      <c r="L1539" s="602">
        <f t="shared" si="369"/>
        <v>357985</v>
      </c>
      <c r="M1539" s="602">
        <f t="shared" si="369"/>
        <v>0</v>
      </c>
      <c r="N1539" s="602">
        <f t="shared" si="369"/>
        <v>0</v>
      </c>
      <c r="O1539" s="602">
        <f t="shared" si="369"/>
        <v>357985</v>
      </c>
      <c r="P1539" s="602">
        <f t="shared" si="369"/>
        <v>0</v>
      </c>
      <c r="Q1539" s="303" t="s">
        <v>40</v>
      </c>
      <c r="R1539" s="303" t="s">
        <v>40</v>
      </c>
      <c r="S1539" s="285">
        <v>43830</v>
      </c>
    </row>
    <row r="1540" spans="1:19" s="1" customFormat="1" ht="31.5">
      <c r="A1540" s="277"/>
      <c r="B1540" s="312" t="s">
        <v>643</v>
      </c>
      <c r="C1540" s="300">
        <v>1972</v>
      </c>
      <c r="D1540" s="312"/>
      <c r="E1540" s="280" t="s">
        <v>218</v>
      </c>
      <c r="F1540" s="300">
        <v>2</v>
      </c>
      <c r="G1540" s="300">
        <v>2</v>
      </c>
      <c r="H1540" s="301">
        <v>689.6</v>
      </c>
      <c r="I1540" s="303">
        <v>641.1</v>
      </c>
      <c r="J1540" s="303">
        <v>555.5</v>
      </c>
      <c r="K1540" s="302">
        <v>19</v>
      </c>
      <c r="L1540" s="283">
        <v>357985</v>
      </c>
      <c r="M1540" s="283">
        <v>0</v>
      </c>
      <c r="N1540" s="283">
        <v>0</v>
      </c>
      <c r="O1540" s="283">
        <v>357985</v>
      </c>
      <c r="P1540" s="283">
        <v>0</v>
      </c>
      <c r="Q1540" s="303">
        <f>L1540/I1540</f>
        <v>558.39182654812043</v>
      </c>
      <c r="R1540" s="303">
        <v>7920</v>
      </c>
      <c r="S1540" s="285">
        <v>43830</v>
      </c>
    </row>
    <row r="1541" spans="1:19" s="1" customFormat="1" ht="15.75">
      <c r="A1541" s="87"/>
      <c r="B1541" s="1066" t="s">
        <v>114</v>
      </c>
      <c r="C1541" s="1066"/>
      <c r="D1541" s="1066"/>
      <c r="E1541" s="1066"/>
      <c r="F1541" s="1066"/>
      <c r="G1541" s="1066"/>
      <c r="H1541" s="107">
        <f>H1542+H1543</f>
        <v>1213.3</v>
      </c>
      <c r="I1541" s="107">
        <f t="shared" ref="I1541:P1541" si="370">I1542+I1543</f>
        <v>1117.5999999999999</v>
      </c>
      <c r="J1541" s="107">
        <f t="shared" si="370"/>
        <v>1076.4000000000001</v>
      </c>
      <c r="K1541" s="107">
        <f t="shared" si="370"/>
        <v>29</v>
      </c>
      <c r="L1541" s="313">
        <f t="shared" si="370"/>
        <v>3745458</v>
      </c>
      <c r="M1541" s="313">
        <f t="shared" si="370"/>
        <v>0</v>
      </c>
      <c r="N1541" s="313">
        <f t="shared" si="370"/>
        <v>0</v>
      </c>
      <c r="O1541" s="313">
        <f t="shared" si="370"/>
        <v>3745458</v>
      </c>
      <c r="P1541" s="313">
        <f t="shared" si="370"/>
        <v>0</v>
      </c>
      <c r="Q1541" s="86" t="s">
        <v>40</v>
      </c>
      <c r="R1541" s="93" t="s">
        <v>40</v>
      </c>
      <c r="S1541" s="285">
        <v>43830</v>
      </c>
    </row>
    <row r="1542" spans="1:19" s="1" customFormat="1" ht="31.5">
      <c r="A1542" s="277">
        <f>A1537+1</f>
        <v>3</v>
      </c>
      <c r="B1542" s="312" t="s">
        <v>501</v>
      </c>
      <c r="C1542" s="300">
        <v>1980</v>
      </c>
      <c r="D1542" s="300"/>
      <c r="E1542" s="280" t="s">
        <v>218</v>
      </c>
      <c r="F1542" s="300">
        <v>2</v>
      </c>
      <c r="G1542" s="300">
        <v>2</v>
      </c>
      <c r="H1542" s="301">
        <v>793.8</v>
      </c>
      <c r="I1542" s="303">
        <v>730.4</v>
      </c>
      <c r="J1542" s="303">
        <v>730.4</v>
      </c>
      <c r="K1542" s="302">
        <v>20</v>
      </c>
      <c r="L1542" s="283">
        <v>2305927</v>
      </c>
      <c r="M1542" s="283">
        <v>0</v>
      </c>
      <c r="N1542" s="283">
        <v>0</v>
      </c>
      <c r="O1542" s="283">
        <v>2305927</v>
      </c>
      <c r="P1542" s="283">
        <v>0</v>
      </c>
      <c r="Q1542" s="303">
        <f>L1542/I1542</f>
        <v>3157.0742059145673</v>
      </c>
      <c r="R1542" s="284">
        <v>7920</v>
      </c>
      <c r="S1542" s="285">
        <v>43830</v>
      </c>
    </row>
    <row r="1543" spans="1:19" s="1" customFormat="1" ht="31.5">
      <c r="A1543" s="277">
        <f>A1542+1</f>
        <v>4</v>
      </c>
      <c r="B1543" s="312" t="s">
        <v>502</v>
      </c>
      <c r="C1543" s="300">
        <v>1953</v>
      </c>
      <c r="D1543" s="300"/>
      <c r="E1543" s="280" t="s">
        <v>218</v>
      </c>
      <c r="F1543" s="300">
        <v>2</v>
      </c>
      <c r="G1543" s="300">
        <v>1</v>
      </c>
      <c r="H1543" s="301">
        <v>419.5</v>
      </c>
      <c r="I1543" s="303">
        <v>387.2</v>
      </c>
      <c r="J1543" s="303">
        <v>346</v>
      </c>
      <c r="K1543" s="302">
        <v>9</v>
      </c>
      <c r="L1543" s="283">
        <v>1439531</v>
      </c>
      <c r="M1543" s="283">
        <v>0</v>
      </c>
      <c r="N1543" s="283">
        <v>0</v>
      </c>
      <c r="O1543" s="283">
        <v>1439531</v>
      </c>
      <c r="P1543" s="283">
        <v>0</v>
      </c>
      <c r="Q1543" s="303">
        <f>L1543/I1543</f>
        <v>3717.7970041322315</v>
      </c>
      <c r="R1543" s="284">
        <v>7920</v>
      </c>
      <c r="S1543" s="285">
        <v>43830</v>
      </c>
    </row>
    <row r="1544" spans="1:19" s="1" customFormat="1" ht="15.75">
      <c r="A1544" s="87"/>
      <c r="B1544" s="223"/>
      <c r="C1544" s="97"/>
      <c r="D1544" s="97"/>
      <c r="E1544" s="89"/>
      <c r="F1544" s="97"/>
      <c r="G1544" s="97"/>
      <c r="H1544" s="107"/>
      <c r="I1544" s="86"/>
      <c r="J1544" s="86"/>
      <c r="K1544" s="98"/>
      <c r="L1544" s="92"/>
      <c r="M1544" s="92"/>
      <c r="N1544" s="92"/>
      <c r="O1544" s="92"/>
      <c r="P1544" s="92"/>
      <c r="Q1544" s="86"/>
      <c r="R1544" s="93"/>
      <c r="S1544" s="285"/>
    </row>
    <row r="1545" spans="1:19" s="1" customFormat="1" ht="15.75">
      <c r="A1545" s="87"/>
      <c r="B1545" s="1066" t="s">
        <v>207</v>
      </c>
      <c r="C1545" s="1066"/>
      <c r="D1545" s="1066"/>
      <c r="E1545" s="1066"/>
      <c r="F1545" s="1066"/>
      <c r="G1545" s="1066"/>
      <c r="H1545" s="107">
        <f>SUM(H1546:H1552)</f>
        <v>53715.519999999997</v>
      </c>
      <c r="I1545" s="107">
        <f t="shared" ref="I1545:P1545" si="371">SUM(I1546:I1552)</f>
        <v>46423.12</v>
      </c>
      <c r="J1545" s="107">
        <f t="shared" si="371"/>
        <v>45450.12</v>
      </c>
      <c r="K1545" s="107">
        <f t="shared" si="371"/>
        <v>2022</v>
      </c>
      <c r="L1545" s="313">
        <f t="shared" si="371"/>
        <v>21360482</v>
      </c>
      <c r="M1545" s="313">
        <f t="shared" si="371"/>
        <v>0</v>
      </c>
      <c r="N1545" s="313">
        <f t="shared" si="371"/>
        <v>0</v>
      </c>
      <c r="O1545" s="313">
        <f t="shared" si="371"/>
        <v>21360482</v>
      </c>
      <c r="P1545" s="313">
        <f t="shared" si="371"/>
        <v>0</v>
      </c>
      <c r="Q1545" s="86" t="s">
        <v>40</v>
      </c>
      <c r="R1545" s="86" t="s">
        <v>40</v>
      </c>
      <c r="S1545" s="285">
        <v>43830</v>
      </c>
    </row>
    <row r="1546" spans="1:19" s="17" customFormat="1" ht="15.75">
      <c r="A1546" s="277">
        <f>A1544+1</f>
        <v>1</v>
      </c>
      <c r="B1546" s="299" t="s">
        <v>506</v>
      </c>
      <c r="C1546" s="314">
        <v>1982</v>
      </c>
      <c r="D1546" s="314"/>
      <c r="E1546" s="280" t="s">
        <v>219</v>
      </c>
      <c r="F1546" s="300">
        <v>9</v>
      </c>
      <c r="G1546" s="300">
        <v>2</v>
      </c>
      <c r="H1546" s="315">
        <v>5115.57</v>
      </c>
      <c r="I1546" s="316">
        <v>4456.17</v>
      </c>
      <c r="J1546" s="316">
        <v>4337.2700000000004</v>
      </c>
      <c r="K1546" s="317">
        <v>180</v>
      </c>
      <c r="L1546" s="283">
        <v>1823609</v>
      </c>
      <c r="M1546" s="283">
        <v>0</v>
      </c>
      <c r="N1546" s="283">
        <v>0</v>
      </c>
      <c r="O1546" s="283">
        <f t="shared" ref="O1546:O1552" si="372">L1546</f>
        <v>1823609</v>
      </c>
      <c r="P1546" s="283">
        <v>0</v>
      </c>
      <c r="Q1546" s="318">
        <f t="shared" ref="Q1546:Q1552" si="373">L1546/I1546</f>
        <v>409.23236770589989</v>
      </c>
      <c r="R1546" s="284">
        <v>7920</v>
      </c>
      <c r="S1546" s="285">
        <v>43830</v>
      </c>
    </row>
    <row r="1547" spans="1:19" s="17" customFormat="1" ht="15.75">
      <c r="A1547" s="277">
        <f t="shared" ref="A1547:A1552" si="374">A1546+1</f>
        <v>2</v>
      </c>
      <c r="B1547" s="299" t="s">
        <v>507</v>
      </c>
      <c r="C1547" s="314">
        <v>1984</v>
      </c>
      <c r="D1547" s="314"/>
      <c r="E1547" s="280" t="s">
        <v>219</v>
      </c>
      <c r="F1547" s="300">
        <v>9</v>
      </c>
      <c r="G1547" s="300">
        <v>7</v>
      </c>
      <c r="H1547" s="315">
        <v>16499.849999999999</v>
      </c>
      <c r="I1547" s="316">
        <v>14068.3</v>
      </c>
      <c r="J1547" s="316">
        <v>13909.7</v>
      </c>
      <c r="K1547" s="317">
        <v>589</v>
      </c>
      <c r="L1547" s="283">
        <v>5329850</v>
      </c>
      <c r="M1547" s="283">
        <v>0</v>
      </c>
      <c r="N1547" s="283">
        <v>0</v>
      </c>
      <c r="O1547" s="283">
        <f t="shared" si="372"/>
        <v>5329850</v>
      </c>
      <c r="P1547" s="283">
        <v>0</v>
      </c>
      <c r="Q1547" s="318">
        <f t="shared" si="373"/>
        <v>378.85529879232035</v>
      </c>
      <c r="R1547" s="284">
        <v>7920</v>
      </c>
      <c r="S1547" s="285">
        <v>43830</v>
      </c>
    </row>
    <row r="1548" spans="1:19" s="17" customFormat="1" ht="15.75">
      <c r="A1548" s="277">
        <f t="shared" si="374"/>
        <v>3</v>
      </c>
      <c r="B1548" s="299" t="s">
        <v>508</v>
      </c>
      <c r="C1548" s="314">
        <v>1988</v>
      </c>
      <c r="D1548" s="314"/>
      <c r="E1548" s="280" t="s">
        <v>219</v>
      </c>
      <c r="F1548" s="300">
        <v>9</v>
      </c>
      <c r="G1548" s="300">
        <v>1</v>
      </c>
      <c r="H1548" s="315">
        <v>2532.1999999999998</v>
      </c>
      <c r="I1548" s="316">
        <v>2227</v>
      </c>
      <c r="J1548" s="316">
        <v>2150.1999999999998</v>
      </c>
      <c r="K1548" s="317">
        <v>94</v>
      </c>
      <c r="L1548" s="283">
        <v>1176993</v>
      </c>
      <c r="M1548" s="283">
        <v>0</v>
      </c>
      <c r="N1548" s="283">
        <v>0</v>
      </c>
      <c r="O1548" s="283">
        <f t="shared" si="372"/>
        <v>1176993</v>
      </c>
      <c r="P1548" s="283">
        <v>0</v>
      </c>
      <c r="Q1548" s="318">
        <f t="shared" si="373"/>
        <v>528.51055231252803</v>
      </c>
      <c r="R1548" s="284">
        <v>7920</v>
      </c>
      <c r="S1548" s="285">
        <v>43830</v>
      </c>
    </row>
    <row r="1549" spans="1:19" s="17" customFormat="1" ht="15.75">
      <c r="A1549" s="277">
        <f t="shared" si="374"/>
        <v>4</v>
      </c>
      <c r="B1549" s="299" t="s">
        <v>509</v>
      </c>
      <c r="C1549" s="314">
        <v>1984</v>
      </c>
      <c r="D1549" s="314"/>
      <c r="E1549" s="280" t="s">
        <v>219</v>
      </c>
      <c r="F1549" s="300">
        <v>9</v>
      </c>
      <c r="G1549" s="300">
        <v>3</v>
      </c>
      <c r="H1549" s="315">
        <v>7816.7</v>
      </c>
      <c r="I1549" s="316">
        <v>6789.35</v>
      </c>
      <c r="J1549" s="316">
        <v>6608.25</v>
      </c>
      <c r="K1549" s="317">
        <v>323</v>
      </c>
      <c r="L1549" s="283">
        <v>2684544</v>
      </c>
      <c r="M1549" s="283">
        <v>0</v>
      </c>
      <c r="N1549" s="283">
        <v>0</v>
      </c>
      <c r="O1549" s="283">
        <f t="shared" si="372"/>
        <v>2684544</v>
      </c>
      <c r="P1549" s="283">
        <v>0</v>
      </c>
      <c r="Q1549" s="318">
        <f t="shared" si="373"/>
        <v>395.40515660556605</v>
      </c>
      <c r="R1549" s="284">
        <v>7920</v>
      </c>
      <c r="S1549" s="285">
        <v>43830</v>
      </c>
    </row>
    <row r="1550" spans="1:19" s="17" customFormat="1" ht="15.75">
      <c r="A1550" s="277">
        <f t="shared" si="374"/>
        <v>5</v>
      </c>
      <c r="B1550" s="299" t="s">
        <v>510</v>
      </c>
      <c r="C1550" s="314">
        <v>1977</v>
      </c>
      <c r="D1550" s="314"/>
      <c r="E1550" s="280" t="s">
        <v>219</v>
      </c>
      <c r="F1550" s="300">
        <v>5</v>
      </c>
      <c r="G1550" s="300">
        <v>18</v>
      </c>
      <c r="H1550" s="315">
        <v>10645.8</v>
      </c>
      <c r="I1550" s="316">
        <v>9514.4</v>
      </c>
      <c r="J1550" s="316">
        <v>9336.2999999999993</v>
      </c>
      <c r="K1550" s="317">
        <v>431</v>
      </c>
      <c r="L1550" s="283">
        <v>6294002</v>
      </c>
      <c r="M1550" s="283">
        <v>0</v>
      </c>
      <c r="N1550" s="283">
        <v>0</v>
      </c>
      <c r="O1550" s="283">
        <f t="shared" si="372"/>
        <v>6294002</v>
      </c>
      <c r="P1550" s="283">
        <v>0</v>
      </c>
      <c r="Q1550" s="318">
        <f t="shared" si="373"/>
        <v>661.52379550996386</v>
      </c>
      <c r="R1550" s="284">
        <v>7920</v>
      </c>
      <c r="S1550" s="285">
        <v>43830</v>
      </c>
    </row>
    <row r="1551" spans="1:19" s="17" customFormat="1" ht="31.5">
      <c r="A1551" s="277">
        <f t="shared" si="374"/>
        <v>6</v>
      </c>
      <c r="B1551" s="299" t="s">
        <v>428</v>
      </c>
      <c r="C1551" s="314">
        <v>1983</v>
      </c>
      <c r="D1551" s="314"/>
      <c r="E1551" s="280" t="s">
        <v>218</v>
      </c>
      <c r="F1551" s="300">
        <v>9</v>
      </c>
      <c r="G1551" s="300">
        <v>1</v>
      </c>
      <c r="H1551" s="315">
        <v>5874.5</v>
      </c>
      <c r="I1551" s="316">
        <v>4804</v>
      </c>
      <c r="J1551" s="316">
        <v>4544.5</v>
      </c>
      <c r="K1551" s="317">
        <v>182</v>
      </c>
      <c r="L1551" s="283">
        <v>2199863</v>
      </c>
      <c r="M1551" s="283">
        <v>0</v>
      </c>
      <c r="N1551" s="283">
        <v>0</v>
      </c>
      <c r="O1551" s="283">
        <f t="shared" si="372"/>
        <v>2199863</v>
      </c>
      <c r="P1551" s="283">
        <v>0</v>
      </c>
      <c r="Q1551" s="318">
        <f t="shared" si="373"/>
        <v>457.92318900915905</v>
      </c>
      <c r="R1551" s="284">
        <v>7920</v>
      </c>
      <c r="S1551" s="285">
        <v>43830</v>
      </c>
    </row>
    <row r="1552" spans="1:19" s="17" customFormat="1" ht="15.75">
      <c r="A1552" s="277">
        <f t="shared" si="374"/>
        <v>7</v>
      </c>
      <c r="B1552" s="299" t="s">
        <v>511</v>
      </c>
      <c r="C1552" s="314">
        <v>1990</v>
      </c>
      <c r="D1552" s="314"/>
      <c r="E1552" s="280" t="s">
        <v>219</v>
      </c>
      <c r="F1552" s="300">
        <v>9</v>
      </c>
      <c r="G1552" s="300">
        <v>2</v>
      </c>
      <c r="H1552" s="315">
        <v>5230.8999999999996</v>
      </c>
      <c r="I1552" s="316">
        <v>4563.8999999999996</v>
      </c>
      <c r="J1552" s="316">
        <v>4563.8999999999996</v>
      </c>
      <c r="K1552" s="317">
        <v>223</v>
      </c>
      <c r="L1552" s="283">
        <v>1851621</v>
      </c>
      <c r="M1552" s="283">
        <v>0</v>
      </c>
      <c r="N1552" s="283">
        <v>0</v>
      </c>
      <c r="O1552" s="283">
        <f t="shared" si="372"/>
        <v>1851621</v>
      </c>
      <c r="P1552" s="283">
        <v>0</v>
      </c>
      <c r="Q1552" s="318">
        <f t="shared" si="373"/>
        <v>405.71024781436932</v>
      </c>
      <c r="R1552" s="284">
        <v>7920</v>
      </c>
      <c r="S1552" s="285">
        <v>43830</v>
      </c>
    </row>
    <row r="1553" spans="1:19" s="17" customFormat="1" ht="15.75">
      <c r="A1553" s="277"/>
      <c r="B1553" s="299"/>
      <c r="C1553" s="314"/>
      <c r="D1553" s="314"/>
      <c r="E1553" s="280"/>
      <c r="F1553" s="300"/>
      <c r="G1553" s="300"/>
      <c r="H1553" s="315"/>
      <c r="I1553" s="316"/>
      <c r="J1553" s="316"/>
      <c r="K1553" s="317"/>
      <c r="L1553" s="283"/>
      <c r="M1553" s="283"/>
      <c r="N1553" s="283"/>
      <c r="O1553" s="283"/>
      <c r="P1553" s="283"/>
      <c r="Q1553" s="318"/>
      <c r="R1553" s="284"/>
      <c r="S1553" s="285"/>
    </row>
    <row r="1554" spans="1:19" s="17" customFormat="1" ht="15.75">
      <c r="A1554" s="277"/>
      <c r="B1554" s="299"/>
      <c r="C1554" s="314"/>
      <c r="D1554" s="314"/>
      <c r="E1554" s="280"/>
      <c r="F1554" s="300"/>
      <c r="G1554" s="300"/>
      <c r="H1554" s="315"/>
      <c r="I1554" s="316"/>
      <c r="J1554" s="316"/>
      <c r="K1554" s="317"/>
      <c r="L1554" s="283"/>
      <c r="M1554" s="283"/>
      <c r="N1554" s="283"/>
      <c r="O1554" s="283"/>
      <c r="P1554" s="283"/>
      <c r="Q1554" s="318"/>
      <c r="R1554" s="284"/>
      <c r="S1554" s="285"/>
    </row>
    <row r="1555" spans="1:19" s="17" customFormat="1" ht="15.75">
      <c r="A1555" s="277"/>
      <c r="B1555" s="299"/>
      <c r="C1555" s="300"/>
      <c r="D1555" s="300"/>
      <c r="E1555" s="280"/>
      <c r="F1555" s="300"/>
      <c r="G1555" s="300"/>
      <c r="H1555" s="301"/>
      <c r="I1555" s="319"/>
      <c r="J1555" s="319"/>
      <c r="K1555" s="302"/>
      <c r="L1555" s="283"/>
      <c r="M1555" s="283"/>
      <c r="N1555" s="283"/>
      <c r="O1555" s="283"/>
      <c r="P1555" s="283"/>
      <c r="Q1555" s="318"/>
      <c r="R1555" s="284"/>
      <c r="S1555" s="285"/>
    </row>
    <row r="1556" spans="1:19" s="17" customFormat="1" ht="15.75">
      <c r="A1556" s="277"/>
      <c r="B1556" s="299"/>
      <c r="C1556" s="314"/>
      <c r="D1556" s="314"/>
      <c r="E1556" s="280"/>
      <c r="F1556" s="314"/>
      <c r="G1556" s="314"/>
      <c r="H1556" s="315"/>
      <c r="I1556" s="316"/>
      <c r="J1556" s="316"/>
      <c r="K1556" s="317"/>
      <c r="L1556" s="283"/>
      <c r="M1556" s="283"/>
      <c r="N1556" s="283"/>
      <c r="O1556" s="283"/>
      <c r="P1556" s="283"/>
      <c r="Q1556" s="318"/>
      <c r="R1556" s="284"/>
      <c r="S1556" s="285"/>
    </row>
    <row r="1557" spans="1:19" s="13" customFormat="1" ht="15.75">
      <c r="A1557" s="87"/>
      <c r="B1557" s="1066" t="s">
        <v>67</v>
      </c>
      <c r="C1557" s="1066"/>
      <c r="D1557" s="1066"/>
      <c r="E1557" s="1066"/>
      <c r="F1557" s="1066"/>
      <c r="G1557" s="1066"/>
      <c r="H1557" s="107">
        <f t="shared" ref="H1557:P1557" si="375">H1558+H1560</f>
        <v>4895.2</v>
      </c>
      <c r="I1557" s="97">
        <f t="shared" si="375"/>
        <v>4785.5</v>
      </c>
      <c r="J1557" s="86">
        <f t="shared" si="375"/>
        <v>3916</v>
      </c>
      <c r="K1557" s="98">
        <f t="shared" si="375"/>
        <v>167</v>
      </c>
      <c r="L1557" s="92">
        <f t="shared" si="375"/>
        <v>2982495.07</v>
      </c>
      <c r="M1557" s="92">
        <f t="shared" si="375"/>
        <v>0</v>
      </c>
      <c r="N1557" s="92">
        <f t="shared" si="375"/>
        <v>260236.27</v>
      </c>
      <c r="O1557" s="92">
        <f t="shared" si="375"/>
        <v>2722258.8</v>
      </c>
      <c r="P1557" s="92">
        <f t="shared" si="375"/>
        <v>0</v>
      </c>
      <c r="Q1557" s="93" t="s">
        <v>40</v>
      </c>
      <c r="R1557" s="88" t="s">
        <v>40</v>
      </c>
      <c r="S1557" s="285">
        <v>43830</v>
      </c>
    </row>
    <row r="1558" spans="1:19" s="1" customFormat="1" ht="15.75">
      <c r="A1558" s="87"/>
      <c r="B1558" s="1066" t="s">
        <v>90</v>
      </c>
      <c r="C1558" s="1066"/>
      <c r="D1558" s="1066"/>
      <c r="E1558" s="1066"/>
      <c r="F1558" s="1066"/>
      <c r="G1558" s="1066"/>
      <c r="H1558" s="107">
        <f>H1559</f>
        <v>1507.8</v>
      </c>
      <c r="I1558" s="86">
        <f t="shared" ref="I1558:P1558" si="376">I1559</f>
        <v>1398.1</v>
      </c>
      <c r="J1558" s="86">
        <f t="shared" si="376"/>
        <v>1200.7</v>
      </c>
      <c r="K1558" s="98">
        <f t="shared" si="376"/>
        <v>62</v>
      </c>
      <c r="L1558" s="92">
        <f>L1559</f>
        <v>728197.07</v>
      </c>
      <c r="M1558" s="92">
        <f t="shared" si="376"/>
        <v>0</v>
      </c>
      <c r="N1558" s="92">
        <f t="shared" si="376"/>
        <v>260236.27</v>
      </c>
      <c r="O1558" s="92">
        <f t="shared" si="376"/>
        <v>467960.8</v>
      </c>
      <c r="P1558" s="92">
        <f t="shared" si="376"/>
        <v>0</v>
      </c>
      <c r="Q1558" s="93" t="s">
        <v>40</v>
      </c>
      <c r="R1558" s="88" t="s">
        <v>40</v>
      </c>
      <c r="S1558" s="285">
        <v>43830</v>
      </c>
    </row>
    <row r="1559" spans="1:19" s="18" customFormat="1" ht="15.75">
      <c r="A1559" s="87">
        <f>A1556+1</f>
        <v>1</v>
      </c>
      <c r="B1559" s="226" t="s">
        <v>429</v>
      </c>
      <c r="C1559" s="97">
        <v>1983</v>
      </c>
      <c r="D1559" s="152"/>
      <c r="E1559" s="89" t="s">
        <v>219</v>
      </c>
      <c r="F1559" s="97">
        <v>3</v>
      </c>
      <c r="G1559" s="97">
        <v>3</v>
      </c>
      <c r="H1559" s="107">
        <v>1507.8</v>
      </c>
      <c r="I1559" s="86">
        <v>1398.1</v>
      </c>
      <c r="J1559" s="86">
        <v>1200.7</v>
      </c>
      <c r="K1559" s="98">
        <v>62</v>
      </c>
      <c r="L1559" s="92">
        <v>728197.07</v>
      </c>
      <c r="M1559" s="92">
        <v>0</v>
      </c>
      <c r="N1559" s="92">
        <v>260236.27</v>
      </c>
      <c r="O1559" s="92">
        <v>467960.8</v>
      </c>
      <c r="P1559" s="92">
        <v>0</v>
      </c>
      <c r="Q1559" s="86">
        <f>L1559/I1559</f>
        <v>520.84762892496963</v>
      </c>
      <c r="R1559" s="93">
        <v>6774</v>
      </c>
      <c r="S1559" s="285">
        <v>43830</v>
      </c>
    </row>
    <row r="1560" spans="1:19" s="18" customFormat="1" ht="15.75">
      <c r="A1560" s="277"/>
      <c r="B1560" s="1151" t="s">
        <v>127</v>
      </c>
      <c r="C1560" s="1151"/>
      <c r="D1560" s="1151"/>
      <c r="E1560" s="1151"/>
      <c r="F1560" s="1151"/>
      <c r="G1560" s="1151"/>
      <c r="H1560" s="301">
        <f t="shared" ref="H1560:P1560" si="377">H1561</f>
        <v>3387.4</v>
      </c>
      <c r="I1560" s="303">
        <f t="shared" si="377"/>
        <v>3387.4</v>
      </c>
      <c r="J1560" s="303">
        <f t="shared" si="377"/>
        <v>2715.3</v>
      </c>
      <c r="K1560" s="302">
        <f t="shared" si="377"/>
        <v>105</v>
      </c>
      <c r="L1560" s="283">
        <f t="shared" si="377"/>
        <v>2254298</v>
      </c>
      <c r="M1560" s="283">
        <f t="shared" si="377"/>
        <v>0</v>
      </c>
      <c r="N1560" s="283">
        <f t="shared" si="377"/>
        <v>0</v>
      </c>
      <c r="O1560" s="283">
        <f t="shared" si="377"/>
        <v>2254298</v>
      </c>
      <c r="P1560" s="283">
        <f t="shared" si="377"/>
        <v>0</v>
      </c>
      <c r="Q1560" s="303" t="s">
        <v>40</v>
      </c>
      <c r="R1560" s="279" t="s">
        <v>40</v>
      </c>
      <c r="S1560" s="285">
        <v>43830</v>
      </c>
    </row>
    <row r="1561" spans="1:19" s="18" customFormat="1" ht="45" customHeight="1">
      <c r="A1561" s="277">
        <f>A1559+1</f>
        <v>2</v>
      </c>
      <c r="B1561" s="288" t="s">
        <v>687</v>
      </c>
      <c r="C1561" s="277">
        <v>1970</v>
      </c>
      <c r="D1561" s="277"/>
      <c r="E1561" s="280" t="s">
        <v>218</v>
      </c>
      <c r="F1561" s="277">
        <v>5</v>
      </c>
      <c r="G1561" s="277">
        <v>4</v>
      </c>
      <c r="H1561" s="676">
        <v>3387.4</v>
      </c>
      <c r="I1561" s="277">
        <v>3387.4</v>
      </c>
      <c r="J1561" s="277">
        <v>2715.3</v>
      </c>
      <c r="K1561" s="508">
        <v>105</v>
      </c>
      <c r="L1561" s="283">
        <v>2254298</v>
      </c>
      <c r="M1561" s="283">
        <v>0</v>
      </c>
      <c r="N1561" s="283">
        <v>0</v>
      </c>
      <c r="O1561" s="283">
        <f>L1561</f>
        <v>2254298</v>
      </c>
      <c r="P1561" s="283">
        <v>0</v>
      </c>
      <c r="Q1561" s="543">
        <f>L1561/I1561</f>
        <v>665.49506996516504</v>
      </c>
      <c r="R1561" s="284">
        <v>7920</v>
      </c>
      <c r="S1561" s="285">
        <v>43830</v>
      </c>
    </row>
    <row r="1562" spans="1:19" s="18" customFormat="1" ht="21.75" customHeight="1">
      <c r="A1562" s="1080" t="s">
        <v>206</v>
      </c>
      <c r="B1562" s="1080"/>
      <c r="C1562" s="1080"/>
      <c r="D1562" s="1080"/>
      <c r="E1562" s="1080"/>
      <c r="F1562" s="1080"/>
      <c r="G1562" s="1080"/>
      <c r="H1562" s="1080"/>
      <c r="I1562" s="1080"/>
      <c r="J1562" s="1080"/>
      <c r="K1562" s="1080"/>
      <c r="L1562" s="1080"/>
      <c r="M1562" s="1080"/>
      <c r="N1562" s="1080"/>
      <c r="O1562" s="1080"/>
      <c r="P1562" s="1080"/>
      <c r="Q1562" s="1080"/>
      <c r="R1562" s="1080"/>
      <c r="S1562" s="1080"/>
    </row>
    <row r="1563" spans="1:19" s="18" customFormat="1" ht="19.5" customHeight="1">
      <c r="A1563" s="87"/>
      <c r="B1563" s="1079" t="s">
        <v>205</v>
      </c>
      <c r="C1563" s="1079"/>
      <c r="D1563" s="1079"/>
      <c r="E1563" s="1079"/>
      <c r="F1563" s="1079"/>
      <c r="G1563" s="1079"/>
      <c r="H1563" s="151">
        <f>H1565+H1574</f>
        <v>25922.6</v>
      </c>
      <c r="I1563" s="151">
        <f t="shared" ref="I1563:P1563" si="378">I1565+I1574</f>
        <v>21873.7</v>
      </c>
      <c r="J1563" s="151">
        <f t="shared" si="378"/>
        <v>21404.3</v>
      </c>
      <c r="K1563" s="128">
        <f t="shared" si="378"/>
        <v>750</v>
      </c>
      <c r="L1563" s="92">
        <f t="shared" si="378"/>
        <v>2663060.64</v>
      </c>
      <c r="M1563" s="92">
        <f t="shared" si="378"/>
        <v>0</v>
      </c>
      <c r="N1563" s="92">
        <f t="shared" si="378"/>
        <v>0</v>
      </c>
      <c r="O1563" s="92">
        <f t="shared" si="378"/>
        <v>2663060.64</v>
      </c>
      <c r="P1563" s="92">
        <f t="shared" si="378"/>
        <v>0</v>
      </c>
      <c r="Q1563" s="93" t="s">
        <v>40</v>
      </c>
      <c r="R1563" s="88" t="s">
        <v>40</v>
      </c>
      <c r="S1563" s="88" t="s">
        <v>40</v>
      </c>
    </row>
    <row r="1564" spans="1:19" s="1" customFormat="1" ht="21.75" customHeight="1">
      <c r="A1564" s="1080" t="s">
        <v>35</v>
      </c>
      <c r="B1564" s="1080"/>
      <c r="C1564" s="1080"/>
      <c r="D1564" s="1080"/>
      <c r="E1564" s="1080"/>
      <c r="F1564" s="1080"/>
      <c r="G1564" s="1080"/>
      <c r="H1564" s="1080"/>
      <c r="I1564" s="1080"/>
      <c r="J1564" s="1080"/>
      <c r="K1564" s="1080"/>
      <c r="L1564" s="1080"/>
      <c r="M1564" s="1080"/>
      <c r="N1564" s="1080"/>
      <c r="O1564" s="1080"/>
      <c r="P1564" s="1080"/>
      <c r="Q1564" s="1080"/>
      <c r="R1564" s="1080"/>
      <c r="S1564" s="1080"/>
    </row>
    <row r="1565" spans="1:19" s="1" customFormat="1" ht="21.75" customHeight="1">
      <c r="A1565" s="232"/>
      <c r="B1565" s="1079" t="s">
        <v>20</v>
      </c>
      <c r="C1565" s="1079"/>
      <c r="D1565" s="1079"/>
      <c r="E1565" s="1079"/>
      <c r="F1565" s="1079"/>
      <c r="G1565" s="1079"/>
      <c r="H1565" s="90">
        <f>H1566</f>
        <v>23801.1</v>
      </c>
      <c r="I1565" s="90">
        <f t="shared" ref="I1565:P1566" si="379">I1566</f>
        <v>20069.3</v>
      </c>
      <c r="J1565" s="90">
        <f t="shared" si="379"/>
        <v>20069.3</v>
      </c>
      <c r="K1565" s="91">
        <f t="shared" ref="K1565:P1565" si="380">K1566</f>
        <v>702</v>
      </c>
      <c r="L1565" s="92">
        <f t="shared" si="380"/>
        <v>2447351.64</v>
      </c>
      <c r="M1565" s="92">
        <f t="shared" si="380"/>
        <v>0</v>
      </c>
      <c r="N1565" s="92">
        <f t="shared" si="380"/>
        <v>0</v>
      </c>
      <c r="O1565" s="92">
        <f t="shared" si="380"/>
        <v>2447351.64</v>
      </c>
      <c r="P1565" s="92">
        <f t="shared" si="380"/>
        <v>0</v>
      </c>
      <c r="Q1565" s="93" t="s">
        <v>40</v>
      </c>
      <c r="R1565" s="88" t="s">
        <v>40</v>
      </c>
      <c r="S1565" s="285">
        <v>43830</v>
      </c>
    </row>
    <row r="1566" spans="1:19" s="29" customFormat="1" ht="15.75" customHeight="1">
      <c r="A1566" s="79"/>
      <c r="B1566" s="1079" t="s">
        <v>53</v>
      </c>
      <c r="C1566" s="1079"/>
      <c r="D1566" s="1079"/>
      <c r="E1566" s="1079"/>
      <c r="F1566" s="1079"/>
      <c r="G1566" s="1079"/>
      <c r="H1566" s="90">
        <f>H1567</f>
        <v>23801.1</v>
      </c>
      <c r="I1566" s="93">
        <f t="shared" si="379"/>
        <v>20069.3</v>
      </c>
      <c r="J1566" s="93">
        <f t="shared" si="379"/>
        <v>20069.3</v>
      </c>
      <c r="K1566" s="91">
        <f t="shared" si="379"/>
        <v>702</v>
      </c>
      <c r="L1566" s="92">
        <f t="shared" si="379"/>
        <v>2447351.64</v>
      </c>
      <c r="M1566" s="92">
        <f t="shared" si="379"/>
        <v>0</v>
      </c>
      <c r="N1566" s="92">
        <f t="shared" si="379"/>
        <v>0</v>
      </c>
      <c r="O1566" s="92">
        <f t="shared" si="379"/>
        <v>2447351.64</v>
      </c>
      <c r="P1566" s="92">
        <f t="shared" si="379"/>
        <v>0</v>
      </c>
      <c r="Q1566" s="93" t="s">
        <v>40</v>
      </c>
      <c r="R1566" s="88" t="s">
        <v>40</v>
      </c>
      <c r="S1566" s="285">
        <v>43830</v>
      </c>
    </row>
    <row r="1567" spans="1:19" s="29" customFormat="1" ht="15.75" customHeight="1">
      <c r="A1567" s="79"/>
      <c r="B1567" s="1079" t="s">
        <v>88</v>
      </c>
      <c r="C1567" s="1079"/>
      <c r="D1567" s="1079"/>
      <c r="E1567" s="1079"/>
      <c r="F1567" s="1079"/>
      <c r="G1567" s="1079"/>
      <c r="H1567" s="90">
        <f t="shared" ref="H1567:P1567" si="381">SUM(H1568:H1572)</f>
        <v>23801.1</v>
      </c>
      <c r="I1567" s="93">
        <f t="shared" si="381"/>
        <v>20069.3</v>
      </c>
      <c r="J1567" s="93">
        <f t="shared" si="381"/>
        <v>20069.3</v>
      </c>
      <c r="K1567" s="91">
        <f t="shared" si="381"/>
        <v>702</v>
      </c>
      <c r="L1567" s="92">
        <f t="shared" si="381"/>
        <v>2447351.64</v>
      </c>
      <c r="M1567" s="92">
        <f t="shared" si="381"/>
        <v>0</v>
      </c>
      <c r="N1567" s="92">
        <f t="shared" si="381"/>
        <v>0</v>
      </c>
      <c r="O1567" s="92">
        <f t="shared" si="381"/>
        <v>2447351.64</v>
      </c>
      <c r="P1567" s="92">
        <f t="shared" si="381"/>
        <v>0</v>
      </c>
      <c r="Q1567" s="93" t="s">
        <v>40</v>
      </c>
      <c r="R1567" s="88" t="s">
        <v>40</v>
      </c>
      <c r="S1567" s="285">
        <v>43830</v>
      </c>
    </row>
    <row r="1568" spans="1:19" s="26" customFormat="1" ht="15.75">
      <c r="A1568" s="232">
        <f>A1561+1</f>
        <v>3</v>
      </c>
      <c r="B1568" s="153" t="s">
        <v>359</v>
      </c>
      <c r="C1568" s="154">
        <v>1975</v>
      </c>
      <c r="D1568" s="108"/>
      <c r="E1568" s="89" t="s">
        <v>219</v>
      </c>
      <c r="F1568" s="79">
        <v>5</v>
      </c>
      <c r="G1568" s="79">
        <v>4</v>
      </c>
      <c r="H1568" s="150">
        <f>2075.9+150</f>
        <v>2225.9</v>
      </c>
      <c r="I1568" s="80">
        <v>2075.9</v>
      </c>
      <c r="J1568" s="80">
        <v>2075.9</v>
      </c>
      <c r="K1568" s="81">
        <v>112</v>
      </c>
      <c r="L1568" s="92">
        <v>203849</v>
      </c>
      <c r="M1568" s="92">
        <v>0</v>
      </c>
      <c r="N1568" s="92">
        <v>0</v>
      </c>
      <c r="O1568" s="92">
        <f>L1568</f>
        <v>203849</v>
      </c>
      <c r="P1568" s="92">
        <v>0</v>
      </c>
      <c r="Q1568" s="93">
        <f>L1568/I1568</f>
        <v>98.197890071776087</v>
      </c>
      <c r="R1568" s="93">
        <v>6774</v>
      </c>
      <c r="S1568" s="285">
        <v>43830</v>
      </c>
    </row>
    <row r="1569" spans="1:19" s="26" customFormat="1" ht="15.75">
      <c r="A1569" s="232">
        <f>A1568+1</f>
        <v>4</v>
      </c>
      <c r="B1569" s="153" t="s">
        <v>360</v>
      </c>
      <c r="C1569" s="154">
        <v>1991</v>
      </c>
      <c r="D1569" s="108"/>
      <c r="E1569" s="89" t="s">
        <v>219</v>
      </c>
      <c r="F1569" s="79">
        <v>9</v>
      </c>
      <c r="G1569" s="79">
        <v>2</v>
      </c>
      <c r="H1569" s="150">
        <f>4259.3+1200.8</f>
        <v>5460.1</v>
      </c>
      <c r="I1569" s="80">
        <v>4259.3</v>
      </c>
      <c r="J1569" s="80">
        <v>4259.3</v>
      </c>
      <c r="K1569" s="81">
        <v>132</v>
      </c>
      <c r="L1569" s="92">
        <v>489343.64</v>
      </c>
      <c r="M1569" s="92">
        <v>0</v>
      </c>
      <c r="N1569" s="92">
        <v>0</v>
      </c>
      <c r="O1569" s="92">
        <f>L1569</f>
        <v>489343.64</v>
      </c>
      <c r="P1569" s="92">
        <v>0</v>
      </c>
      <c r="Q1569" s="93">
        <f>L1569/I1569</f>
        <v>114.88827741647688</v>
      </c>
      <c r="R1569" s="93">
        <v>6774</v>
      </c>
      <c r="S1569" s="285">
        <v>43830</v>
      </c>
    </row>
    <row r="1570" spans="1:19" s="26" customFormat="1" ht="15.75">
      <c r="A1570" s="232">
        <f>A1569+1</f>
        <v>5</v>
      </c>
      <c r="B1570" s="153" t="s">
        <v>432</v>
      </c>
      <c r="C1570" s="154">
        <v>1978</v>
      </c>
      <c r="D1570" s="108"/>
      <c r="E1570" s="89" t="s">
        <v>219</v>
      </c>
      <c r="F1570" s="79">
        <v>5</v>
      </c>
      <c r="G1570" s="79">
        <v>6</v>
      </c>
      <c r="H1570" s="150">
        <v>6071.5</v>
      </c>
      <c r="I1570" s="80">
        <v>4592.3</v>
      </c>
      <c r="J1570" s="80">
        <v>4592.3</v>
      </c>
      <c r="K1570" s="81">
        <v>181</v>
      </c>
      <c r="L1570" s="92">
        <v>395010</v>
      </c>
      <c r="M1570" s="92">
        <v>0</v>
      </c>
      <c r="N1570" s="92">
        <v>0</v>
      </c>
      <c r="O1570" s="92">
        <f>L1570</f>
        <v>395010</v>
      </c>
      <c r="P1570" s="92">
        <v>0</v>
      </c>
      <c r="Q1570" s="93">
        <f>L1570/I1570</f>
        <v>86.015721969383534</v>
      </c>
      <c r="R1570" s="93">
        <v>6774</v>
      </c>
      <c r="S1570" s="285">
        <v>43830</v>
      </c>
    </row>
    <row r="1571" spans="1:19" s="26" customFormat="1" ht="15.75">
      <c r="A1571" s="232">
        <f>A1570+1</f>
        <v>6</v>
      </c>
      <c r="B1571" s="153" t="s">
        <v>431</v>
      </c>
      <c r="C1571" s="154">
        <v>1980</v>
      </c>
      <c r="D1571" s="108"/>
      <c r="E1571" s="89" t="s">
        <v>219</v>
      </c>
      <c r="F1571" s="79">
        <v>5</v>
      </c>
      <c r="G1571" s="79">
        <v>6</v>
      </c>
      <c r="H1571" s="150">
        <f>493.2+4644.3</f>
        <v>5137.5</v>
      </c>
      <c r="I1571" s="80">
        <v>4644.3</v>
      </c>
      <c r="J1571" s="80">
        <v>4644.3</v>
      </c>
      <c r="K1571" s="81">
        <v>177</v>
      </c>
      <c r="L1571" s="92">
        <v>285326</v>
      </c>
      <c r="M1571" s="92">
        <v>0</v>
      </c>
      <c r="N1571" s="92">
        <v>0</v>
      </c>
      <c r="O1571" s="92">
        <f>L1571</f>
        <v>285326</v>
      </c>
      <c r="P1571" s="92">
        <v>0</v>
      </c>
      <c r="Q1571" s="93">
        <f>L1571/I1571</f>
        <v>61.435738432056496</v>
      </c>
      <c r="R1571" s="93">
        <v>6774</v>
      </c>
      <c r="S1571" s="285">
        <v>43830</v>
      </c>
    </row>
    <row r="1572" spans="1:19" s="26" customFormat="1" ht="31.5">
      <c r="A1572" s="232">
        <f>A1571+1</f>
        <v>7</v>
      </c>
      <c r="B1572" s="153" t="s">
        <v>358</v>
      </c>
      <c r="C1572" s="154">
        <v>1973</v>
      </c>
      <c r="D1572" s="108"/>
      <c r="E1572" s="89" t="s">
        <v>218</v>
      </c>
      <c r="F1572" s="79">
        <v>5</v>
      </c>
      <c r="G1572" s="79">
        <v>6</v>
      </c>
      <c r="H1572" s="150">
        <v>4906.1000000000004</v>
      </c>
      <c r="I1572" s="80">
        <v>4497.5</v>
      </c>
      <c r="J1572" s="80">
        <v>4497.5</v>
      </c>
      <c r="K1572" s="81">
        <v>100</v>
      </c>
      <c r="L1572" s="92">
        <v>1073823</v>
      </c>
      <c r="M1572" s="92">
        <v>0</v>
      </c>
      <c r="N1572" s="92">
        <v>0</v>
      </c>
      <c r="O1572" s="92">
        <f>L1572</f>
        <v>1073823</v>
      </c>
      <c r="P1572" s="92">
        <v>0</v>
      </c>
      <c r="Q1572" s="93">
        <f>L1572/I1572</f>
        <v>238.75997776542525</v>
      </c>
      <c r="R1572" s="93">
        <v>6774</v>
      </c>
      <c r="S1572" s="285">
        <v>43830</v>
      </c>
    </row>
    <row r="1573" spans="1:19" s="1" customFormat="1" ht="34.5" customHeight="1">
      <c r="A1573" s="1080" t="s">
        <v>37</v>
      </c>
      <c r="B1573" s="1080"/>
      <c r="C1573" s="1080"/>
      <c r="D1573" s="1080"/>
      <c r="E1573" s="1080"/>
      <c r="F1573" s="1080"/>
      <c r="G1573" s="1080"/>
      <c r="H1573" s="1080"/>
      <c r="I1573" s="1080"/>
      <c r="J1573" s="1080"/>
      <c r="K1573" s="1080"/>
      <c r="L1573" s="1080"/>
      <c r="M1573" s="1080"/>
      <c r="N1573" s="1080"/>
      <c r="O1573" s="1080"/>
      <c r="P1573" s="1080"/>
      <c r="Q1573" s="1080"/>
      <c r="R1573" s="1080"/>
      <c r="S1573" s="1080"/>
    </row>
    <row r="1574" spans="1:19" s="1" customFormat="1" ht="15.75">
      <c r="A1574" s="232"/>
      <c r="B1574" s="1079" t="s">
        <v>20</v>
      </c>
      <c r="C1574" s="1079"/>
      <c r="D1574" s="1079"/>
      <c r="E1574" s="1079"/>
      <c r="F1574" s="1079"/>
      <c r="G1574" s="1079"/>
      <c r="H1574" s="90">
        <f t="shared" ref="H1574:P1574" si="382">H1575+H1578</f>
        <v>2121.5</v>
      </c>
      <c r="I1574" s="90">
        <f t="shared" si="382"/>
        <v>1804.4</v>
      </c>
      <c r="J1574" s="90">
        <f t="shared" si="382"/>
        <v>1335</v>
      </c>
      <c r="K1574" s="91">
        <f t="shared" si="382"/>
        <v>48</v>
      </c>
      <c r="L1574" s="92">
        <f t="shared" si="382"/>
        <v>215709</v>
      </c>
      <c r="M1574" s="92">
        <f t="shared" si="382"/>
        <v>0</v>
      </c>
      <c r="N1574" s="92">
        <f t="shared" si="382"/>
        <v>0</v>
      </c>
      <c r="O1574" s="92">
        <f t="shared" si="382"/>
        <v>215709</v>
      </c>
      <c r="P1574" s="92">
        <f t="shared" si="382"/>
        <v>0</v>
      </c>
      <c r="Q1574" s="93" t="s">
        <v>40</v>
      </c>
      <c r="R1574" s="88" t="s">
        <v>40</v>
      </c>
      <c r="S1574" s="285">
        <v>43830</v>
      </c>
    </row>
    <row r="1575" spans="1:19" s="1" customFormat="1" ht="15.75" customHeight="1">
      <c r="A1575" s="232"/>
      <c r="B1575" s="1102" t="s">
        <v>58</v>
      </c>
      <c r="C1575" s="1102"/>
      <c r="D1575" s="1102"/>
      <c r="E1575" s="1102"/>
      <c r="F1575" s="1102"/>
      <c r="G1575" s="1102"/>
      <c r="H1575" s="106">
        <f>H1576</f>
        <v>2121.5</v>
      </c>
      <c r="I1575" s="84">
        <f t="shared" ref="I1575:P1576" si="383">I1576</f>
        <v>1804.4</v>
      </c>
      <c r="J1575" s="84">
        <f t="shared" si="383"/>
        <v>1335</v>
      </c>
      <c r="K1575" s="85">
        <f t="shared" si="383"/>
        <v>48</v>
      </c>
      <c r="L1575" s="92">
        <f t="shared" si="383"/>
        <v>215709</v>
      </c>
      <c r="M1575" s="92">
        <f t="shared" si="383"/>
        <v>0</v>
      </c>
      <c r="N1575" s="92">
        <f t="shared" si="383"/>
        <v>0</v>
      </c>
      <c r="O1575" s="92">
        <f t="shared" si="383"/>
        <v>215709</v>
      </c>
      <c r="P1575" s="92">
        <f t="shared" si="383"/>
        <v>0</v>
      </c>
      <c r="Q1575" s="84" t="str">
        <f>Q1576</f>
        <v>Х</v>
      </c>
      <c r="R1575" s="84" t="str">
        <f>R1576</f>
        <v>Х</v>
      </c>
      <c r="S1575" s="285">
        <v>43830</v>
      </c>
    </row>
    <row r="1576" spans="1:19" s="1" customFormat="1" ht="15.75" customHeight="1">
      <c r="A1576" s="232"/>
      <c r="B1576" s="1102" t="s">
        <v>87</v>
      </c>
      <c r="C1576" s="1102"/>
      <c r="D1576" s="1102"/>
      <c r="E1576" s="1102"/>
      <c r="F1576" s="1102"/>
      <c r="G1576" s="1102"/>
      <c r="H1576" s="106">
        <f>H1577</f>
        <v>2121.5</v>
      </c>
      <c r="I1576" s="84">
        <f t="shared" si="383"/>
        <v>1804.4</v>
      </c>
      <c r="J1576" s="84">
        <f t="shared" si="383"/>
        <v>1335</v>
      </c>
      <c r="K1576" s="85">
        <f t="shared" si="383"/>
        <v>48</v>
      </c>
      <c r="L1576" s="92">
        <f>L1577</f>
        <v>215709</v>
      </c>
      <c r="M1576" s="92">
        <f t="shared" si="383"/>
        <v>0</v>
      </c>
      <c r="N1576" s="92">
        <f t="shared" si="383"/>
        <v>0</v>
      </c>
      <c r="O1576" s="92">
        <f>L1576</f>
        <v>215709</v>
      </c>
      <c r="P1576" s="92">
        <v>0</v>
      </c>
      <c r="Q1576" s="84" t="s">
        <v>40</v>
      </c>
      <c r="R1576" s="232" t="s">
        <v>40</v>
      </c>
      <c r="S1576" s="285">
        <v>43830</v>
      </c>
    </row>
    <row r="1577" spans="1:19" s="1" customFormat="1" ht="31.5">
      <c r="A1577" s="232">
        <f>A1572+1</f>
        <v>8</v>
      </c>
      <c r="B1577" s="227" t="s">
        <v>433</v>
      </c>
      <c r="C1577" s="79">
        <v>1959</v>
      </c>
      <c r="D1577" s="89"/>
      <c r="E1577" s="89" t="s">
        <v>218</v>
      </c>
      <c r="F1577" s="155" t="s">
        <v>73</v>
      </c>
      <c r="G1577" s="155" t="s">
        <v>74</v>
      </c>
      <c r="H1577" s="150">
        <v>2121.5</v>
      </c>
      <c r="I1577" s="80">
        <v>1804.4</v>
      </c>
      <c r="J1577" s="80">
        <f>1379-44</f>
        <v>1335</v>
      </c>
      <c r="K1577" s="81">
        <v>48</v>
      </c>
      <c r="L1577" s="92">
        <v>215709</v>
      </c>
      <c r="M1577" s="92">
        <v>0</v>
      </c>
      <c r="N1577" s="92">
        <v>0</v>
      </c>
      <c r="O1577" s="92">
        <f>L1577</f>
        <v>215709</v>
      </c>
      <c r="P1577" s="92">
        <v>0</v>
      </c>
      <c r="Q1577" s="80">
        <f>L1577/I1577</f>
        <v>119.54610951008645</v>
      </c>
      <c r="R1577" s="93">
        <v>6774</v>
      </c>
      <c r="S1577" s="285">
        <v>43830</v>
      </c>
    </row>
    <row r="1578" spans="1:19" s="1" customFormat="1" ht="25.9" customHeight="1">
      <c r="A1578" s="314"/>
      <c r="B1578" s="1138" t="s">
        <v>59</v>
      </c>
      <c r="C1578" s="1138"/>
      <c r="D1578" s="1138"/>
      <c r="E1578" s="1138"/>
      <c r="F1578" s="1138"/>
      <c r="G1578" s="1138"/>
      <c r="H1578" s="315">
        <f t="shared" ref="H1578:P1578" si="384">H1579+H1580</f>
        <v>0</v>
      </c>
      <c r="I1578" s="318">
        <f t="shared" si="384"/>
        <v>0</v>
      </c>
      <c r="J1578" s="318">
        <f t="shared" si="384"/>
        <v>0</v>
      </c>
      <c r="K1578" s="317">
        <f t="shared" si="384"/>
        <v>0</v>
      </c>
      <c r="L1578" s="283">
        <f t="shared" si="384"/>
        <v>0</v>
      </c>
      <c r="M1578" s="283">
        <f t="shared" si="384"/>
        <v>0</v>
      </c>
      <c r="N1578" s="283">
        <f t="shared" si="384"/>
        <v>0</v>
      </c>
      <c r="O1578" s="283">
        <f t="shared" si="384"/>
        <v>0</v>
      </c>
      <c r="P1578" s="283">
        <f t="shared" si="384"/>
        <v>0</v>
      </c>
      <c r="Q1578" s="318" t="str">
        <f>Q1579</f>
        <v>Х</v>
      </c>
      <c r="R1578" s="318" t="str">
        <f>R1579</f>
        <v>Х</v>
      </c>
      <c r="S1578" s="285">
        <v>43830</v>
      </c>
    </row>
    <row r="1579" spans="1:19" s="1" customFormat="1" ht="43.15" customHeight="1">
      <c r="A1579" s="277"/>
      <c r="B1579" s="1140" t="s">
        <v>86</v>
      </c>
      <c r="C1579" s="1140"/>
      <c r="D1579" s="1140"/>
      <c r="E1579" s="1140"/>
      <c r="F1579" s="1140"/>
      <c r="G1579" s="1140"/>
      <c r="H1579" s="318">
        <v>0</v>
      </c>
      <c r="I1579" s="318">
        <v>0</v>
      </c>
      <c r="J1579" s="318">
        <v>0</v>
      </c>
      <c r="K1579" s="282">
        <v>0</v>
      </c>
      <c r="L1579" s="283">
        <v>0</v>
      </c>
      <c r="M1579" s="283">
        <v>0</v>
      </c>
      <c r="N1579" s="283">
        <v>0</v>
      </c>
      <c r="O1579" s="283">
        <v>0</v>
      </c>
      <c r="P1579" s="283">
        <v>0</v>
      </c>
      <c r="Q1579" s="318" t="s">
        <v>40</v>
      </c>
      <c r="R1579" s="314" t="s">
        <v>40</v>
      </c>
      <c r="S1579" s="285">
        <v>43830</v>
      </c>
    </row>
    <row r="1580" spans="1:19" s="1" customFormat="1" ht="36.6" customHeight="1">
      <c r="A1580" s="314"/>
      <c r="B1580" s="1140" t="s">
        <v>85</v>
      </c>
      <c r="C1580" s="1140"/>
      <c r="D1580" s="1140"/>
      <c r="E1580" s="1140"/>
      <c r="F1580" s="1140"/>
      <c r="G1580" s="1140"/>
      <c r="H1580" s="281">
        <v>0</v>
      </c>
      <c r="I1580" s="279">
        <v>0</v>
      </c>
      <c r="J1580" s="279">
        <v>0</v>
      </c>
      <c r="K1580" s="282">
        <v>0</v>
      </c>
      <c r="L1580" s="283">
        <v>0</v>
      </c>
      <c r="M1580" s="283">
        <v>0</v>
      </c>
      <c r="N1580" s="283">
        <v>0</v>
      </c>
      <c r="O1580" s="283">
        <v>0</v>
      </c>
      <c r="P1580" s="283">
        <v>0</v>
      </c>
      <c r="Q1580" s="284" t="s">
        <v>40</v>
      </c>
      <c r="R1580" s="279" t="s">
        <v>40</v>
      </c>
      <c r="S1580" s="285">
        <v>43830</v>
      </c>
    </row>
  </sheetData>
  <autoFilter ref="A14:BJ772"/>
  <sortState ref="B20:AZ187">
    <sortCondition ref="B20:B187"/>
  </sortState>
  <customSheetViews>
    <customSheetView guid="{971AA6D5-B469-4A54-816C-1252CCB6D265}" scale="62" showPageBreaks="1" fitToPage="1" showAutoFilter="1" state="hidden" view="pageBreakPreview" topLeftCell="A10">
      <pane xSplit="2" ySplit="8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1"/>
      <headerFooter>
        <oddHeader>&amp;C&amp;14&amp;P</oddHeader>
      </headerFooter>
      <autoFilter ref="A14:BJ772"/>
    </customSheetView>
    <customSheetView guid="{DFE5B545-478C-4B86-847C-1FEE882C6F69}" scale="62" showPageBreaks="1" fitToPage="1" showAutoFilter="1" state="hidden" view="pageBreakPreview" topLeftCell="A10">
      <pane xSplit="2" ySplit="8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2"/>
      <headerFooter>
        <oddHeader>&amp;C&amp;14&amp;P</oddHeader>
      </headerFooter>
      <autoFilter ref="A14:BJ772"/>
    </customSheetView>
    <customSheetView guid="{4C44C113-DA02-468D-99C5-83FA6693F42F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3"/>
      <headerFooter>
        <oddHeader>&amp;C&amp;14&amp;P</oddHeader>
      </headerFooter>
      <autoFilter ref="A14:BJ772"/>
    </customSheetView>
    <customSheetView guid="{570403C4-1D93-4175-B4D8-BD47D46CE99C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4"/>
      <headerFooter>
        <oddHeader>&amp;C&amp;14&amp;P</oddHeader>
      </headerFooter>
      <autoFilter ref="A14:BJ772"/>
    </customSheetView>
    <customSheetView guid="{B1841E62-04AF-4786-8B2B-B1F42C88E6D1}" scale="62" showPageBreaks="1" fitToPage="1" showAutoFilter="1" state="hidden" view="pageBreakPreview" topLeftCell="A10">
      <pane xSplit="2" ySplit="9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5"/>
      <headerFooter>
        <oddHeader>&amp;C&amp;14&amp;P</oddHeader>
      </headerFooter>
      <autoFilter ref="A14:BJ580"/>
    </customSheetView>
    <customSheetView guid="{A28C0ADC-4E0C-4A0A-ACB1-DA409183476D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6"/>
      <headerFooter>
        <oddHeader>&amp;C&amp;14&amp;P</oddHeader>
      </headerFooter>
      <autoFilter ref="A14:BJ772"/>
    </customSheetView>
    <customSheetView guid="{144E5A37-1CF2-41F0-BEF8-CB5D4D392E2A}" scale="62" showPageBreaks="1" fitToPage="1" showAutoFilter="1" state="hidden" view="pageBreakPreview" topLeftCell="A10">
      <pane xSplit="1.6092715231788079" ySplit="9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7"/>
      <headerFooter>
        <oddHeader>&amp;C&amp;14&amp;P</oddHeader>
      </headerFooter>
      <autoFilter ref="A14:BJ772"/>
    </customSheetView>
    <customSheetView guid="{7A75CCE7-0E84-47E6-A162-5AC0354F2967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8"/>
      <headerFooter>
        <oddHeader>&amp;C&amp;14&amp;P</oddHeader>
      </headerFooter>
      <autoFilter ref="A14:BJ772"/>
    </customSheetView>
    <customSheetView guid="{A6187BD3-0BA4-497C-8924-4FA3D77530F0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9"/>
      <headerFooter>
        <oddHeader>&amp;C&amp;14&amp;P</oddHeader>
      </headerFooter>
      <autoFilter ref="A14:BJ772"/>
    </customSheetView>
    <customSheetView guid="{DC88C499-913F-4D15-846E-E5B9D5E047D7}" scale="62" showPageBreaks="1" fitToPage="1" showAutoFilter="1" state="hidden" view="pageBreakPreview" topLeftCell="A10">
      <pane xSplit="2" ySplit="10" topLeftCell="C818" activePane="bottomRight" state="frozen"/>
      <selection pane="bottomRight" activeCell="A10" sqref="A1:XFD1048576"/>
      <pageMargins left="0.19685039370078741" right="0.19685039370078741" top="0.98425196850393704" bottom="0.39370078740157483" header="0.78740157480314965" footer="0"/>
      <printOptions horizontalCentered="1"/>
      <pageSetup paperSize="9" scale="22" firstPageNumber="2" fitToHeight="0" orientation="landscape" useFirstPageNumber="1" r:id="rId10"/>
      <headerFooter>
        <oddHeader>&amp;C&amp;14&amp;P</oddHeader>
      </headerFooter>
      <autoFilter ref="A14:BJ772"/>
    </customSheetView>
  </customSheetViews>
  <mergeCells count="352">
    <mergeCell ref="B341:G341"/>
    <mergeCell ref="B1377:G1377"/>
    <mergeCell ref="B1579:G1579"/>
    <mergeCell ref="B1580:G1580"/>
    <mergeCell ref="A1564:S1564"/>
    <mergeCell ref="B1565:G1565"/>
    <mergeCell ref="B1566:G1566"/>
    <mergeCell ref="B1567:G1567"/>
    <mergeCell ref="A1573:S1573"/>
    <mergeCell ref="B1574:G1574"/>
    <mergeCell ref="B1575:G1575"/>
    <mergeCell ref="B1576:G1576"/>
    <mergeCell ref="B1578:G1578"/>
    <mergeCell ref="B1536:G1536"/>
    <mergeCell ref="B1538:G1538"/>
    <mergeCell ref="B1541:G1541"/>
    <mergeCell ref="B1545:G1545"/>
    <mergeCell ref="B1557:G1557"/>
    <mergeCell ref="B1558:G1558"/>
    <mergeCell ref="B1560:G1560"/>
    <mergeCell ref="A1562:S1562"/>
    <mergeCell ref="B1563:G1563"/>
    <mergeCell ref="B1511:G1511"/>
    <mergeCell ref="B1519:G1519"/>
    <mergeCell ref="B1520:G1520"/>
    <mergeCell ref="B1522:G1522"/>
    <mergeCell ref="B1523:G1523"/>
    <mergeCell ref="B1527:G1527"/>
    <mergeCell ref="B1528:G1528"/>
    <mergeCell ref="B1533:G1533"/>
    <mergeCell ref="B1534:G1534"/>
    <mergeCell ref="B1516:G1516"/>
    <mergeCell ref="B1517:G1517"/>
    <mergeCell ref="B1525:G1525"/>
    <mergeCell ref="B1487:G1487"/>
    <mergeCell ref="B1488:G1488"/>
    <mergeCell ref="B1490:G1490"/>
    <mergeCell ref="B1491:G1491"/>
    <mergeCell ref="B1501:G1501"/>
    <mergeCell ref="B1502:G1502"/>
    <mergeCell ref="B1507:G1507"/>
    <mergeCell ref="B1508:G1508"/>
    <mergeCell ref="B1510:G1510"/>
    <mergeCell ref="B1461:G1461"/>
    <mergeCell ref="B1466:G1466"/>
    <mergeCell ref="B1467:G1467"/>
    <mergeCell ref="B1471:G1471"/>
    <mergeCell ref="B1472:G1472"/>
    <mergeCell ref="B1476:G1476"/>
    <mergeCell ref="B1477:G1477"/>
    <mergeCell ref="B1483:G1483"/>
    <mergeCell ref="B1485:G1485"/>
    <mergeCell ref="B1430:G1430"/>
    <mergeCell ref="B1432:G1432"/>
    <mergeCell ref="B1434:G1434"/>
    <mergeCell ref="B1435:G1435"/>
    <mergeCell ref="B1447:G1447"/>
    <mergeCell ref="B1449:G1449"/>
    <mergeCell ref="B1451:G1451"/>
    <mergeCell ref="B1458:G1458"/>
    <mergeCell ref="B1459:G1459"/>
    <mergeCell ref="B1395:G1395"/>
    <mergeCell ref="B1398:G1398"/>
    <mergeCell ref="B1400:G1400"/>
    <mergeCell ref="B1403:G1403"/>
    <mergeCell ref="B1404:G1404"/>
    <mergeCell ref="B1414:G1414"/>
    <mergeCell ref="B1415:G1415"/>
    <mergeCell ref="B1426:G1426"/>
    <mergeCell ref="B1427:G1427"/>
    <mergeCell ref="B1423:G1423"/>
    <mergeCell ref="B1379:G1379"/>
    <mergeCell ref="B1380:G1380"/>
    <mergeCell ref="B1383:G1383"/>
    <mergeCell ref="B1384:G1384"/>
    <mergeCell ref="B1386:G1386"/>
    <mergeCell ref="B1387:G1387"/>
    <mergeCell ref="B1389:G1389"/>
    <mergeCell ref="B1391:G1391"/>
    <mergeCell ref="B1392:G1392"/>
    <mergeCell ref="B1357:G1357"/>
    <mergeCell ref="B1360:G1360"/>
    <mergeCell ref="B1361:G1361"/>
    <mergeCell ref="B1364:G1364"/>
    <mergeCell ref="B1365:G1365"/>
    <mergeCell ref="B1369:G1369"/>
    <mergeCell ref="B1372:G1372"/>
    <mergeCell ref="B1373:G1373"/>
    <mergeCell ref="B1375:G1375"/>
    <mergeCell ref="B1367:G1367"/>
    <mergeCell ref="B1308:G1308"/>
    <mergeCell ref="B1322:G1322"/>
    <mergeCell ref="B1323:G1323"/>
    <mergeCell ref="B1331:G1331"/>
    <mergeCell ref="B1332:G1332"/>
    <mergeCell ref="B1338:G1338"/>
    <mergeCell ref="B1339:G1339"/>
    <mergeCell ref="B1341:G1341"/>
    <mergeCell ref="B1342:G1342"/>
    <mergeCell ref="B1320:G1320"/>
    <mergeCell ref="A1083:S1083"/>
    <mergeCell ref="A1084:S1084"/>
    <mergeCell ref="B1085:G1085"/>
    <mergeCell ref="B1086:G1086"/>
    <mergeCell ref="B1255:G1255"/>
    <mergeCell ref="B1267:G1267"/>
    <mergeCell ref="B1269:G1269"/>
    <mergeCell ref="B1295:G1295"/>
    <mergeCell ref="B1068:G1068"/>
    <mergeCell ref="B1069:G1069"/>
    <mergeCell ref="A1075:S1075"/>
    <mergeCell ref="B1076:G1076"/>
    <mergeCell ref="B1077:G1077"/>
    <mergeCell ref="B1078:G1078"/>
    <mergeCell ref="B1080:G1080"/>
    <mergeCell ref="B1081:G1081"/>
    <mergeCell ref="B1082:G1082"/>
    <mergeCell ref="B1017:G1017"/>
    <mergeCell ref="B1025:G1025"/>
    <mergeCell ref="B1021:G1021"/>
    <mergeCell ref="B1022:G1022"/>
    <mergeCell ref="B1065:G1065"/>
    <mergeCell ref="A1066:S1066"/>
    <mergeCell ref="B1067:G1067"/>
    <mergeCell ref="B1026:G1026"/>
    <mergeCell ref="B1028:G1028"/>
    <mergeCell ref="B1029:G1029"/>
    <mergeCell ref="B1032:G1032"/>
    <mergeCell ref="B1033:G1033"/>
    <mergeCell ref="B1038:G1038"/>
    <mergeCell ref="B1039:G1039"/>
    <mergeCell ref="B1041:G1041"/>
    <mergeCell ref="B1043:G1043"/>
    <mergeCell ref="B1044:G1044"/>
    <mergeCell ref="B1048:G1048"/>
    <mergeCell ref="B1060:G1060"/>
    <mergeCell ref="B1061:G1061"/>
    <mergeCell ref="B1063:G1063"/>
    <mergeCell ref="A1064:S1064"/>
    <mergeCell ref="B992:G992"/>
    <mergeCell ref="B993:G993"/>
    <mergeCell ref="B996:G996"/>
    <mergeCell ref="B997:G997"/>
    <mergeCell ref="B1007:G1007"/>
    <mergeCell ref="B1008:G1008"/>
    <mergeCell ref="B1013:G1013"/>
    <mergeCell ref="B1014:G1014"/>
    <mergeCell ref="B1016:G1016"/>
    <mergeCell ref="B968:G968"/>
    <mergeCell ref="B956:G956"/>
    <mergeCell ref="B969:G969"/>
    <mergeCell ref="B973:G973"/>
    <mergeCell ref="B974:G974"/>
    <mergeCell ref="B978:G978"/>
    <mergeCell ref="B979:G979"/>
    <mergeCell ref="B986:G986"/>
    <mergeCell ref="B990:G990"/>
    <mergeCell ref="B935:G935"/>
    <mergeCell ref="B937:G937"/>
    <mergeCell ref="B938:G938"/>
    <mergeCell ref="B945:G945"/>
    <mergeCell ref="B947:G947"/>
    <mergeCell ref="B949:G949"/>
    <mergeCell ref="B958:G958"/>
    <mergeCell ref="B961:G961"/>
    <mergeCell ref="B963:G963"/>
    <mergeCell ref="B905:G905"/>
    <mergeCell ref="B908:G908"/>
    <mergeCell ref="B909:G909"/>
    <mergeCell ref="B916:G916"/>
    <mergeCell ref="B917:G917"/>
    <mergeCell ref="B929:G929"/>
    <mergeCell ref="B930:G930"/>
    <mergeCell ref="B926:G926"/>
    <mergeCell ref="B933:G933"/>
    <mergeCell ref="B886:G886"/>
    <mergeCell ref="B887:G887"/>
    <mergeCell ref="B889:G889"/>
    <mergeCell ref="B890:G890"/>
    <mergeCell ref="B894:G894"/>
    <mergeCell ref="B896:G896"/>
    <mergeCell ref="B897:G897"/>
    <mergeCell ref="B900:G900"/>
    <mergeCell ref="B903:G903"/>
    <mergeCell ref="B864:G864"/>
    <mergeCell ref="B867:G867"/>
    <mergeCell ref="B868:G868"/>
    <mergeCell ref="B874:G874"/>
    <mergeCell ref="B876:G876"/>
    <mergeCell ref="B878:G878"/>
    <mergeCell ref="B880:G880"/>
    <mergeCell ref="B882:G882"/>
    <mergeCell ref="B883:G883"/>
    <mergeCell ref="B872:G872"/>
    <mergeCell ref="B545:G545"/>
    <mergeCell ref="B476:G476"/>
    <mergeCell ref="B583:G583"/>
    <mergeCell ref="B584:G584"/>
    <mergeCell ref="B753:G753"/>
    <mergeCell ref="B767:G767"/>
    <mergeCell ref="B770:G770"/>
    <mergeCell ref="A581:S581"/>
    <mergeCell ref="B863:G863"/>
    <mergeCell ref="B842:G842"/>
    <mergeCell ref="B844:G844"/>
    <mergeCell ref="B822:G822"/>
    <mergeCell ref="B845:G845"/>
    <mergeCell ref="B860:G860"/>
    <mergeCell ref="B796:G796"/>
    <mergeCell ref="B809:G809"/>
    <mergeCell ref="B825:G825"/>
    <mergeCell ref="B826:G826"/>
    <mergeCell ref="B834:G834"/>
    <mergeCell ref="B835:G835"/>
    <mergeCell ref="B841:G841"/>
    <mergeCell ref="B486:G486"/>
    <mergeCell ref="A582:S582"/>
    <mergeCell ref="B534:G534"/>
    <mergeCell ref="B344:G344"/>
    <mergeCell ref="B347:G347"/>
    <mergeCell ref="B349:G349"/>
    <mergeCell ref="B353:G353"/>
    <mergeCell ref="B352:G352"/>
    <mergeCell ref="B412:G412"/>
    <mergeCell ref="B537:G537"/>
    <mergeCell ref="B499:G499"/>
    <mergeCell ref="B503:G503"/>
    <mergeCell ref="B469:G469"/>
    <mergeCell ref="B364:G364"/>
    <mergeCell ref="B405:G405"/>
    <mergeCell ref="B382:G382"/>
    <mergeCell ref="B384:G384"/>
    <mergeCell ref="B446:G446"/>
    <mergeCell ref="B373:G373"/>
    <mergeCell ref="B536:G536"/>
    <mergeCell ref="B521:G521"/>
    <mergeCell ref="B523:G523"/>
    <mergeCell ref="B516:G516"/>
    <mergeCell ref="B518:G518"/>
    <mergeCell ref="B429:G429"/>
    <mergeCell ref="B443:G443"/>
    <mergeCell ref="B380:G380"/>
    <mergeCell ref="O2:S2"/>
    <mergeCell ref="C12:C14"/>
    <mergeCell ref="A531:S531"/>
    <mergeCell ref="B532:G532"/>
    <mergeCell ref="B533:G533"/>
    <mergeCell ref="O3:S3"/>
    <mergeCell ref="B300:G300"/>
    <mergeCell ref="B261:G261"/>
    <mergeCell ref="B269:G269"/>
    <mergeCell ref="B270:G270"/>
    <mergeCell ref="B281:G281"/>
    <mergeCell ref="B282:G282"/>
    <mergeCell ref="B284:G284"/>
    <mergeCell ref="B285:G285"/>
    <mergeCell ref="A520:S520"/>
    <mergeCell ref="B244:G244"/>
    <mergeCell ref="B16:G16"/>
    <mergeCell ref="B19:G19"/>
    <mergeCell ref="B207:G207"/>
    <mergeCell ref="B231:G231"/>
    <mergeCell ref="B260:G260"/>
    <mergeCell ref="B303:G303"/>
    <mergeCell ref="B336:G336"/>
    <mergeCell ref="B304:G304"/>
    <mergeCell ref="L12:L13"/>
    <mergeCell ref="K11:K13"/>
    <mergeCell ref="A17:S17"/>
    <mergeCell ref="B188:G188"/>
    <mergeCell ref="O1:S1"/>
    <mergeCell ref="O4:S4"/>
    <mergeCell ref="O5:S5"/>
    <mergeCell ref="J12:J13"/>
    <mergeCell ref="E11:E14"/>
    <mergeCell ref="F11:F14"/>
    <mergeCell ref="L11:P11"/>
    <mergeCell ref="M12:P12"/>
    <mergeCell ref="Q11:Q13"/>
    <mergeCell ref="S11:S14"/>
    <mergeCell ref="A6:S6"/>
    <mergeCell ref="R11:R13"/>
    <mergeCell ref="A7:S7"/>
    <mergeCell ref="H11:H13"/>
    <mergeCell ref="A8:S8"/>
    <mergeCell ref="A11:A14"/>
    <mergeCell ref="A9:S9"/>
    <mergeCell ref="I12:I13"/>
    <mergeCell ref="B18:G18"/>
    <mergeCell ref="A10:S10"/>
    <mergeCell ref="G11:G14"/>
    <mergeCell ref="C11:D11"/>
    <mergeCell ref="D12:D14"/>
    <mergeCell ref="I11:J11"/>
    <mergeCell ref="B11:B14"/>
    <mergeCell ref="B339:G339"/>
    <mergeCell ref="B338:G338"/>
    <mergeCell ref="B312:G312"/>
    <mergeCell ref="B314:G314"/>
    <mergeCell ref="B316:G316"/>
    <mergeCell ref="B317:G317"/>
    <mergeCell ref="B321:G321"/>
    <mergeCell ref="B320:G320"/>
    <mergeCell ref="B325:G325"/>
    <mergeCell ref="B324:G324"/>
    <mergeCell ref="B205:G205"/>
    <mergeCell ref="B308:G308"/>
    <mergeCell ref="B307:G307"/>
    <mergeCell ref="B310:G310"/>
    <mergeCell ref="B318:G318"/>
    <mergeCell ref="B257:G257"/>
    <mergeCell ref="B332:G332"/>
    <mergeCell ref="B331:G331"/>
    <mergeCell ref="B524:G524"/>
    <mergeCell ref="B525:G525"/>
    <mergeCell ref="A522:S522"/>
    <mergeCell ref="B425:G425"/>
    <mergeCell ref="B430:G430"/>
    <mergeCell ref="B435:G435"/>
    <mergeCell ref="B434:G434"/>
    <mergeCell ref="B441:G441"/>
    <mergeCell ref="B445:G445"/>
    <mergeCell ref="B449:G449"/>
    <mergeCell ref="B470:G470"/>
    <mergeCell ref="B477:G477"/>
    <mergeCell ref="B515:G515"/>
    <mergeCell ref="B480:G480"/>
    <mergeCell ref="B479:G479"/>
    <mergeCell ref="B485:G485"/>
    <mergeCell ref="B492:G492"/>
    <mergeCell ref="B491:G491"/>
    <mergeCell ref="B494:G494"/>
    <mergeCell ref="B450:G450"/>
    <mergeCell ref="B460:G460"/>
    <mergeCell ref="B461:G461"/>
    <mergeCell ref="B466:G466"/>
    <mergeCell ref="B467:G467"/>
    <mergeCell ref="B363:G363"/>
    <mergeCell ref="B397:G397"/>
    <mergeCell ref="B496:G496"/>
    <mergeCell ref="B377:G377"/>
    <mergeCell ref="B376:G376"/>
    <mergeCell ref="B403:G403"/>
    <mergeCell ref="B474:G474"/>
    <mergeCell ref="B473:G473"/>
    <mergeCell ref="B483:G483"/>
    <mergeCell ref="B415:G415"/>
    <mergeCell ref="B417:G417"/>
    <mergeCell ref="B401:G401"/>
    <mergeCell ref="B419:G419"/>
    <mergeCell ref="B385:G385"/>
    <mergeCell ref="B424:G424"/>
  </mergeCells>
  <printOptions horizontalCentered="1"/>
  <pageMargins left="0.19685039370078741" right="0.19685039370078741" top="0.98425196850393704" bottom="0.39370078740157483" header="0.78740157480314965" footer="0"/>
  <pageSetup paperSize="9" scale="28" firstPageNumber="2" fitToHeight="0" orientation="landscape" useFirstPageNumber="1" r:id="rId11"/>
  <headerFooter>
    <oddHeader>&amp;C&amp;14&amp;P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537"/>
  <sheetViews>
    <sheetView view="pageBreakPreview" zoomScale="68" zoomScaleSheetLayoutView="68" workbookViewId="0">
      <pane xSplit="2" ySplit="6" topLeftCell="C514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8.85546875" defaultRowHeight="15"/>
  <cols>
    <col min="1" max="1" width="4.85546875" style="10" customWidth="1"/>
    <col min="2" max="2" width="30.7109375" style="1" customWidth="1"/>
    <col min="3" max="3" width="14.7109375" style="1" customWidth="1"/>
    <col min="4" max="4" width="13.5703125" style="1" customWidth="1"/>
    <col min="5" max="5" width="13.7109375" style="1" customWidth="1"/>
    <col min="6" max="6" width="14.7109375" style="1" customWidth="1"/>
    <col min="7" max="7" width="11.7109375" style="1" customWidth="1"/>
    <col min="8" max="8" width="11.85546875" style="1" customWidth="1"/>
    <col min="9" max="9" width="12.7109375" style="1" customWidth="1"/>
    <col min="10" max="10" width="12.140625" style="1" customWidth="1"/>
    <col min="11" max="11" width="14.42578125" style="20" customWidth="1"/>
    <col min="12" max="12" width="11.42578125" style="1" customWidth="1"/>
    <col min="13" max="13" width="16.140625" style="1" customWidth="1"/>
    <col min="14" max="14" width="11.5703125" style="1" customWidth="1"/>
    <col min="15" max="15" width="14.85546875" style="20" customWidth="1"/>
    <col min="16" max="16" width="8.28515625" style="1" customWidth="1"/>
    <col min="17" max="17" width="12.85546875" style="20" customWidth="1"/>
    <col min="18" max="18" width="11.5703125" style="1" customWidth="1"/>
    <col min="19" max="19" width="12.7109375" style="1" customWidth="1"/>
    <col min="20" max="20" width="7.5703125" style="1" customWidth="1"/>
    <col min="21" max="21" width="10.28515625" style="1" customWidth="1"/>
    <col min="22" max="22" width="13.140625" style="242" hidden="1" customWidth="1"/>
    <col min="23" max="24" width="12.28515625" style="242" customWidth="1"/>
    <col min="25" max="26" width="12.5703125" style="1" customWidth="1"/>
    <col min="27" max="28" width="11.140625" style="1" customWidth="1"/>
    <col min="29" max="30" width="11.28515625" style="1" customWidth="1"/>
    <col min="31" max="32" width="14" style="1" customWidth="1"/>
    <col min="33" max="35" width="10.7109375" style="1" customWidth="1"/>
    <col min="36" max="16384" width="8.85546875" style="1"/>
  </cols>
  <sheetData>
    <row r="1" spans="1:35" ht="15.75">
      <c r="A1" s="1153" t="s">
        <v>39</v>
      </c>
      <c r="B1" s="1153"/>
      <c r="C1" s="1153"/>
      <c r="D1" s="1153"/>
      <c r="E1" s="1153"/>
      <c r="F1" s="1153"/>
      <c r="G1" s="1153"/>
      <c r="H1" s="1153"/>
      <c r="I1" s="1153"/>
      <c r="J1" s="1153"/>
      <c r="K1" s="1153"/>
      <c r="L1" s="1153"/>
      <c r="M1" s="1153"/>
      <c r="N1" s="1153"/>
      <c r="O1" s="1153"/>
      <c r="P1" s="1153"/>
      <c r="Q1" s="1153"/>
      <c r="R1" s="1153"/>
      <c r="S1" s="1153"/>
      <c r="T1" s="1153"/>
      <c r="U1" s="1153"/>
      <c r="V1" s="238"/>
      <c r="W1" s="238"/>
      <c r="X1" s="238"/>
    </row>
    <row r="2" spans="1:35" ht="17.45" customHeight="1">
      <c r="A2" s="1154" t="s">
        <v>0</v>
      </c>
      <c r="B2" s="1154" t="s">
        <v>22</v>
      </c>
      <c r="C2" s="1154" t="s">
        <v>459</v>
      </c>
      <c r="D2" s="1155" t="s">
        <v>558</v>
      </c>
      <c r="E2" s="1156"/>
      <c r="F2" s="1156"/>
      <c r="G2" s="1156"/>
      <c r="H2" s="1156"/>
      <c r="I2" s="1156"/>
      <c r="J2" s="1156"/>
      <c r="K2" s="1156"/>
      <c r="L2" s="1156"/>
      <c r="M2" s="1156"/>
      <c r="N2" s="1156"/>
      <c r="O2" s="1156"/>
      <c r="P2" s="1156"/>
      <c r="Q2" s="1156"/>
      <c r="R2" s="1156"/>
      <c r="S2" s="1156"/>
      <c r="T2" s="1156"/>
      <c r="U2" s="1157"/>
      <c r="V2" s="239"/>
      <c r="W2" s="239"/>
      <c r="X2" s="239"/>
    </row>
    <row r="3" spans="1:35">
      <c r="A3" s="1154"/>
      <c r="B3" s="1154"/>
      <c r="C3" s="1154"/>
      <c r="D3" s="1154" t="s">
        <v>559</v>
      </c>
      <c r="E3" s="1154"/>
      <c r="F3" s="1154"/>
      <c r="G3" s="1154"/>
      <c r="H3" s="1154"/>
      <c r="I3" s="1154"/>
      <c r="J3" s="1154"/>
      <c r="K3" s="1154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39"/>
      <c r="W3" s="239"/>
      <c r="X3" s="239"/>
    </row>
    <row r="4" spans="1:35" ht="102" customHeight="1">
      <c r="A4" s="1154"/>
      <c r="B4" s="1154"/>
      <c r="C4" s="1154"/>
      <c r="D4" s="388" t="s">
        <v>556</v>
      </c>
      <c r="E4" s="389" t="s">
        <v>549</v>
      </c>
      <c r="F4" s="389" t="s">
        <v>550</v>
      </c>
      <c r="G4" s="389" t="s">
        <v>551</v>
      </c>
      <c r="H4" s="389" t="s">
        <v>552</v>
      </c>
      <c r="I4" s="389" t="s">
        <v>553</v>
      </c>
      <c r="J4" s="389" t="s">
        <v>554</v>
      </c>
      <c r="K4" s="388" t="s">
        <v>555</v>
      </c>
      <c r="L4" s="1152" t="s">
        <v>215</v>
      </c>
      <c r="M4" s="1152"/>
      <c r="N4" s="1152" t="s">
        <v>216</v>
      </c>
      <c r="O4" s="1152"/>
      <c r="P4" s="1152" t="s">
        <v>217</v>
      </c>
      <c r="Q4" s="1152"/>
      <c r="R4" s="1152" t="s">
        <v>436</v>
      </c>
      <c r="S4" s="1152"/>
      <c r="T4" s="1152" t="s">
        <v>557</v>
      </c>
      <c r="U4" s="1152"/>
      <c r="V4" s="239"/>
      <c r="W4" s="239" t="s">
        <v>576</v>
      </c>
      <c r="X4" s="239" t="s">
        <v>591</v>
      </c>
      <c r="Y4" s="1" t="s">
        <v>69</v>
      </c>
      <c r="Z4" s="26" t="s">
        <v>605</v>
      </c>
      <c r="AA4" s="26" t="s">
        <v>606</v>
      </c>
      <c r="AB4" s="26" t="s">
        <v>467</v>
      </c>
      <c r="AC4" s="1" t="s">
        <v>468</v>
      </c>
      <c r="AD4" s="26" t="s">
        <v>607</v>
      </c>
      <c r="AE4" s="550" t="s">
        <v>720</v>
      </c>
      <c r="AF4" s="26"/>
      <c r="AH4" s="26"/>
    </row>
    <row r="5" spans="1:35">
      <c r="A5" s="1154"/>
      <c r="B5" s="1154"/>
      <c r="C5" s="156" t="s">
        <v>17</v>
      </c>
      <c r="D5" s="156"/>
      <c r="E5" s="156"/>
      <c r="F5" s="156"/>
      <c r="G5" s="156"/>
      <c r="H5" s="156"/>
      <c r="I5" s="156"/>
      <c r="J5" s="156"/>
      <c r="K5" s="157" t="s">
        <v>17</v>
      </c>
      <c r="L5" s="156" t="s">
        <v>23</v>
      </c>
      <c r="M5" s="156" t="s">
        <v>17</v>
      </c>
      <c r="N5" s="156" t="s">
        <v>21</v>
      </c>
      <c r="O5" s="157" t="s">
        <v>17</v>
      </c>
      <c r="P5" s="156" t="s">
        <v>21</v>
      </c>
      <c r="Q5" s="157" t="s">
        <v>17</v>
      </c>
      <c r="R5" s="156" t="s">
        <v>21</v>
      </c>
      <c r="S5" s="156" t="s">
        <v>17</v>
      </c>
      <c r="T5" s="156" t="s">
        <v>24</v>
      </c>
      <c r="U5" s="243" t="s">
        <v>17</v>
      </c>
      <c r="V5" s="239"/>
      <c r="W5" s="239"/>
      <c r="X5" s="239"/>
      <c r="AF5" s="24" t="s">
        <v>858</v>
      </c>
      <c r="AG5" s="1" t="s">
        <v>975</v>
      </c>
    </row>
    <row r="6" spans="1:35">
      <c r="A6" s="158">
        <v>1</v>
      </c>
      <c r="B6" s="158">
        <v>2</v>
      </c>
      <c r="C6" s="158">
        <v>3</v>
      </c>
      <c r="D6" s="158">
        <v>4</v>
      </c>
      <c r="E6" s="158">
        <v>5</v>
      </c>
      <c r="F6" s="158">
        <v>6</v>
      </c>
      <c r="G6" s="158">
        <v>7</v>
      </c>
      <c r="H6" s="158">
        <v>8</v>
      </c>
      <c r="I6" s="158">
        <v>9</v>
      </c>
      <c r="J6" s="158">
        <v>10</v>
      </c>
      <c r="K6" s="158">
        <v>11</v>
      </c>
      <c r="L6" s="158">
        <v>12</v>
      </c>
      <c r="M6" s="158">
        <v>13</v>
      </c>
      <c r="N6" s="158">
        <v>14</v>
      </c>
      <c r="O6" s="158">
        <v>15</v>
      </c>
      <c r="P6" s="158">
        <v>16</v>
      </c>
      <c r="Q6" s="158">
        <v>17</v>
      </c>
      <c r="R6" s="158">
        <v>18</v>
      </c>
      <c r="S6" s="158">
        <v>19</v>
      </c>
      <c r="T6" s="158">
        <v>20</v>
      </c>
      <c r="U6" s="244">
        <v>21</v>
      </c>
      <c r="V6" s="240"/>
      <c r="W6" s="240"/>
      <c r="X6" s="240"/>
    </row>
    <row r="7" spans="1:35">
      <c r="A7" s="159"/>
      <c r="B7" s="159" t="s">
        <v>42</v>
      </c>
      <c r="C7" s="160">
        <f>C8+C177+C194+C196+C222+C235+C251+C260+C272+C275+C294+C298+C311+C315+C322+C328+C342+C353+C366+C374+C419+C424+C429+C440+C444+C456+C501+C506+C509+C516+C519+C526+C532+C537+C544+C556</f>
        <v>688029148.84000003</v>
      </c>
      <c r="D7" s="160"/>
      <c r="E7" s="160"/>
      <c r="F7" s="160"/>
      <c r="G7" s="160"/>
      <c r="H7" s="160"/>
      <c r="I7" s="160"/>
      <c r="J7" s="160"/>
      <c r="K7" s="160" t="e">
        <f>K8+K177+K194+K196+K222+K235+K251+K260+K272+K275+K294+K298+K311+K315+K322+K328+K342+K353+K366+K374+K419+K424+K429+K440+K444+K456+K501+K506+K509+K516+K519+K526+K532+K537+K544+K556</f>
        <v>#REF!</v>
      </c>
      <c r="L7" s="161">
        <v>79</v>
      </c>
      <c r="M7" s="160">
        <f>M8+M177+M194+M196+M222+M235+M251+M260+M272+M275+M294+M298+M311+M315+M322+M328+M342+M353+M366+M374+M419+M424+M429+M440+M444+M456+M501+M506+M509+M516+M519+M526+M532+M537+M544+M556</f>
        <v>109722398</v>
      </c>
      <c r="N7" s="160">
        <f>N8+N177+N194+N196+N222+N235+N251+N260+N272+N275+N294+N298+N311+N315+N322+N328+N342+N353+N366+N374+N419+N424+N429+N440+N444+N456+N501+N506+N509+N516+N519+N526+N532+N537+N544+N556</f>
        <v>181088.71</v>
      </c>
      <c r="O7" s="160">
        <f>O8+O177+O194+O196+O222+O235+O251+O260+O272+O275+O294+O298+O311+O315+O322+O328+O342+O353+O366+O374+O419+O424+O429+O440+O444+O456+O501+O506+O509+O516+O519+O526+O532+O537+O544+O556</f>
        <v>407329726.71000004</v>
      </c>
      <c r="P7" s="160">
        <v>682</v>
      </c>
      <c r="Q7" s="160">
        <f>Q8+Q177+Q194+Q196+Q222+Q235+Q251+Q260+Q272+Q275+Q294+Q298+Q311+Q315+Q322+Q328+Q342+Q353+Q366+Q374+Q419+Q424+Q429+Q440+Q444+Q456+Q501+Q506+Q509+Q516+Q519+Q526+Q532+Q537+Q544+Q556</f>
        <v>662518</v>
      </c>
      <c r="R7" s="160">
        <v>41826.129999999997</v>
      </c>
      <c r="S7" s="160">
        <f>S8+S177+S194+S196+S222+S235+S251+S260+S272+S275+S294+S298+S311+S315+S322+S328+S342+S353+S366+S374+S419+S424+S429+S440+S444+S456+S501+S506+S509+S516+S519+S526+S532+S537+S544+S556</f>
        <v>57577828.790000007</v>
      </c>
      <c r="T7" s="222">
        <v>212</v>
      </c>
      <c r="U7" s="245">
        <f>U8+U177+U194+U196+U222+U235+U251+U260+U272+U275+U294+U298+U311+U315+U322+U328+U342+U353+U366+U374+U419+U424+U429+U440+U444+U456+U501+U506+U509+U516+U519+U526+U532+U537+U544+U556</f>
        <v>728274</v>
      </c>
      <c r="V7" s="241"/>
      <c r="W7" s="241"/>
      <c r="X7" s="241"/>
    </row>
    <row r="8" spans="1:35" ht="18.75" customHeight="1">
      <c r="A8" s="374"/>
      <c r="B8" s="375" t="s">
        <v>89</v>
      </c>
      <c r="C8" s="376">
        <f>SUM(C9:C176)</f>
        <v>336230870.63</v>
      </c>
      <c r="D8" s="376"/>
      <c r="E8" s="376"/>
      <c r="F8" s="376"/>
      <c r="G8" s="376"/>
      <c r="H8" s="376"/>
      <c r="I8" s="376"/>
      <c r="J8" s="376"/>
      <c r="K8" s="376" t="e">
        <f>SUM(K9:K176)</f>
        <v>#REF!</v>
      </c>
      <c r="L8" s="377">
        <v>45</v>
      </c>
      <c r="M8" s="376">
        <f t="shared" ref="M8:S8" si="0">SUM(M9:M176)</f>
        <v>84665172</v>
      </c>
      <c r="N8" s="376">
        <f t="shared" si="0"/>
        <v>64824.649999999994</v>
      </c>
      <c r="O8" s="376">
        <f t="shared" si="0"/>
        <v>127943364.07000001</v>
      </c>
      <c r="P8" s="376">
        <f t="shared" si="0"/>
        <v>682</v>
      </c>
      <c r="Q8" s="376">
        <f t="shared" si="0"/>
        <v>662518</v>
      </c>
      <c r="R8" s="376">
        <f t="shared" si="0"/>
        <v>29106.850000000002</v>
      </c>
      <c r="S8" s="376">
        <f t="shared" si="0"/>
        <v>38255949.950000003</v>
      </c>
      <c r="T8" s="377">
        <v>0</v>
      </c>
      <c r="U8" s="378">
        <v>0</v>
      </c>
      <c r="V8" s="380"/>
      <c r="W8" s="380"/>
      <c r="X8" s="380"/>
      <c r="Y8" s="381"/>
      <c r="Z8" s="381"/>
      <c r="AA8" s="381"/>
      <c r="AB8" s="381"/>
      <c r="AC8" s="381"/>
      <c r="AD8" s="381"/>
      <c r="AE8" s="381"/>
      <c r="AF8" s="381"/>
      <c r="AG8" s="381"/>
      <c r="AH8" s="381"/>
      <c r="AI8" s="381"/>
    </row>
    <row r="9" spans="1:35" customFormat="1">
      <c r="A9" s="166">
        <v>1</v>
      </c>
      <c r="B9" s="163" t="s">
        <v>324</v>
      </c>
      <c r="C9" s="164">
        <v>5982216</v>
      </c>
      <c r="D9" s="164"/>
      <c r="E9" s="164"/>
      <c r="F9" s="164"/>
      <c r="G9" s="164"/>
      <c r="H9" s="164"/>
      <c r="I9" s="164"/>
      <c r="J9" s="164"/>
      <c r="K9" s="164">
        <v>0</v>
      </c>
      <c r="L9" s="162">
        <v>0</v>
      </c>
      <c r="M9" s="164">
        <v>0</v>
      </c>
      <c r="N9" s="164">
        <v>0</v>
      </c>
      <c r="O9" s="164">
        <v>0</v>
      </c>
      <c r="P9" s="162">
        <v>0</v>
      </c>
      <c r="Q9" s="164">
        <v>0</v>
      </c>
      <c r="R9" s="167">
        <v>4158.84</v>
      </c>
      <c r="S9" s="164">
        <v>5982216</v>
      </c>
      <c r="T9" s="165">
        <v>0</v>
      </c>
      <c r="U9" s="246">
        <v>0</v>
      </c>
      <c r="V9" s="241">
        <f>C9-'часть 1'!L20</f>
        <v>0</v>
      </c>
      <c r="W9" s="241"/>
      <c r="X9" s="241"/>
      <c r="Y9" s="9"/>
      <c r="Z9" s="9"/>
      <c r="AA9" s="9"/>
      <c r="AB9" s="9"/>
      <c r="AC9" s="9"/>
      <c r="AD9" s="9"/>
      <c r="AE9" s="9"/>
      <c r="AF9" s="9"/>
      <c r="AG9" s="9"/>
      <c r="AH9" s="9"/>
      <c r="AI9" s="254"/>
    </row>
    <row r="10" spans="1:35" customFormat="1">
      <c r="A10" s="166">
        <v>2</v>
      </c>
      <c r="B10" s="163" t="s">
        <v>325</v>
      </c>
      <c r="C10" s="164">
        <v>9379653</v>
      </c>
      <c r="D10" s="164"/>
      <c r="E10" s="164"/>
      <c r="F10" s="164"/>
      <c r="G10" s="164"/>
      <c r="H10" s="164"/>
      <c r="I10" s="164"/>
      <c r="J10" s="164"/>
      <c r="K10" s="164">
        <v>0</v>
      </c>
      <c r="L10" s="162">
        <v>5</v>
      </c>
      <c r="M10" s="164">
        <v>9379653</v>
      </c>
      <c r="N10" s="164">
        <v>0</v>
      </c>
      <c r="O10" s="164">
        <v>0</v>
      </c>
      <c r="P10" s="162">
        <v>0</v>
      </c>
      <c r="Q10" s="164">
        <v>0</v>
      </c>
      <c r="R10" s="165">
        <v>0</v>
      </c>
      <c r="S10" s="164">
        <v>0</v>
      </c>
      <c r="T10" s="165">
        <v>0</v>
      </c>
      <c r="U10" s="246">
        <v>0</v>
      </c>
      <c r="V10" s="241">
        <f>C10-'часть 1'!L21</f>
        <v>0</v>
      </c>
      <c r="W10" s="241"/>
      <c r="X10" s="241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254"/>
    </row>
    <row r="11" spans="1:35" customFormat="1">
      <c r="A11" s="166">
        <v>3</v>
      </c>
      <c r="B11" s="163" t="s">
        <v>321</v>
      </c>
      <c r="C11" s="164">
        <v>3763756</v>
      </c>
      <c r="D11" s="164"/>
      <c r="E11" s="164"/>
      <c r="F11" s="164"/>
      <c r="G11" s="164"/>
      <c r="H11" s="164"/>
      <c r="I11" s="164"/>
      <c r="J11" s="164"/>
      <c r="K11" s="164">
        <v>0</v>
      </c>
      <c r="L11" s="162">
        <v>2</v>
      </c>
      <c r="M11" s="164">
        <v>3763756</v>
      </c>
      <c r="N11" s="164">
        <v>0</v>
      </c>
      <c r="O11" s="164">
        <v>0</v>
      </c>
      <c r="P11" s="162">
        <v>0</v>
      </c>
      <c r="Q11" s="164">
        <v>0</v>
      </c>
      <c r="R11" s="168">
        <v>0</v>
      </c>
      <c r="S11" s="164">
        <v>0</v>
      </c>
      <c r="T11" s="165">
        <v>0</v>
      </c>
      <c r="U11" s="246">
        <v>0</v>
      </c>
      <c r="V11" s="241">
        <f>C11-'часть 1'!L22</f>
        <v>0</v>
      </c>
      <c r="W11" s="241"/>
      <c r="X11" s="241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254"/>
    </row>
    <row r="12" spans="1:35" customFormat="1">
      <c r="A12" s="166">
        <v>4</v>
      </c>
      <c r="B12" s="163" t="s">
        <v>346</v>
      </c>
      <c r="C12" s="164">
        <v>1095812</v>
      </c>
      <c r="D12" s="164"/>
      <c r="E12" s="164"/>
      <c r="F12" s="164"/>
      <c r="G12" s="164"/>
      <c r="H12" s="164"/>
      <c r="I12" s="164"/>
      <c r="J12" s="164"/>
      <c r="K12" s="164">
        <v>1095812</v>
      </c>
      <c r="L12" s="162">
        <v>0</v>
      </c>
      <c r="M12" s="164">
        <v>0</v>
      </c>
      <c r="N12" s="164">
        <v>0</v>
      </c>
      <c r="O12" s="164">
        <v>0</v>
      </c>
      <c r="P12" s="162">
        <v>0</v>
      </c>
      <c r="Q12" s="164">
        <v>0</v>
      </c>
      <c r="R12" s="168">
        <v>0</v>
      </c>
      <c r="S12" s="164">
        <v>0</v>
      </c>
      <c r="T12" s="165">
        <v>0</v>
      </c>
      <c r="U12" s="246">
        <v>0</v>
      </c>
      <c r="V12" s="241">
        <f>C12-'часть 1'!L23</f>
        <v>0</v>
      </c>
      <c r="W12" s="241"/>
      <c r="X12" s="241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254"/>
    </row>
    <row r="13" spans="1:35" customFormat="1">
      <c r="A13" s="166">
        <v>5</v>
      </c>
      <c r="B13" s="163" t="s">
        <v>322</v>
      </c>
      <c r="C13" s="164">
        <v>5619141</v>
      </c>
      <c r="D13" s="164"/>
      <c r="E13" s="164"/>
      <c r="F13" s="164"/>
      <c r="G13" s="164"/>
      <c r="H13" s="164"/>
      <c r="I13" s="164"/>
      <c r="J13" s="164"/>
      <c r="K13" s="164">
        <v>0</v>
      </c>
      <c r="L13" s="162">
        <v>3</v>
      </c>
      <c r="M13" s="164">
        <v>5619141</v>
      </c>
      <c r="N13" s="164">
        <v>0</v>
      </c>
      <c r="O13" s="164">
        <v>0</v>
      </c>
      <c r="P13" s="162">
        <v>0</v>
      </c>
      <c r="Q13" s="164">
        <v>0</v>
      </c>
      <c r="R13" s="168">
        <v>0</v>
      </c>
      <c r="S13" s="164">
        <v>0</v>
      </c>
      <c r="T13" s="165">
        <v>0</v>
      </c>
      <c r="U13" s="246">
        <v>0</v>
      </c>
      <c r="V13" s="241">
        <f>C13-'часть 1'!L24</f>
        <v>0</v>
      </c>
      <c r="W13" s="241"/>
      <c r="X13" s="241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254"/>
    </row>
    <row r="14" spans="1:35" customFormat="1">
      <c r="A14" s="166">
        <v>6</v>
      </c>
      <c r="B14" s="163" t="s">
        <v>320</v>
      </c>
      <c r="C14" s="164">
        <v>3748388</v>
      </c>
      <c r="D14" s="164"/>
      <c r="E14" s="164"/>
      <c r="F14" s="164"/>
      <c r="G14" s="164"/>
      <c r="H14" s="164"/>
      <c r="I14" s="164"/>
      <c r="J14" s="164"/>
      <c r="K14" s="164">
        <v>0</v>
      </c>
      <c r="L14" s="162">
        <v>2</v>
      </c>
      <c r="M14" s="164">
        <v>3748388</v>
      </c>
      <c r="N14" s="164">
        <v>0</v>
      </c>
      <c r="O14" s="164">
        <v>0</v>
      </c>
      <c r="P14" s="162">
        <v>0</v>
      </c>
      <c r="Q14" s="164">
        <v>0</v>
      </c>
      <c r="R14" s="165">
        <v>0</v>
      </c>
      <c r="S14" s="164">
        <v>0</v>
      </c>
      <c r="T14" s="165">
        <v>0</v>
      </c>
      <c r="U14" s="246">
        <v>0</v>
      </c>
      <c r="V14" s="241">
        <f>C14-'часть 1'!L25</f>
        <v>0</v>
      </c>
      <c r="W14" s="241"/>
      <c r="X14" s="241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254"/>
    </row>
    <row r="15" spans="1:35" customFormat="1">
      <c r="A15" s="166">
        <v>7</v>
      </c>
      <c r="B15" s="163" t="s">
        <v>327</v>
      </c>
      <c r="C15" s="164">
        <v>15157748</v>
      </c>
      <c r="D15" s="164"/>
      <c r="E15" s="164"/>
      <c r="F15" s="164"/>
      <c r="G15" s="164"/>
      <c r="H15" s="164"/>
      <c r="I15" s="164"/>
      <c r="J15" s="164"/>
      <c r="K15" s="164">
        <v>0</v>
      </c>
      <c r="L15" s="162">
        <v>8</v>
      </c>
      <c r="M15" s="164">
        <f>C15</f>
        <v>15157748</v>
      </c>
      <c r="N15" s="164">
        <v>0</v>
      </c>
      <c r="O15" s="164">
        <v>0</v>
      </c>
      <c r="P15" s="162">
        <v>0</v>
      </c>
      <c r="Q15" s="164">
        <v>0</v>
      </c>
      <c r="R15" s="165">
        <v>0</v>
      </c>
      <c r="S15" s="164">
        <v>0</v>
      </c>
      <c r="T15" s="165">
        <v>0</v>
      </c>
      <c r="U15" s="246">
        <v>0</v>
      </c>
      <c r="V15" s="241">
        <f>C15-'часть 1'!L26</f>
        <v>0</v>
      </c>
      <c r="W15" s="241"/>
      <c r="X15" s="241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254"/>
    </row>
    <row r="16" spans="1:35" customFormat="1">
      <c r="A16" s="166">
        <v>8</v>
      </c>
      <c r="B16" s="163" t="s">
        <v>323</v>
      </c>
      <c r="C16" s="164">
        <v>1030213</v>
      </c>
      <c r="D16" s="164"/>
      <c r="E16" s="164"/>
      <c r="F16" s="164"/>
      <c r="G16" s="164"/>
      <c r="H16" s="164"/>
      <c r="I16" s="164"/>
      <c r="J16" s="164"/>
      <c r="K16" s="164">
        <v>0</v>
      </c>
      <c r="L16" s="162">
        <v>0</v>
      </c>
      <c r="M16" s="164">
        <v>0</v>
      </c>
      <c r="N16" s="164">
        <v>513.79999999999995</v>
      </c>
      <c r="O16" s="167">
        <f>C16</f>
        <v>1030213</v>
      </c>
      <c r="P16" s="162">
        <v>0</v>
      </c>
      <c r="Q16" s="164">
        <v>0</v>
      </c>
      <c r="R16" s="168">
        <v>0</v>
      </c>
      <c r="S16" s="164">
        <v>0</v>
      </c>
      <c r="T16" s="165">
        <v>0</v>
      </c>
      <c r="U16" s="246">
        <v>0</v>
      </c>
      <c r="V16" s="241">
        <f>C16-'часть 1'!L27</f>
        <v>0</v>
      </c>
      <c r="W16" s="241"/>
      <c r="X16" s="241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254"/>
    </row>
    <row r="17" spans="1:35" customFormat="1">
      <c r="A17" s="166">
        <v>9</v>
      </c>
      <c r="B17" s="163" t="s">
        <v>319</v>
      </c>
      <c r="C17" s="164">
        <v>530465</v>
      </c>
      <c r="D17" s="164"/>
      <c r="E17" s="164"/>
      <c r="F17" s="164"/>
      <c r="G17" s="164"/>
      <c r="H17" s="164"/>
      <c r="I17" s="164"/>
      <c r="J17" s="164"/>
      <c r="K17" s="164" t="e">
        <f>#REF!</f>
        <v>#REF!</v>
      </c>
      <c r="L17" s="162">
        <v>0</v>
      </c>
      <c r="M17" s="164">
        <v>0</v>
      </c>
      <c r="N17" s="167">
        <v>0</v>
      </c>
      <c r="O17" s="164">
        <v>0</v>
      </c>
      <c r="P17" s="162">
        <v>0</v>
      </c>
      <c r="Q17" s="164">
        <v>0</v>
      </c>
      <c r="R17" s="168">
        <v>0</v>
      </c>
      <c r="S17" s="164">
        <v>0</v>
      </c>
      <c r="T17" s="165">
        <v>0</v>
      </c>
      <c r="U17" s="246">
        <v>0</v>
      </c>
      <c r="V17" s="241">
        <f>C17-'часть 1'!L28</f>
        <v>0</v>
      </c>
      <c r="W17" s="241"/>
      <c r="X17" s="241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254"/>
    </row>
    <row r="18" spans="1:35" customFormat="1">
      <c r="A18" s="166">
        <v>10</v>
      </c>
      <c r="B18" s="163" t="s">
        <v>326</v>
      </c>
      <c r="C18" s="164">
        <v>1983854</v>
      </c>
      <c r="D18" s="164"/>
      <c r="E18" s="164"/>
      <c r="F18" s="164"/>
      <c r="G18" s="164"/>
      <c r="H18" s="164"/>
      <c r="I18" s="164"/>
      <c r="J18" s="164"/>
      <c r="K18" s="164">
        <v>0</v>
      </c>
      <c r="L18" s="162">
        <v>0</v>
      </c>
      <c r="M18" s="164">
        <v>0</v>
      </c>
      <c r="N18" s="164">
        <v>1000</v>
      </c>
      <c r="O18" s="164">
        <v>1983854</v>
      </c>
      <c r="P18" s="162">
        <v>0</v>
      </c>
      <c r="Q18" s="164">
        <v>0</v>
      </c>
      <c r="R18" s="165">
        <v>0</v>
      </c>
      <c r="S18" s="164">
        <v>0</v>
      </c>
      <c r="T18" s="165">
        <v>0</v>
      </c>
      <c r="U18" s="246">
        <v>0</v>
      </c>
      <c r="V18" s="241">
        <f>C18-'часть 1'!L29</f>
        <v>0</v>
      </c>
      <c r="W18" s="241"/>
      <c r="X18" s="241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254"/>
    </row>
    <row r="19" spans="1:35" customFormat="1">
      <c r="A19" s="166">
        <v>11</v>
      </c>
      <c r="B19" s="163" t="s">
        <v>388</v>
      </c>
      <c r="C19" s="164">
        <v>1206304</v>
      </c>
      <c r="D19" s="164"/>
      <c r="E19" s="164"/>
      <c r="F19" s="164"/>
      <c r="G19" s="164"/>
      <c r="H19" s="164"/>
      <c r="I19" s="164"/>
      <c r="J19" s="164"/>
      <c r="K19" s="164">
        <v>0</v>
      </c>
      <c r="L19" s="162">
        <v>0</v>
      </c>
      <c r="M19" s="164">
        <v>0</v>
      </c>
      <c r="N19" s="164">
        <v>576</v>
      </c>
      <c r="O19" s="164">
        <v>1206304</v>
      </c>
      <c r="P19" s="162">
        <v>0</v>
      </c>
      <c r="Q19" s="164">
        <v>0</v>
      </c>
      <c r="R19" s="165">
        <v>0</v>
      </c>
      <c r="S19" s="164">
        <v>0</v>
      </c>
      <c r="T19" s="165">
        <v>0</v>
      </c>
      <c r="U19" s="246">
        <v>0</v>
      </c>
      <c r="V19" s="241">
        <f>C19-'часть 1'!L30</f>
        <v>0</v>
      </c>
      <c r="W19" s="241"/>
      <c r="X19" s="241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254"/>
    </row>
    <row r="20" spans="1:35" customFormat="1" ht="30">
      <c r="A20" s="166">
        <v>12</v>
      </c>
      <c r="B20" s="163" t="s">
        <v>419</v>
      </c>
      <c r="C20" s="164">
        <v>402530.2</v>
      </c>
      <c r="D20" s="164"/>
      <c r="E20" s="164"/>
      <c r="F20" s="164"/>
      <c r="G20" s="164"/>
      <c r="H20" s="164"/>
      <c r="I20" s="164"/>
      <c r="J20" s="164"/>
      <c r="K20" s="164">
        <v>402530.2</v>
      </c>
      <c r="L20" s="162">
        <v>0</v>
      </c>
      <c r="M20" s="164">
        <v>0</v>
      </c>
      <c r="N20" s="164">
        <v>0</v>
      </c>
      <c r="O20" s="164">
        <v>0</v>
      </c>
      <c r="P20" s="162">
        <v>0</v>
      </c>
      <c r="Q20" s="164">
        <v>0</v>
      </c>
      <c r="R20" s="165">
        <v>0</v>
      </c>
      <c r="S20" s="164">
        <v>0</v>
      </c>
      <c r="T20" s="165">
        <v>0</v>
      </c>
      <c r="U20" s="246">
        <v>0</v>
      </c>
      <c r="V20" s="241">
        <f>C20-'часть 1'!L31</f>
        <v>0</v>
      </c>
      <c r="W20" s="241"/>
      <c r="X20" s="241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254"/>
    </row>
    <row r="21" spans="1:35" customFormat="1">
      <c r="A21" s="166">
        <v>13</v>
      </c>
      <c r="B21" s="163" t="s">
        <v>387</v>
      </c>
      <c r="C21" s="164">
        <v>2861497</v>
      </c>
      <c r="D21" s="164"/>
      <c r="E21" s="164"/>
      <c r="F21" s="164"/>
      <c r="G21" s="164"/>
      <c r="H21" s="164"/>
      <c r="I21" s="164"/>
      <c r="J21" s="164"/>
      <c r="K21" s="164">
        <v>0</v>
      </c>
      <c r="L21" s="162">
        <v>0</v>
      </c>
      <c r="M21" s="164">
        <v>0</v>
      </c>
      <c r="N21" s="164">
        <v>1450</v>
      </c>
      <c r="O21" s="164">
        <v>2861497</v>
      </c>
      <c r="P21" s="162">
        <v>0</v>
      </c>
      <c r="Q21" s="164">
        <v>0</v>
      </c>
      <c r="R21" s="165">
        <v>0</v>
      </c>
      <c r="S21" s="164">
        <v>0</v>
      </c>
      <c r="T21" s="165">
        <v>0</v>
      </c>
      <c r="U21" s="246">
        <v>0</v>
      </c>
      <c r="V21" s="241">
        <f>C21-'часть 1'!L32</f>
        <v>0</v>
      </c>
      <c r="W21" s="241"/>
      <c r="X21" s="241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254"/>
    </row>
    <row r="22" spans="1:35" customFormat="1">
      <c r="A22" s="166">
        <v>14</v>
      </c>
      <c r="B22" s="163" t="s">
        <v>334</v>
      </c>
      <c r="C22" s="164">
        <v>1535065.47</v>
      </c>
      <c r="D22" s="164"/>
      <c r="E22" s="164"/>
      <c r="F22" s="164"/>
      <c r="G22" s="164"/>
      <c r="H22" s="164"/>
      <c r="I22" s="164"/>
      <c r="J22" s="164"/>
      <c r="K22" s="164">
        <v>0</v>
      </c>
      <c r="L22" s="162">
        <v>0</v>
      </c>
      <c r="M22" s="164">
        <v>0</v>
      </c>
      <c r="N22" s="164">
        <v>0</v>
      </c>
      <c r="O22" s="164">
        <v>0</v>
      </c>
      <c r="P22" s="162">
        <v>0</v>
      </c>
      <c r="Q22" s="164">
        <v>0</v>
      </c>
      <c r="R22" s="164">
        <v>1641</v>
      </c>
      <c r="S22" s="164">
        <v>1535065.47</v>
      </c>
      <c r="T22" s="165">
        <v>0</v>
      </c>
      <c r="U22" s="246">
        <v>0</v>
      </c>
      <c r="V22" s="241">
        <f>C22-'часть 1'!L33</f>
        <v>0</v>
      </c>
      <c r="W22" s="241"/>
      <c r="X22" s="241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254"/>
    </row>
    <row r="23" spans="1:35" customFormat="1">
      <c r="A23" s="166">
        <v>15</v>
      </c>
      <c r="B23" s="163" t="s">
        <v>330</v>
      </c>
      <c r="C23" s="164">
        <v>930534</v>
      </c>
      <c r="D23" s="164"/>
      <c r="E23" s="164"/>
      <c r="F23" s="164"/>
      <c r="G23" s="164"/>
      <c r="H23" s="164"/>
      <c r="I23" s="164"/>
      <c r="J23" s="164"/>
      <c r="K23" s="164">
        <v>930534</v>
      </c>
      <c r="L23" s="162">
        <v>0</v>
      </c>
      <c r="M23" s="164">
        <v>0</v>
      </c>
      <c r="N23" s="164">
        <v>0</v>
      </c>
      <c r="O23" s="164">
        <v>0</v>
      </c>
      <c r="P23" s="162">
        <v>0</v>
      </c>
      <c r="Q23" s="164">
        <v>0</v>
      </c>
      <c r="R23" s="168">
        <v>0</v>
      </c>
      <c r="S23" s="164">
        <v>0</v>
      </c>
      <c r="T23" s="165">
        <v>0</v>
      </c>
      <c r="U23" s="246">
        <v>0</v>
      </c>
      <c r="V23" s="241">
        <f>C23-'часть 1'!L34</f>
        <v>0</v>
      </c>
      <c r="W23" s="241"/>
      <c r="X23" s="241"/>
      <c r="Y23" s="3"/>
      <c r="Z23" s="9"/>
      <c r="AA23" s="9"/>
      <c r="AB23" s="9"/>
      <c r="AC23" s="9"/>
      <c r="AD23" s="9"/>
      <c r="AE23" s="9"/>
      <c r="AF23" s="9"/>
      <c r="AG23" s="9"/>
      <c r="AH23" s="9"/>
      <c r="AI23" s="254"/>
    </row>
    <row r="24" spans="1:35" customFormat="1">
      <c r="A24" s="166">
        <v>16</v>
      </c>
      <c r="B24" s="163" t="s">
        <v>328</v>
      </c>
      <c r="C24" s="164">
        <v>662518</v>
      </c>
      <c r="D24" s="164"/>
      <c r="E24" s="164"/>
      <c r="F24" s="164"/>
      <c r="G24" s="164"/>
      <c r="H24" s="164"/>
      <c r="I24" s="164"/>
      <c r="J24" s="164"/>
      <c r="K24" s="164">
        <v>0</v>
      </c>
      <c r="L24" s="162">
        <v>0</v>
      </c>
      <c r="M24" s="164">
        <v>0</v>
      </c>
      <c r="N24" s="164">
        <v>0</v>
      </c>
      <c r="O24" s="164">
        <v>0</v>
      </c>
      <c r="P24" s="164">
        <v>682</v>
      </c>
      <c r="Q24" s="164">
        <f>C24</f>
        <v>662518</v>
      </c>
      <c r="R24" s="165">
        <v>0</v>
      </c>
      <c r="S24" s="164">
        <v>0</v>
      </c>
      <c r="T24" s="165">
        <v>0</v>
      </c>
      <c r="U24" s="246">
        <v>0</v>
      </c>
      <c r="V24" s="241">
        <f>C24-'часть 1'!L35</f>
        <v>0</v>
      </c>
      <c r="W24" s="241"/>
      <c r="X24" s="241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254"/>
    </row>
    <row r="25" spans="1:35" customFormat="1">
      <c r="A25" s="166">
        <v>17</v>
      </c>
      <c r="B25" s="163" t="s">
        <v>333</v>
      </c>
      <c r="C25" s="164">
        <v>2346663</v>
      </c>
      <c r="D25" s="164"/>
      <c r="E25" s="164"/>
      <c r="F25" s="164"/>
      <c r="G25" s="164"/>
      <c r="H25" s="164"/>
      <c r="I25" s="164"/>
      <c r="J25" s="164"/>
      <c r="K25" s="164">
        <v>2346663</v>
      </c>
      <c r="L25" s="162">
        <v>0</v>
      </c>
      <c r="M25" s="164">
        <v>0</v>
      </c>
      <c r="N25" s="167">
        <v>0</v>
      </c>
      <c r="O25" s="164">
        <v>0</v>
      </c>
      <c r="P25" s="162">
        <v>0</v>
      </c>
      <c r="Q25" s="164">
        <v>0</v>
      </c>
      <c r="R25" s="168">
        <v>0</v>
      </c>
      <c r="S25" s="164">
        <v>0</v>
      </c>
      <c r="T25" s="165">
        <v>0</v>
      </c>
      <c r="U25" s="246">
        <v>0</v>
      </c>
      <c r="V25" s="241">
        <f>C25-'часть 1'!L36</f>
        <v>0</v>
      </c>
      <c r="W25" s="241"/>
      <c r="X25" s="241"/>
      <c r="Y25" s="9"/>
      <c r="Z25" s="9"/>
      <c r="AA25" s="9"/>
      <c r="AB25" s="9"/>
      <c r="AC25" s="9"/>
      <c r="AD25" s="9"/>
      <c r="AE25" s="12"/>
      <c r="AF25" s="9"/>
      <c r="AG25" s="9"/>
      <c r="AH25" s="9"/>
      <c r="AI25" s="254"/>
    </row>
    <row r="26" spans="1:35" customFormat="1">
      <c r="A26" s="166">
        <v>18</v>
      </c>
      <c r="B26" s="163" t="s">
        <v>331</v>
      </c>
      <c r="C26" s="164">
        <v>727019</v>
      </c>
      <c r="D26" s="164"/>
      <c r="E26" s="164"/>
      <c r="F26" s="164"/>
      <c r="G26" s="164"/>
      <c r="H26" s="164"/>
      <c r="I26" s="164"/>
      <c r="J26" s="164"/>
      <c r="K26" s="164">
        <v>727019</v>
      </c>
      <c r="L26" s="162">
        <v>0</v>
      </c>
      <c r="M26" s="164">
        <v>0</v>
      </c>
      <c r="N26" s="164">
        <v>0</v>
      </c>
      <c r="O26" s="164">
        <v>0</v>
      </c>
      <c r="P26" s="162">
        <v>0</v>
      </c>
      <c r="Q26" s="164">
        <v>0</v>
      </c>
      <c r="R26" s="168">
        <v>0</v>
      </c>
      <c r="S26" s="164">
        <v>0</v>
      </c>
      <c r="T26" s="165">
        <v>0</v>
      </c>
      <c r="U26" s="246">
        <v>0</v>
      </c>
      <c r="V26" s="241">
        <f>C26-'часть 1'!L37</f>
        <v>0</v>
      </c>
      <c r="W26" s="241"/>
      <c r="X26" s="241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254"/>
    </row>
    <row r="27" spans="1:35" customFormat="1">
      <c r="A27" s="166">
        <v>19</v>
      </c>
      <c r="B27" s="163" t="s">
        <v>329</v>
      </c>
      <c r="C27" s="164">
        <v>538121</v>
      </c>
      <c r="D27" s="164"/>
      <c r="E27" s="164"/>
      <c r="F27" s="164"/>
      <c r="G27" s="164"/>
      <c r="H27" s="164"/>
      <c r="I27" s="164"/>
      <c r="J27" s="164"/>
      <c r="K27" s="164">
        <v>538121</v>
      </c>
      <c r="L27" s="162">
        <v>0</v>
      </c>
      <c r="M27" s="164">
        <v>0</v>
      </c>
      <c r="N27" s="164">
        <v>0</v>
      </c>
      <c r="O27" s="164">
        <v>0</v>
      </c>
      <c r="P27" s="162">
        <v>0</v>
      </c>
      <c r="Q27" s="164">
        <v>0</v>
      </c>
      <c r="R27" s="165">
        <v>0</v>
      </c>
      <c r="S27" s="164">
        <v>0</v>
      </c>
      <c r="T27" s="165">
        <v>0</v>
      </c>
      <c r="U27" s="246">
        <v>0</v>
      </c>
      <c r="V27" s="241">
        <f>C27-'часть 1'!L38</f>
        <v>0</v>
      </c>
      <c r="W27" s="241"/>
      <c r="X27" s="241"/>
      <c r="Y27" s="3"/>
      <c r="Z27" s="9"/>
      <c r="AA27" s="9"/>
      <c r="AB27" s="9"/>
      <c r="AC27" s="9"/>
      <c r="AD27" s="9"/>
      <c r="AE27" s="9"/>
      <c r="AF27" s="9"/>
      <c r="AG27" s="9"/>
      <c r="AH27" s="9"/>
      <c r="AI27" s="254"/>
    </row>
    <row r="28" spans="1:35" customFormat="1">
      <c r="A28" s="166">
        <v>20</v>
      </c>
      <c r="B28" s="163" t="s">
        <v>332</v>
      </c>
      <c r="C28" s="164">
        <v>1756852</v>
      </c>
      <c r="D28" s="164"/>
      <c r="E28" s="164"/>
      <c r="F28" s="164"/>
      <c r="G28" s="164"/>
      <c r="H28" s="164"/>
      <c r="I28" s="164"/>
      <c r="J28" s="164"/>
      <c r="K28" s="164">
        <v>0</v>
      </c>
      <c r="L28" s="162">
        <v>0</v>
      </c>
      <c r="M28" s="164">
        <v>0</v>
      </c>
      <c r="N28" s="164">
        <v>891</v>
      </c>
      <c r="O28" s="164">
        <v>1756852</v>
      </c>
      <c r="P28" s="162">
        <v>0</v>
      </c>
      <c r="Q28" s="164">
        <v>0</v>
      </c>
      <c r="R28" s="165">
        <v>0</v>
      </c>
      <c r="S28" s="164">
        <v>0</v>
      </c>
      <c r="T28" s="165">
        <v>0</v>
      </c>
      <c r="U28" s="246">
        <v>0</v>
      </c>
      <c r="V28" s="241">
        <f>C28-'часть 1'!L39</f>
        <v>0</v>
      </c>
      <c r="W28" s="241"/>
      <c r="X28" s="241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254"/>
    </row>
    <row r="29" spans="1:35" customFormat="1">
      <c r="A29" s="166">
        <v>21</v>
      </c>
      <c r="B29" s="163" t="s">
        <v>316</v>
      </c>
      <c r="C29" s="164">
        <v>676398.28</v>
      </c>
      <c r="D29" s="164"/>
      <c r="E29" s="164"/>
      <c r="F29" s="164"/>
      <c r="G29" s="164"/>
      <c r="H29" s="164"/>
      <c r="I29" s="164"/>
      <c r="J29" s="164"/>
      <c r="K29" s="164">
        <v>0</v>
      </c>
      <c r="L29" s="162">
        <v>0</v>
      </c>
      <c r="M29" s="164">
        <v>0</v>
      </c>
      <c r="N29" s="164">
        <v>0</v>
      </c>
      <c r="O29" s="164">
        <v>0</v>
      </c>
      <c r="P29" s="162">
        <v>0</v>
      </c>
      <c r="Q29" s="164">
        <v>0</v>
      </c>
      <c r="R29" s="164">
        <v>1444</v>
      </c>
      <c r="S29" s="164">
        <v>676398.28</v>
      </c>
      <c r="T29" s="165">
        <v>0</v>
      </c>
      <c r="U29" s="246">
        <v>0</v>
      </c>
      <c r="V29" s="241">
        <f>C29-'часть 1'!L40</f>
        <v>0</v>
      </c>
      <c r="W29" s="241"/>
      <c r="X29" s="241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254"/>
    </row>
    <row r="30" spans="1:35" customFormat="1">
      <c r="A30" s="166">
        <v>22</v>
      </c>
      <c r="B30" s="163" t="s">
        <v>313</v>
      </c>
      <c r="C30" s="164">
        <v>766539</v>
      </c>
      <c r="D30" s="164"/>
      <c r="E30" s="164"/>
      <c r="F30" s="164"/>
      <c r="G30" s="164"/>
      <c r="H30" s="164"/>
      <c r="I30" s="164"/>
      <c r="J30" s="164"/>
      <c r="K30" s="164">
        <v>0</v>
      </c>
      <c r="L30" s="162">
        <v>0</v>
      </c>
      <c r="M30" s="164">
        <v>0</v>
      </c>
      <c r="N30" s="164">
        <v>378.5</v>
      </c>
      <c r="O30" s="164">
        <v>766539</v>
      </c>
      <c r="P30" s="162">
        <v>0</v>
      </c>
      <c r="Q30" s="164">
        <v>0</v>
      </c>
      <c r="R30" s="165">
        <v>0</v>
      </c>
      <c r="S30" s="164">
        <v>0</v>
      </c>
      <c r="T30" s="165">
        <v>0</v>
      </c>
      <c r="U30" s="246">
        <v>0</v>
      </c>
      <c r="V30" s="241">
        <f>C30-'часть 1'!L41</f>
        <v>0</v>
      </c>
      <c r="W30" s="241"/>
      <c r="X30" s="241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254"/>
    </row>
    <row r="31" spans="1:35" customFormat="1">
      <c r="A31" s="166">
        <v>23</v>
      </c>
      <c r="B31" s="163" t="s">
        <v>312</v>
      </c>
      <c r="C31" s="164">
        <v>1186114</v>
      </c>
      <c r="D31" s="164"/>
      <c r="E31" s="164"/>
      <c r="F31" s="164"/>
      <c r="G31" s="164"/>
      <c r="H31" s="164"/>
      <c r="I31" s="164"/>
      <c r="J31" s="164"/>
      <c r="K31" s="164">
        <v>0</v>
      </c>
      <c r="L31" s="162">
        <v>0</v>
      </c>
      <c r="M31" s="164">
        <v>0</v>
      </c>
      <c r="N31" s="164">
        <v>586.29999999999995</v>
      </c>
      <c r="O31" s="164">
        <v>1186114</v>
      </c>
      <c r="P31" s="162">
        <v>0</v>
      </c>
      <c r="Q31" s="164">
        <v>0</v>
      </c>
      <c r="R31" s="165">
        <v>0</v>
      </c>
      <c r="S31" s="164">
        <v>0</v>
      </c>
      <c r="T31" s="165">
        <v>0</v>
      </c>
      <c r="U31" s="246">
        <v>0</v>
      </c>
      <c r="V31" s="241">
        <f>C31-'часть 1'!L42</f>
        <v>0</v>
      </c>
      <c r="W31" s="241"/>
      <c r="X31" s="241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254"/>
    </row>
    <row r="32" spans="1:35" customFormat="1">
      <c r="A32" s="166">
        <v>24</v>
      </c>
      <c r="B32" s="163" t="s">
        <v>311</v>
      </c>
      <c r="C32" s="164">
        <v>178272.59</v>
      </c>
      <c r="D32" s="164"/>
      <c r="E32" s="164"/>
      <c r="F32" s="164"/>
      <c r="G32" s="164"/>
      <c r="H32" s="164"/>
      <c r="I32" s="164"/>
      <c r="J32" s="164"/>
      <c r="K32" s="164">
        <v>178272.59</v>
      </c>
      <c r="L32" s="162">
        <v>0</v>
      </c>
      <c r="M32" s="164">
        <v>0</v>
      </c>
      <c r="N32" s="167">
        <v>0</v>
      </c>
      <c r="O32" s="164">
        <v>0</v>
      </c>
      <c r="P32" s="162">
        <v>0</v>
      </c>
      <c r="Q32" s="164">
        <v>0</v>
      </c>
      <c r="R32" s="168">
        <v>0</v>
      </c>
      <c r="S32" s="164">
        <v>0</v>
      </c>
      <c r="T32" s="165">
        <v>0</v>
      </c>
      <c r="U32" s="246">
        <v>0</v>
      </c>
      <c r="V32" s="241">
        <f>C32-'часть 1'!L43</f>
        <v>0</v>
      </c>
      <c r="W32" s="241"/>
      <c r="X32" s="241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254"/>
    </row>
    <row r="33" spans="1:49" customFormat="1">
      <c r="A33" s="166">
        <v>25</v>
      </c>
      <c r="B33" s="163" t="s">
        <v>315</v>
      </c>
      <c r="C33" s="164">
        <v>1087116</v>
      </c>
      <c r="D33" s="164"/>
      <c r="E33" s="164"/>
      <c r="F33" s="164"/>
      <c r="G33" s="164"/>
      <c r="H33" s="164"/>
      <c r="I33" s="164"/>
      <c r="J33" s="164"/>
      <c r="K33" s="164" t="e">
        <f>#REF!</f>
        <v>#REF!</v>
      </c>
      <c r="L33" s="162">
        <v>0</v>
      </c>
      <c r="M33" s="164">
        <v>0</v>
      </c>
      <c r="N33" s="164">
        <v>0</v>
      </c>
      <c r="O33" s="164">
        <v>0</v>
      </c>
      <c r="P33" s="162">
        <v>0</v>
      </c>
      <c r="Q33" s="164">
        <v>0</v>
      </c>
      <c r="R33" s="165">
        <v>0</v>
      </c>
      <c r="S33" s="164">
        <v>0</v>
      </c>
      <c r="T33" s="165">
        <v>0</v>
      </c>
      <c r="U33" s="246">
        <v>0</v>
      </c>
      <c r="V33" s="241">
        <f>C33-'часть 1'!L44</f>
        <v>0</v>
      </c>
      <c r="W33" s="241"/>
      <c r="X33" s="241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254"/>
    </row>
    <row r="34" spans="1:49" customFormat="1">
      <c r="A34" s="166">
        <v>26</v>
      </c>
      <c r="B34" s="163" t="s">
        <v>351</v>
      </c>
      <c r="C34" s="164">
        <v>1411363</v>
      </c>
      <c r="D34" s="164"/>
      <c r="E34" s="164"/>
      <c r="F34" s="164"/>
      <c r="G34" s="164"/>
      <c r="H34" s="164"/>
      <c r="I34" s="164"/>
      <c r="J34" s="164"/>
      <c r="K34" s="164">
        <v>0</v>
      </c>
      <c r="L34" s="162">
        <v>0</v>
      </c>
      <c r="M34" s="164">
        <v>0</v>
      </c>
      <c r="N34" s="164">
        <v>702</v>
      </c>
      <c r="O34" s="164">
        <v>1411363</v>
      </c>
      <c r="P34" s="162">
        <v>0</v>
      </c>
      <c r="Q34" s="164">
        <v>0</v>
      </c>
      <c r="R34" s="165">
        <v>0</v>
      </c>
      <c r="S34" s="164">
        <v>0</v>
      </c>
      <c r="T34" s="165">
        <v>0</v>
      </c>
      <c r="U34" s="246">
        <v>0</v>
      </c>
      <c r="V34" s="241">
        <f>C34-'часть 1'!L45</f>
        <v>0</v>
      </c>
      <c r="W34" s="241"/>
      <c r="X34" s="241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254"/>
    </row>
    <row r="35" spans="1:49" customFormat="1">
      <c r="A35" s="166">
        <v>27</v>
      </c>
      <c r="B35" s="163" t="s">
        <v>314</v>
      </c>
      <c r="C35" s="164">
        <v>1136666</v>
      </c>
      <c r="D35" s="164"/>
      <c r="E35" s="164"/>
      <c r="F35" s="164"/>
      <c r="G35" s="164"/>
      <c r="H35" s="164"/>
      <c r="I35" s="164"/>
      <c r="J35" s="164"/>
      <c r="K35" s="164">
        <v>0</v>
      </c>
      <c r="L35" s="162">
        <v>0</v>
      </c>
      <c r="M35" s="164">
        <v>0</v>
      </c>
      <c r="N35" s="164">
        <v>552</v>
      </c>
      <c r="O35" s="164">
        <v>1136666</v>
      </c>
      <c r="P35" s="162">
        <v>0</v>
      </c>
      <c r="Q35" s="164">
        <v>0</v>
      </c>
      <c r="R35" s="168">
        <v>0</v>
      </c>
      <c r="S35" s="164">
        <v>0</v>
      </c>
      <c r="T35" s="165">
        <v>0</v>
      </c>
      <c r="U35" s="246">
        <v>0</v>
      </c>
      <c r="V35" s="241">
        <f>C35-'часть 1'!L46</f>
        <v>0</v>
      </c>
      <c r="W35" s="241"/>
      <c r="X35" s="241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254"/>
    </row>
    <row r="36" spans="1:49" customFormat="1">
      <c r="A36" s="166">
        <v>28</v>
      </c>
      <c r="B36" s="163" t="s">
        <v>369</v>
      </c>
      <c r="C36" s="164">
        <v>1385674</v>
      </c>
      <c r="D36" s="164"/>
      <c r="E36" s="164"/>
      <c r="F36" s="164"/>
      <c r="G36" s="164"/>
      <c r="H36" s="164"/>
      <c r="I36" s="164"/>
      <c r="J36" s="164"/>
      <c r="K36" s="164">
        <v>1385674</v>
      </c>
      <c r="L36" s="162">
        <v>0</v>
      </c>
      <c r="M36" s="164">
        <v>0</v>
      </c>
      <c r="N36" s="164">
        <v>0</v>
      </c>
      <c r="O36" s="164">
        <v>0</v>
      </c>
      <c r="P36" s="162">
        <v>0</v>
      </c>
      <c r="Q36" s="164">
        <v>0</v>
      </c>
      <c r="R36" s="165">
        <v>0</v>
      </c>
      <c r="S36" s="164">
        <v>0</v>
      </c>
      <c r="T36" s="165">
        <v>0</v>
      </c>
      <c r="U36" s="246">
        <v>0</v>
      </c>
      <c r="V36" s="241">
        <f>C36-'часть 1'!L47</f>
        <v>0</v>
      </c>
      <c r="W36" s="241"/>
      <c r="X36" s="241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254"/>
    </row>
    <row r="37" spans="1:49" customFormat="1">
      <c r="A37" s="166">
        <v>29</v>
      </c>
      <c r="B37" s="163" t="s">
        <v>370</v>
      </c>
      <c r="C37" s="164">
        <v>4619990</v>
      </c>
      <c r="D37" s="164"/>
      <c r="E37" s="164"/>
      <c r="F37" s="164"/>
      <c r="G37" s="164"/>
      <c r="H37" s="164"/>
      <c r="I37" s="164"/>
      <c r="J37" s="164"/>
      <c r="K37" s="164">
        <v>0</v>
      </c>
      <c r="L37" s="162">
        <v>0</v>
      </c>
      <c r="M37" s="164">
        <v>0</v>
      </c>
      <c r="N37" s="164">
        <v>2319</v>
      </c>
      <c r="O37" s="164">
        <v>4619990</v>
      </c>
      <c r="P37" s="162">
        <v>0</v>
      </c>
      <c r="Q37" s="164">
        <v>0</v>
      </c>
      <c r="R37" s="168">
        <v>0</v>
      </c>
      <c r="S37" s="164">
        <v>0</v>
      </c>
      <c r="T37" s="165">
        <v>0</v>
      </c>
      <c r="U37" s="246">
        <v>0</v>
      </c>
      <c r="V37" s="241">
        <f>C37-'часть 1'!L48</f>
        <v>0</v>
      </c>
      <c r="W37" s="241"/>
      <c r="X37" s="241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254"/>
    </row>
    <row r="38" spans="1:49" customFormat="1">
      <c r="A38" s="166">
        <v>30</v>
      </c>
      <c r="B38" s="163" t="s">
        <v>373</v>
      </c>
      <c r="C38" s="164">
        <v>1865304</v>
      </c>
      <c r="D38" s="164"/>
      <c r="E38" s="164"/>
      <c r="F38" s="164"/>
      <c r="G38" s="164"/>
      <c r="H38" s="164"/>
      <c r="I38" s="164"/>
      <c r="J38" s="164"/>
      <c r="K38" s="164">
        <v>0</v>
      </c>
      <c r="L38" s="162">
        <v>0</v>
      </c>
      <c r="M38" s="164">
        <v>0</v>
      </c>
      <c r="N38" s="164">
        <v>924</v>
      </c>
      <c r="O38" s="164">
        <v>1865304</v>
      </c>
      <c r="P38" s="162">
        <v>0</v>
      </c>
      <c r="Q38" s="164">
        <v>0</v>
      </c>
      <c r="R38" s="165">
        <v>0</v>
      </c>
      <c r="S38" s="164">
        <v>0</v>
      </c>
      <c r="T38" s="165">
        <v>0</v>
      </c>
      <c r="U38" s="246">
        <v>0</v>
      </c>
      <c r="V38" s="241">
        <f>C38-'часть 1'!L49</f>
        <v>0</v>
      </c>
      <c r="W38" s="241"/>
      <c r="X38" s="241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254"/>
    </row>
    <row r="39" spans="1:49" customFormat="1">
      <c r="A39" s="166">
        <v>31</v>
      </c>
      <c r="B39" s="163" t="s">
        <v>381</v>
      </c>
      <c r="C39" s="164">
        <v>1870910</v>
      </c>
      <c r="D39" s="164"/>
      <c r="E39" s="164"/>
      <c r="F39" s="164"/>
      <c r="G39" s="164"/>
      <c r="H39" s="164"/>
      <c r="I39" s="164"/>
      <c r="J39" s="164"/>
      <c r="K39" s="164">
        <v>0</v>
      </c>
      <c r="L39" s="162">
        <v>0</v>
      </c>
      <c r="M39" s="164">
        <v>0</v>
      </c>
      <c r="N39" s="164">
        <v>946.3</v>
      </c>
      <c r="O39" s="164">
        <v>1870910</v>
      </c>
      <c r="P39" s="162">
        <v>0</v>
      </c>
      <c r="Q39" s="164">
        <v>0</v>
      </c>
      <c r="R39" s="165">
        <v>0</v>
      </c>
      <c r="S39" s="164">
        <v>0</v>
      </c>
      <c r="T39" s="165">
        <v>0</v>
      </c>
      <c r="U39" s="246">
        <v>0</v>
      </c>
      <c r="V39" s="241">
        <f>C39-'часть 1'!L50</f>
        <v>0</v>
      </c>
      <c r="W39" s="241"/>
      <c r="X39" s="241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254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customFormat="1">
      <c r="A40" s="166">
        <v>32</v>
      </c>
      <c r="B40" s="163" t="s">
        <v>382</v>
      </c>
      <c r="C40" s="164">
        <v>1533757</v>
      </c>
      <c r="D40" s="164"/>
      <c r="E40" s="164"/>
      <c r="F40" s="164"/>
      <c r="G40" s="164"/>
      <c r="H40" s="164"/>
      <c r="I40" s="164"/>
      <c r="J40" s="164"/>
      <c r="K40" s="164">
        <v>0</v>
      </c>
      <c r="L40" s="162">
        <v>0</v>
      </c>
      <c r="M40" s="164">
        <v>0</v>
      </c>
      <c r="N40" s="164">
        <v>772.9</v>
      </c>
      <c r="O40" s="164">
        <v>1533757</v>
      </c>
      <c r="P40" s="162">
        <v>0</v>
      </c>
      <c r="Q40" s="164">
        <v>0</v>
      </c>
      <c r="R40" s="165">
        <v>0</v>
      </c>
      <c r="S40" s="164">
        <v>0</v>
      </c>
      <c r="T40" s="165">
        <v>0</v>
      </c>
      <c r="U40" s="246">
        <v>0</v>
      </c>
      <c r="V40" s="241">
        <f>C40-'часть 1'!L51</f>
        <v>0</v>
      </c>
      <c r="W40" s="241"/>
      <c r="X40" s="241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254"/>
    </row>
    <row r="41" spans="1:49">
      <c r="A41" s="162">
        <v>33</v>
      </c>
      <c r="B41" s="163" t="s">
        <v>371</v>
      </c>
      <c r="C41" s="164">
        <v>939858</v>
      </c>
      <c r="D41" s="164"/>
      <c r="E41" s="164"/>
      <c r="F41" s="164"/>
      <c r="G41" s="164"/>
      <c r="H41" s="164"/>
      <c r="I41" s="164"/>
      <c r="J41" s="164"/>
      <c r="K41" s="164">
        <v>939858</v>
      </c>
      <c r="L41" s="162">
        <v>0</v>
      </c>
      <c r="M41" s="164">
        <v>0</v>
      </c>
      <c r="N41" s="164">
        <v>0</v>
      </c>
      <c r="O41" s="164">
        <v>0</v>
      </c>
      <c r="P41" s="162">
        <v>0</v>
      </c>
      <c r="Q41" s="164">
        <v>0</v>
      </c>
      <c r="R41" s="168">
        <v>0</v>
      </c>
      <c r="S41" s="164">
        <v>0</v>
      </c>
      <c r="T41" s="165">
        <v>0</v>
      </c>
      <c r="U41" s="246">
        <v>0</v>
      </c>
      <c r="V41" s="241">
        <f>C41-'часть 1'!L52</f>
        <v>0</v>
      </c>
      <c r="W41" s="241"/>
      <c r="X41" s="241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254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</row>
    <row r="42" spans="1:49" customFormat="1">
      <c r="A42" s="166">
        <v>34</v>
      </c>
      <c r="B42" s="163" t="s">
        <v>377</v>
      </c>
      <c r="C42" s="164">
        <v>2368392</v>
      </c>
      <c r="D42" s="164"/>
      <c r="E42" s="164"/>
      <c r="F42" s="164"/>
      <c r="G42" s="164"/>
      <c r="H42" s="164"/>
      <c r="I42" s="164"/>
      <c r="J42" s="164"/>
      <c r="K42" s="164">
        <v>0</v>
      </c>
      <c r="L42" s="162">
        <v>0</v>
      </c>
      <c r="M42" s="164">
        <v>0</v>
      </c>
      <c r="N42" s="164">
        <v>1200</v>
      </c>
      <c r="O42" s="167">
        <v>2368392</v>
      </c>
      <c r="P42" s="162">
        <v>0</v>
      </c>
      <c r="Q42" s="164">
        <v>0</v>
      </c>
      <c r="R42" s="165">
        <v>0</v>
      </c>
      <c r="S42" s="164">
        <v>0</v>
      </c>
      <c r="T42" s="165">
        <v>0</v>
      </c>
      <c r="U42" s="246">
        <v>0</v>
      </c>
      <c r="V42" s="241">
        <f>C42-'часть 1'!L53</f>
        <v>0</v>
      </c>
      <c r="W42" s="241"/>
      <c r="X42" s="241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254"/>
    </row>
    <row r="43" spans="1:49" customFormat="1">
      <c r="A43" s="166">
        <v>35</v>
      </c>
      <c r="B43" s="163" t="s">
        <v>378</v>
      </c>
      <c r="C43" s="164">
        <v>2433930.91</v>
      </c>
      <c r="D43" s="164"/>
      <c r="E43" s="164"/>
      <c r="F43" s="164"/>
      <c r="G43" s="164"/>
      <c r="H43" s="164"/>
      <c r="I43" s="164"/>
      <c r="J43" s="164"/>
      <c r="K43" s="164">
        <v>1478520.9100000001</v>
      </c>
      <c r="L43" s="162">
        <v>0</v>
      </c>
      <c r="M43" s="164">
        <v>0</v>
      </c>
      <c r="N43" s="164">
        <v>526.79999999999995</v>
      </c>
      <c r="O43" s="164">
        <v>955410</v>
      </c>
      <c r="P43" s="162">
        <v>0</v>
      </c>
      <c r="Q43" s="164">
        <v>0</v>
      </c>
      <c r="R43" s="168">
        <v>0</v>
      </c>
      <c r="S43" s="164">
        <v>0</v>
      </c>
      <c r="T43" s="165">
        <v>0</v>
      </c>
      <c r="U43" s="246">
        <v>0</v>
      </c>
      <c r="V43" s="241">
        <f>C43-'часть 1'!L54</f>
        <v>0</v>
      </c>
      <c r="W43" s="241"/>
      <c r="X43" s="241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254"/>
    </row>
    <row r="44" spans="1:49" customFormat="1">
      <c r="A44" s="166">
        <v>36</v>
      </c>
      <c r="B44" s="163" t="s">
        <v>383</v>
      </c>
      <c r="C44" s="164">
        <v>1721850</v>
      </c>
      <c r="D44" s="164"/>
      <c r="E44" s="164"/>
      <c r="F44" s="164"/>
      <c r="G44" s="164"/>
      <c r="H44" s="164"/>
      <c r="I44" s="164"/>
      <c r="J44" s="164"/>
      <c r="K44" s="164">
        <v>0</v>
      </c>
      <c r="L44" s="162">
        <v>0</v>
      </c>
      <c r="M44" s="164">
        <v>0</v>
      </c>
      <c r="N44" s="164">
        <v>868.68</v>
      </c>
      <c r="O44" s="164">
        <v>1721850</v>
      </c>
      <c r="P44" s="162">
        <v>0</v>
      </c>
      <c r="Q44" s="164">
        <v>0</v>
      </c>
      <c r="R44" s="165">
        <v>0</v>
      </c>
      <c r="S44" s="164">
        <v>0</v>
      </c>
      <c r="T44" s="165">
        <v>0</v>
      </c>
      <c r="U44" s="246">
        <v>0</v>
      </c>
      <c r="V44" s="241">
        <f>C44-'часть 1'!L55</f>
        <v>0</v>
      </c>
      <c r="W44" s="241"/>
      <c r="X44" s="241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254"/>
    </row>
    <row r="45" spans="1:49" customFormat="1">
      <c r="A45" s="166">
        <v>37</v>
      </c>
      <c r="B45" s="163" t="s">
        <v>368</v>
      </c>
      <c r="C45" s="164">
        <v>814117</v>
      </c>
      <c r="D45" s="164"/>
      <c r="E45" s="164"/>
      <c r="F45" s="164"/>
      <c r="G45" s="164"/>
      <c r="H45" s="164"/>
      <c r="I45" s="164"/>
      <c r="J45" s="164"/>
      <c r="K45" s="164">
        <v>814117</v>
      </c>
      <c r="L45" s="162">
        <v>0</v>
      </c>
      <c r="M45" s="164">
        <v>0</v>
      </c>
      <c r="N45" s="164">
        <v>0</v>
      </c>
      <c r="O45" s="164">
        <v>0</v>
      </c>
      <c r="P45" s="162">
        <v>0</v>
      </c>
      <c r="Q45" s="164">
        <v>0</v>
      </c>
      <c r="R45" s="165">
        <v>0</v>
      </c>
      <c r="S45" s="164">
        <v>0</v>
      </c>
      <c r="T45" s="165">
        <v>0</v>
      </c>
      <c r="U45" s="246">
        <v>0</v>
      </c>
      <c r="V45" s="241">
        <f>C45-'часть 1'!L56</f>
        <v>0</v>
      </c>
      <c r="W45" s="241"/>
      <c r="X45" s="241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254"/>
    </row>
    <row r="46" spans="1:49" customFormat="1">
      <c r="A46" s="166">
        <v>38</v>
      </c>
      <c r="B46" s="163" t="s">
        <v>375</v>
      </c>
      <c r="C46" s="164">
        <v>3045081</v>
      </c>
      <c r="D46" s="164"/>
      <c r="E46" s="164"/>
      <c r="F46" s="164"/>
      <c r="G46" s="164"/>
      <c r="H46" s="164"/>
      <c r="I46" s="164"/>
      <c r="J46" s="164"/>
      <c r="K46" s="164">
        <v>0</v>
      </c>
      <c r="L46" s="162">
        <v>0</v>
      </c>
      <c r="M46" s="164">
        <v>0</v>
      </c>
      <c r="N46" s="164">
        <v>0</v>
      </c>
      <c r="O46" s="164">
        <v>0</v>
      </c>
      <c r="P46" s="162">
        <v>0</v>
      </c>
      <c r="Q46" s="164">
        <v>0</v>
      </c>
      <c r="R46" s="164">
        <v>2108</v>
      </c>
      <c r="S46" s="164">
        <v>3045081</v>
      </c>
      <c r="T46" s="165">
        <v>0</v>
      </c>
      <c r="U46" s="246">
        <v>0</v>
      </c>
      <c r="V46" s="241">
        <f>C46-'часть 1'!L57</f>
        <v>0</v>
      </c>
      <c r="W46" s="241"/>
      <c r="X46" s="241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254"/>
    </row>
    <row r="47" spans="1:49" customFormat="1">
      <c r="A47" s="166">
        <v>39</v>
      </c>
      <c r="B47" s="163" t="s">
        <v>380</v>
      </c>
      <c r="C47" s="164">
        <v>2244806</v>
      </c>
      <c r="D47" s="164"/>
      <c r="E47" s="164"/>
      <c r="F47" s="164"/>
      <c r="G47" s="164"/>
      <c r="H47" s="164"/>
      <c r="I47" s="164"/>
      <c r="J47" s="164"/>
      <c r="K47" s="164">
        <v>0</v>
      </c>
      <c r="L47" s="162">
        <v>0</v>
      </c>
      <c r="M47" s="164">
        <v>0</v>
      </c>
      <c r="N47" s="167">
        <v>1120</v>
      </c>
      <c r="O47" s="164">
        <v>2244806</v>
      </c>
      <c r="P47" s="162">
        <v>0</v>
      </c>
      <c r="Q47" s="164">
        <v>0</v>
      </c>
      <c r="R47" s="168">
        <v>0</v>
      </c>
      <c r="S47" s="164">
        <v>0</v>
      </c>
      <c r="T47" s="165">
        <v>0</v>
      </c>
      <c r="U47" s="246">
        <v>0</v>
      </c>
      <c r="V47" s="241">
        <f>C47-'часть 1'!L58</f>
        <v>0</v>
      </c>
      <c r="W47" s="241"/>
      <c r="X47" s="241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254"/>
    </row>
    <row r="48" spans="1:49" customFormat="1">
      <c r="A48" s="166">
        <v>40</v>
      </c>
      <c r="B48" s="163" t="s">
        <v>374</v>
      </c>
      <c r="C48" s="164">
        <v>1361273</v>
      </c>
      <c r="D48" s="164"/>
      <c r="E48" s="164"/>
      <c r="F48" s="164"/>
      <c r="G48" s="164"/>
      <c r="H48" s="164"/>
      <c r="I48" s="164"/>
      <c r="J48" s="164"/>
      <c r="K48" s="164">
        <v>347471</v>
      </c>
      <c r="L48" s="162">
        <v>0</v>
      </c>
      <c r="M48" s="164">
        <v>0</v>
      </c>
      <c r="N48" s="164">
        <v>0</v>
      </c>
      <c r="O48" s="164">
        <v>0</v>
      </c>
      <c r="P48" s="162">
        <v>0</v>
      </c>
      <c r="Q48" s="164">
        <v>0</v>
      </c>
      <c r="R48" s="164">
        <v>1105</v>
      </c>
      <c r="S48" s="164">
        <v>1013802</v>
      </c>
      <c r="T48" s="165">
        <v>0</v>
      </c>
      <c r="U48" s="246">
        <v>0</v>
      </c>
      <c r="V48" s="241">
        <f>C48-'часть 1'!L59</f>
        <v>0</v>
      </c>
      <c r="W48" s="241"/>
      <c r="X48" s="241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254"/>
    </row>
    <row r="49" spans="1:35" customFormat="1">
      <c r="A49" s="166">
        <v>41</v>
      </c>
      <c r="B49" s="163" t="s">
        <v>376</v>
      </c>
      <c r="C49" s="164">
        <v>2421596</v>
      </c>
      <c r="D49" s="164"/>
      <c r="E49" s="164"/>
      <c r="F49" s="164"/>
      <c r="G49" s="164"/>
      <c r="H49" s="164"/>
      <c r="I49" s="164"/>
      <c r="J49" s="164"/>
      <c r="K49" s="164">
        <v>0</v>
      </c>
      <c r="L49" s="162">
        <v>0</v>
      </c>
      <c r="M49" s="164">
        <v>0</v>
      </c>
      <c r="N49" s="164">
        <v>1230.72</v>
      </c>
      <c r="O49" s="167">
        <v>2421596</v>
      </c>
      <c r="P49" s="162">
        <v>0</v>
      </c>
      <c r="Q49" s="164">
        <v>0</v>
      </c>
      <c r="R49" s="165">
        <v>0</v>
      </c>
      <c r="S49" s="164">
        <v>0</v>
      </c>
      <c r="T49" s="165">
        <v>0</v>
      </c>
      <c r="U49" s="246">
        <v>0</v>
      </c>
      <c r="V49" s="241">
        <f>C49-'часть 1'!L60</f>
        <v>0</v>
      </c>
      <c r="W49" s="241"/>
      <c r="X49" s="241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254"/>
    </row>
    <row r="50" spans="1:35" customFormat="1">
      <c r="A50" s="166">
        <v>42</v>
      </c>
      <c r="B50" s="163" t="s">
        <v>379</v>
      </c>
      <c r="C50" s="164">
        <v>2056315</v>
      </c>
      <c r="D50" s="164"/>
      <c r="E50" s="164"/>
      <c r="F50" s="164"/>
      <c r="G50" s="164"/>
      <c r="H50" s="164"/>
      <c r="I50" s="164"/>
      <c r="J50" s="164"/>
      <c r="K50" s="164">
        <v>0</v>
      </c>
      <c r="L50" s="162">
        <v>0</v>
      </c>
      <c r="M50" s="164">
        <v>0</v>
      </c>
      <c r="N50" s="164">
        <v>978</v>
      </c>
      <c r="O50" s="164">
        <v>2056315</v>
      </c>
      <c r="P50" s="162">
        <v>0</v>
      </c>
      <c r="Q50" s="164">
        <v>0</v>
      </c>
      <c r="R50" s="168">
        <v>0</v>
      </c>
      <c r="S50" s="164">
        <v>0</v>
      </c>
      <c r="T50" s="165">
        <v>0</v>
      </c>
      <c r="U50" s="246">
        <v>0</v>
      </c>
      <c r="V50" s="241">
        <f>C50-'часть 1'!L61</f>
        <v>0</v>
      </c>
      <c r="W50" s="241"/>
      <c r="X50" s="241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254"/>
    </row>
    <row r="51" spans="1:35" customFormat="1">
      <c r="A51" s="166">
        <v>43</v>
      </c>
      <c r="B51" s="163" t="s">
        <v>372</v>
      </c>
      <c r="C51" s="164">
        <v>9473593</v>
      </c>
      <c r="D51" s="164"/>
      <c r="E51" s="164"/>
      <c r="F51" s="164"/>
      <c r="G51" s="164"/>
      <c r="H51" s="164"/>
      <c r="I51" s="164"/>
      <c r="J51" s="164"/>
      <c r="K51" s="164">
        <v>0</v>
      </c>
      <c r="L51" s="162">
        <v>5</v>
      </c>
      <c r="M51" s="164">
        <v>9473593</v>
      </c>
      <c r="N51" s="164">
        <v>0</v>
      </c>
      <c r="O51" s="164">
        <v>0</v>
      </c>
      <c r="P51" s="162">
        <v>0</v>
      </c>
      <c r="Q51" s="164">
        <v>0</v>
      </c>
      <c r="R51" s="165">
        <v>0</v>
      </c>
      <c r="S51" s="164">
        <v>0</v>
      </c>
      <c r="T51" s="165">
        <v>0</v>
      </c>
      <c r="U51" s="246">
        <v>0</v>
      </c>
      <c r="V51" s="241">
        <f>C51-'часть 1'!L62</f>
        <v>0</v>
      </c>
      <c r="W51" s="241"/>
      <c r="X51" s="241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254"/>
    </row>
    <row r="52" spans="1:35" customFormat="1">
      <c r="A52" s="166">
        <v>44</v>
      </c>
      <c r="B52" s="163" t="s">
        <v>344</v>
      </c>
      <c r="C52" s="164">
        <v>4441828</v>
      </c>
      <c r="D52" s="164"/>
      <c r="E52" s="164"/>
      <c r="F52" s="164"/>
      <c r="G52" s="164"/>
      <c r="H52" s="164"/>
      <c r="I52" s="164"/>
      <c r="J52" s="164"/>
      <c r="K52" s="164">
        <v>0</v>
      </c>
      <c r="L52" s="162">
        <v>0</v>
      </c>
      <c r="M52" s="164">
        <v>0</v>
      </c>
      <c r="N52" s="164">
        <v>0</v>
      </c>
      <c r="O52" s="164">
        <v>0</v>
      </c>
      <c r="P52" s="162">
        <v>0</v>
      </c>
      <c r="Q52" s="164">
        <v>0</v>
      </c>
      <c r="R52" s="164">
        <v>3081.4</v>
      </c>
      <c r="S52" s="164">
        <v>4441828</v>
      </c>
      <c r="T52" s="165">
        <v>0</v>
      </c>
      <c r="U52" s="246">
        <v>0</v>
      </c>
      <c r="V52" s="241">
        <f>C52-'часть 1'!L63</f>
        <v>0</v>
      </c>
      <c r="W52" s="241"/>
      <c r="X52" s="241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254"/>
    </row>
    <row r="53" spans="1:35" customFormat="1">
      <c r="A53" s="166">
        <v>45</v>
      </c>
      <c r="B53" s="163" t="s">
        <v>348</v>
      </c>
      <c r="C53" s="164">
        <v>3051089</v>
      </c>
      <c r="D53" s="164"/>
      <c r="E53" s="164"/>
      <c r="F53" s="164"/>
      <c r="G53" s="164"/>
      <c r="H53" s="164"/>
      <c r="I53" s="164"/>
      <c r="J53" s="164"/>
      <c r="K53" s="164">
        <v>0</v>
      </c>
      <c r="L53" s="162">
        <v>0</v>
      </c>
      <c r="M53" s="164">
        <v>0</v>
      </c>
      <c r="N53" s="164">
        <v>1549</v>
      </c>
      <c r="O53" s="164">
        <v>3051089</v>
      </c>
      <c r="P53" s="162">
        <v>0</v>
      </c>
      <c r="Q53" s="164">
        <v>0</v>
      </c>
      <c r="R53" s="165">
        <v>0</v>
      </c>
      <c r="S53" s="164">
        <v>0</v>
      </c>
      <c r="T53" s="165">
        <v>0</v>
      </c>
      <c r="U53" s="246">
        <v>0</v>
      </c>
      <c r="V53" s="241">
        <f>C53-'часть 1'!L64</f>
        <v>0</v>
      </c>
      <c r="W53" s="241"/>
      <c r="X53" s="241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254"/>
    </row>
    <row r="54" spans="1:35" customFormat="1">
      <c r="A54" s="166">
        <v>46</v>
      </c>
      <c r="B54" s="163" t="s">
        <v>386</v>
      </c>
      <c r="C54" s="164">
        <v>869749</v>
      </c>
      <c r="D54" s="164"/>
      <c r="E54" s="164"/>
      <c r="F54" s="164"/>
      <c r="G54" s="164"/>
      <c r="H54" s="164"/>
      <c r="I54" s="164"/>
      <c r="J54" s="164"/>
      <c r="K54" s="164">
        <v>0</v>
      </c>
      <c r="L54" s="162">
        <v>0</v>
      </c>
      <c r="M54" s="164">
        <v>0</v>
      </c>
      <c r="N54" s="164">
        <v>431.5</v>
      </c>
      <c r="O54" s="164">
        <f>C54</f>
        <v>869749</v>
      </c>
      <c r="P54" s="162">
        <v>0</v>
      </c>
      <c r="Q54" s="164">
        <v>0</v>
      </c>
      <c r="R54" s="165">
        <v>0</v>
      </c>
      <c r="S54" s="164">
        <v>0</v>
      </c>
      <c r="T54" s="165">
        <v>0</v>
      </c>
      <c r="U54" s="246">
        <v>0</v>
      </c>
      <c r="V54" s="241">
        <f>C54-'часть 1'!L65</f>
        <v>0</v>
      </c>
      <c r="W54" s="241"/>
      <c r="X54" s="241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254"/>
    </row>
    <row r="55" spans="1:35" customFormat="1">
      <c r="A55" s="166">
        <v>47</v>
      </c>
      <c r="B55" s="163" t="s">
        <v>461</v>
      </c>
      <c r="C55" s="164">
        <v>869880</v>
      </c>
      <c r="D55" s="164"/>
      <c r="E55" s="164"/>
      <c r="F55" s="164"/>
      <c r="G55" s="164"/>
      <c r="H55" s="164"/>
      <c r="I55" s="164"/>
      <c r="J55" s="164"/>
      <c r="K55" s="164">
        <v>0</v>
      </c>
      <c r="L55" s="162">
        <v>0</v>
      </c>
      <c r="M55" s="164">
        <v>0</v>
      </c>
      <c r="N55" s="164">
        <v>431.5</v>
      </c>
      <c r="O55" s="167">
        <f>C55</f>
        <v>869880</v>
      </c>
      <c r="P55" s="162">
        <v>0</v>
      </c>
      <c r="Q55" s="164">
        <v>0</v>
      </c>
      <c r="R55" s="168">
        <v>0</v>
      </c>
      <c r="S55" s="164">
        <v>0</v>
      </c>
      <c r="T55" s="165">
        <v>0</v>
      </c>
      <c r="U55" s="246">
        <v>0</v>
      </c>
      <c r="V55" s="241">
        <f>C55-'часть 1'!L66</f>
        <v>0</v>
      </c>
      <c r="W55" s="241"/>
      <c r="X55" s="241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254"/>
    </row>
    <row r="56" spans="1:35" customFormat="1" ht="30">
      <c r="A56" s="166">
        <v>48</v>
      </c>
      <c r="B56" s="163" t="s">
        <v>462</v>
      </c>
      <c r="C56" s="164">
        <v>172302</v>
      </c>
      <c r="D56" s="164"/>
      <c r="E56" s="164"/>
      <c r="F56" s="164"/>
      <c r="G56" s="164"/>
      <c r="H56" s="164"/>
      <c r="I56" s="164"/>
      <c r="J56" s="164"/>
      <c r="K56" s="164">
        <v>172302</v>
      </c>
      <c r="L56" s="162">
        <v>0</v>
      </c>
      <c r="M56" s="164">
        <v>0</v>
      </c>
      <c r="N56" s="164">
        <v>0</v>
      </c>
      <c r="O56" s="164">
        <v>0</v>
      </c>
      <c r="P56" s="162">
        <v>0</v>
      </c>
      <c r="Q56" s="164">
        <v>0</v>
      </c>
      <c r="R56" s="165">
        <v>0</v>
      </c>
      <c r="S56" s="164">
        <v>0</v>
      </c>
      <c r="T56" s="165">
        <v>0</v>
      </c>
      <c r="U56" s="246">
        <v>0</v>
      </c>
      <c r="V56" s="241">
        <f>C56-'часть 1'!L67</f>
        <v>0</v>
      </c>
      <c r="W56" s="241"/>
      <c r="X56" s="241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254"/>
    </row>
    <row r="57" spans="1:35" customFormat="1">
      <c r="A57" s="166">
        <v>49</v>
      </c>
      <c r="B57" s="163" t="s">
        <v>389</v>
      </c>
      <c r="C57" s="164">
        <v>3706393</v>
      </c>
      <c r="D57" s="164"/>
      <c r="E57" s="164"/>
      <c r="F57" s="164"/>
      <c r="G57" s="164"/>
      <c r="H57" s="164"/>
      <c r="I57" s="164"/>
      <c r="J57" s="164"/>
      <c r="K57" s="164" t="e">
        <f>#REF!</f>
        <v>#REF!</v>
      </c>
      <c r="L57" s="162">
        <v>0</v>
      </c>
      <c r="M57" s="164">
        <v>0</v>
      </c>
      <c r="N57" s="164">
        <v>0</v>
      </c>
      <c r="O57" s="164">
        <v>0</v>
      </c>
      <c r="P57" s="162">
        <v>0</v>
      </c>
      <c r="Q57" s="164">
        <v>0</v>
      </c>
      <c r="R57" s="165">
        <v>0</v>
      </c>
      <c r="S57" s="164">
        <v>0</v>
      </c>
      <c r="T57" s="165">
        <v>0</v>
      </c>
      <c r="U57" s="246">
        <v>0</v>
      </c>
      <c r="V57" s="241">
        <f>C57-'часть 1'!L68</f>
        <v>0</v>
      </c>
      <c r="W57" s="241"/>
      <c r="X57" s="241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254"/>
    </row>
    <row r="58" spans="1:35" customFormat="1">
      <c r="A58" s="166">
        <v>50</v>
      </c>
      <c r="B58" s="163" t="s">
        <v>317</v>
      </c>
      <c r="C58" s="164">
        <v>698585</v>
      </c>
      <c r="D58" s="164"/>
      <c r="E58" s="164"/>
      <c r="F58" s="164"/>
      <c r="G58" s="164"/>
      <c r="H58" s="164"/>
      <c r="I58" s="164"/>
      <c r="J58" s="164"/>
      <c r="K58" s="164">
        <v>698585</v>
      </c>
      <c r="L58" s="162">
        <v>0</v>
      </c>
      <c r="M58" s="164">
        <v>0</v>
      </c>
      <c r="N58" s="167">
        <v>0</v>
      </c>
      <c r="O58" s="164">
        <v>0</v>
      </c>
      <c r="P58" s="162">
        <v>0</v>
      </c>
      <c r="Q58" s="164">
        <v>0</v>
      </c>
      <c r="R58" s="168">
        <v>0</v>
      </c>
      <c r="S58" s="164">
        <v>0</v>
      </c>
      <c r="T58" s="165">
        <v>0</v>
      </c>
      <c r="U58" s="246">
        <v>0</v>
      </c>
      <c r="V58" s="241">
        <f>C58-'часть 1'!L69</f>
        <v>0</v>
      </c>
      <c r="W58" s="241"/>
      <c r="X58" s="241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254"/>
    </row>
    <row r="59" spans="1:35" customFormat="1">
      <c r="A59" s="166">
        <v>51</v>
      </c>
      <c r="B59" s="163" t="s">
        <v>384</v>
      </c>
      <c r="C59" s="164">
        <v>951740</v>
      </c>
      <c r="D59" s="164"/>
      <c r="E59" s="164"/>
      <c r="F59" s="164"/>
      <c r="G59" s="164"/>
      <c r="H59" s="164"/>
      <c r="I59" s="164"/>
      <c r="J59" s="164"/>
      <c r="K59" s="164">
        <v>0</v>
      </c>
      <c r="L59" s="162">
        <v>0</v>
      </c>
      <c r="M59" s="164">
        <v>0</v>
      </c>
      <c r="N59" s="164">
        <v>471.1</v>
      </c>
      <c r="O59" s="164">
        <v>951740</v>
      </c>
      <c r="P59" s="162">
        <v>0</v>
      </c>
      <c r="Q59" s="164">
        <v>0</v>
      </c>
      <c r="R59" s="165">
        <v>0</v>
      </c>
      <c r="S59" s="164">
        <v>0</v>
      </c>
      <c r="T59" s="165">
        <v>0</v>
      </c>
      <c r="U59" s="246">
        <v>0</v>
      </c>
      <c r="V59" s="241">
        <f>C59-'часть 1'!L70</f>
        <v>0</v>
      </c>
      <c r="W59" s="241"/>
      <c r="X59" s="241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254"/>
    </row>
    <row r="60" spans="1:35">
      <c r="A60" s="166">
        <v>52</v>
      </c>
      <c r="B60" s="163" t="s">
        <v>247</v>
      </c>
      <c r="C60" s="164">
        <v>2056139</v>
      </c>
      <c r="D60" s="164"/>
      <c r="E60" s="164"/>
      <c r="F60" s="164"/>
      <c r="G60" s="164"/>
      <c r="H60" s="164"/>
      <c r="I60" s="164"/>
      <c r="J60" s="164"/>
      <c r="K60" s="164">
        <v>0</v>
      </c>
      <c r="L60" s="162">
        <v>0</v>
      </c>
      <c r="M60" s="164">
        <v>0</v>
      </c>
      <c r="N60" s="164">
        <v>1020</v>
      </c>
      <c r="O60" s="164">
        <v>2056139</v>
      </c>
      <c r="P60" s="162">
        <v>0</v>
      </c>
      <c r="Q60" s="164">
        <v>0</v>
      </c>
      <c r="R60" s="168">
        <v>0</v>
      </c>
      <c r="S60" s="164">
        <v>0</v>
      </c>
      <c r="T60" s="165">
        <v>0</v>
      </c>
      <c r="U60" s="246">
        <v>0</v>
      </c>
      <c r="V60" s="241">
        <f>C60-'часть 1'!L71</f>
        <v>0</v>
      </c>
      <c r="W60" s="241"/>
      <c r="X60" s="241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254"/>
    </row>
    <row r="61" spans="1:35">
      <c r="A61" s="166">
        <v>53</v>
      </c>
      <c r="B61" s="163" t="s">
        <v>274</v>
      </c>
      <c r="C61" s="164">
        <v>1321356</v>
      </c>
      <c r="D61" s="164"/>
      <c r="E61" s="164"/>
      <c r="F61" s="164"/>
      <c r="G61" s="164"/>
      <c r="H61" s="164"/>
      <c r="I61" s="164"/>
      <c r="J61" s="164"/>
      <c r="K61" s="164">
        <v>0</v>
      </c>
      <c r="L61" s="162">
        <v>0</v>
      </c>
      <c r="M61" s="164">
        <v>0</v>
      </c>
      <c r="N61" s="164">
        <v>662</v>
      </c>
      <c r="O61" s="167">
        <v>1321356</v>
      </c>
      <c r="P61" s="162">
        <v>0</v>
      </c>
      <c r="Q61" s="164">
        <v>0</v>
      </c>
      <c r="R61" s="165">
        <v>0</v>
      </c>
      <c r="S61" s="164">
        <v>0</v>
      </c>
      <c r="T61" s="165">
        <v>0</v>
      </c>
      <c r="U61" s="246">
        <v>0</v>
      </c>
      <c r="V61" s="241">
        <f>C61-'часть 1'!L72</f>
        <v>0</v>
      </c>
      <c r="W61" s="241"/>
      <c r="X61" s="241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254"/>
    </row>
    <row r="62" spans="1:35" ht="30">
      <c r="A62" s="166">
        <v>54</v>
      </c>
      <c r="B62" s="163" t="s">
        <v>338</v>
      </c>
      <c r="C62" s="164">
        <v>1679278</v>
      </c>
      <c r="D62" s="164"/>
      <c r="E62" s="164"/>
      <c r="F62" s="164"/>
      <c r="G62" s="164"/>
      <c r="H62" s="164"/>
      <c r="I62" s="164"/>
      <c r="J62" s="164"/>
      <c r="K62" s="164">
        <v>355519</v>
      </c>
      <c r="L62" s="162">
        <v>0</v>
      </c>
      <c r="M62" s="164">
        <v>0</v>
      </c>
      <c r="N62" s="164">
        <v>663.3</v>
      </c>
      <c r="O62" s="164">
        <v>1323759</v>
      </c>
      <c r="P62" s="162">
        <v>0</v>
      </c>
      <c r="Q62" s="164">
        <v>0</v>
      </c>
      <c r="R62" s="165">
        <v>0</v>
      </c>
      <c r="S62" s="164">
        <v>0</v>
      </c>
      <c r="T62" s="165">
        <v>0</v>
      </c>
      <c r="U62" s="246">
        <v>0</v>
      </c>
      <c r="V62" s="241">
        <f>C62-'часть 1'!L73</f>
        <v>0</v>
      </c>
      <c r="W62" s="241"/>
      <c r="X62" s="241"/>
      <c r="Y62" s="9"/>
      <c r="Z62" s="9"/>
      <c r="AA62" s="9"/>
      <c r="AB62" s="9"/>
      <c r="AC62" s="9"/>
      <c r="AD62" s="9"/>
      <c r="AE62" s="9"/>
      <c r="AF62" s="9"/>
      <c r="AG62" s="3"/>
      <c r="AH62" s="9"/>
      <c r="AI62" s="254"/>
    </row>
    <row r="63" spans="1:35" s="8" customFormat="1">
      <c r="A63" s="166">
        <v>55</v>
      </c>
      <c r="B63" s="163" t="s">
        <v>272</v>
      </c>
      <c r="C63" s="164">
        <v>1100896</v>
      </c>
      <c r="D63" s="164"/>
      <c r="E63" s="164"/>
      <c r="F63" s="164"/>
      <c r="G63" s="164"/>
      <c r="H63" s="164"/>
      <c r="I63" s="164"/>
      <c r="J63" s="164"/>
      <c r="K63" s="164">
        <v>0</v>
      </c>
      <c r="L63" s="162">
        <v>0</v>
      </c>
      <c r="M63" s="164">
        <v>0</v>
      </c>
      <c r="N63" s="164">
        <v>549</v>
      </c>
      <c r="O63" s="167">
        <v>1100896</v>
      </c>
      <c r="P63" s="162">
        <v>0</v>
      </c>
      <c r="Q63" s="164">
        <v>0</v>
      </c>
      <c r="R63" s="165">
        <v>0</v>
      </c>
      <c r="S63" s="164">
        <v>0</v>
      </c>
      <c r="T63" s="165">
        <v>0</v>
      </c>
      <c r="U63" s="246">
        <v>0</v>
      </c>
      <c r="V63" s="241">
        <f>C63-'часть 1'!L74</f>
        <v>0</v>
      </c>
      <c r="W63" s="241"/>
      <c r="X63" s="241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254"/>
    </row>
    <row r="64" spans="1:35" ht="30">
      <c r="A64" s="166">
        <v>56</v>
      </c>
      <c r="B64" s="163" t="s">
        <v>337</v>
      </c>
      <c r="C64" s="164">
        <v>1729707</v>
      </c>
      <c r="D64" s="164"/>
      <c r="E64" s="164"/>
      <c r="F64" s="164"/>
      <c r="G64" s="164"/>
      <c r="H64" s="164"/>
      <c r="I64" s="164"/>
      <c r="J64" s="164"/>
      <c r="K64" s="164">
        <v>630140</v>
      </c>
      <c r="L64" s="162">
        <v>0</v>
      </c>
      <c r="M64" s="164">
        <v>0</v>
      </c>
      <c r="N64" s="164">
        <v>0</v>
      </c>
      <c r="O64" s="164">
        <v>0</v>
      </c>
      <c r="P64" s="162">
        <v>0</v>
      </c>
      <c r="Q64" s="164">
        <v>0</v>
      </c>
      <c r="R64" s="164">
        <v>760.3</v>
      </c>
      <c r="S64" s="164">
        <v>1099567</v>
      </c>
      <c r="T64" s="165">
        <v>0</v>
      </c>
      <c r="U64" s="246">
        <v>0</v>
      </c>
      <c r="V64" s="241">
        <f>C64-'часть 1'!L75</f>
        <v>0</v>
      </c>
      <c r="W64" s="241"/>
      <c r="X64" s="241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254"/>
    </row>
    <row r="65" spans="1:38" customFormat="1">
      <c r="A65" s="166">
        <v>57</v>
      </c>
      <c r="B65" s="163" t="s">
        <v>257</v>
      </c>
      <c r="C65" s="164">
        <v>451222.57</v>
      </c>
      <c r="D65" s="164"/>
      <c r="E65" s="164"/>
      <c r="F65" s="164"/>
      <c r="G65" s="164"/>
      <c r="H65" s="164"/>
      <c r="I65" s="164"/>
      <c r="J65" s="164"/>
      <c r="K65" s="164">
        <v>451222.57</v>
      </c>
      <c r="L65" s="162">
        <v>0</v>
      </c>
      <c r="M65" s="164">
        <v>0</v>
      </c>
      <c r="N65" s="164">
        <v>0</v>
      </c>
      <c r="O65" s="164">
        <v>0</v>
      </c>
      <c r="P65" s="162">
        <v>0</v>
      </c>
      <c r="Q65" s="164">
        <v>0</v>
      </c>
      <c r="R65" s="165">
        <v>0</v>
      </c>
      <c r="S65" s="164">
        <v>0</v>
      </c>
      <c r="T65" s="165">
        <v>0</v>
      </c>
      <c r="U65" s="246">
        <v>0</v>
      </c>
      <c r="V65" s="241">
        <f>C65-'часть 1'!L76</f>
        <v>0</v>
      </c>
      <c r="W65" s="241"/>
      <c r="X65" s="241"/>
      <c r="Y65" s="9"/>
      <c r="Z65" s="9"/>
      <c r="AA65" s="3"/>
      <c r="AB65" s="9"/>
      <c r="AC65" s="9"/>
      <c r="AD65" s="9"/>
      <c r="AE65" s="9"/>
      <c r="AF65" s="9"/>
      <c r="AG65" s="9"/>
      <c r="AH65" s="9"/>
      <c r="AI65" s="254"/>
    </row>
    <row r="66" spans="1:38" ht="30">
      <c r="A66" s="166">
        <v>58</v>
      </c>
      <c r="B66" s="163" t="s">
        <v>307</v>
      </c>
      <c r="C66" s="164">
        <v>703675.57</v>
      </c>
      <c r="D66" s="164"/>
      <c r="E66" s="164"/>
      <c r="F66" s="164"/>
      <c r="G66" s="164"/>
      <c r="H66" s="164"/>
      <c r="I66" s="164"/>
      <c r="J66" s="164"/>
      <c r="K66" s="164">
        <v>0</v>
      </c>
      <c r="L66" s="162">
        <v>0</v>
      </c>
      <c r="M66" s="164">
        <v>0</v>
      </c>
      <c r="N66" s="164">
        <v>378</v>
      </c>
      <c r="O66" s="164">
        <v>703675.57</v>
      </c>
      <c r="P66" s="162">
        <v>0</v>
      </c>
      <c r="Q66" s="164">
        <v>0</v>
      </c>
      <c r="R66" s="165">
        <v>0</v>
      </c>
      <c r="S66" s="164">
        <v>0</v>
      </c>
      <c r="T66" s="165">
        <v>0</v>
      </c>
      <c r="U66" s="246">
        <v>0</v>
      </c>
      <c r="V66" s="241">
        <f>C66-'часть 1'!L77</f>
        <v>0</v>
      </c>
      <c r="W66" s="241"/>
      <c r="X66" s="241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254"/>
    </row>
    <row r="67" spans="1:38">
      <c r="A67" s="166">
        <v>59</v>
      </c>
      <c r="B67" s="163" t="s">
        <v>268</v>
      </c>
      <c r="C67" s="164">
        <v>1053533.22</v>
      </c>
      <c r="D67" s="164"/>
      <c r="E67" s="164"/>
      <c r="F67" s="164"/>
      <c r="G67" s="164"/>
      <c r="H67" s="164"/>
      <c r="I67" s="164"/>
      <c r="J67" s="164"/>
      <c r="K67" s="164">
        <v>1053533.22</v>
      </c>
      <c r="L67" s="162">
        <v>0</v>
      </c>
      <c r="M67" s="164">
        <v>0</v>
      </c>
      <c r="N67" s="164">
        <v>0</v>
      </c>
      <c r="O67" s="164">
        <v>0</v>
      </c>
      <c r="P67" s="162">
        <v>0</v>
      </c>
      <c r="Q67" s="164">
        <v>0</v>
      </c>
      <c r="R67" s="165">
        <v>0</v>
      </c>
      <c r="S67" s="164">
        <v>0</v>
      </c>
      <c r="T67" s="165">
        <v>0</v>
      </c>
      <c r="U67" s="246">
        <v>0</v>
      </c>
      <c r="V67" s="241">
        <f>C67-'часть 1'!L78</f>
        <v>0</v>
      </c>
      <c r="W67" s="241"/>
      <c r="X67" s="241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254"/>
      <c r="AJ67" s="8"/>
      <c r="AK67" s="8"/>
      <c r="AL67" s="8"/>
    </row>
    <row r="68" spans="1:38">
      <c r="A68" s="166">
        <v>60</v>
      </c>
      <c r="B68" s="163" t="s">
        <v>246</v>
      </c>
      <c r="C68" s="164">
        <v>1253738</v>
      </c>
      <c r="D68" s="164"/>
      <c r="E68" s="164"/>
      <c r="F68" s="164"/>
      <c r="G68" s="164"/>
      <c r="H68" s="164"/>
      <c r="I68" s="164"/>
      <c r="J68" s="164"/>
      <c r="K68" s="164">
        <v>0</v>
      </c>
      <c r="L68" s="162">
        <v>0</v>
      </c>
      <c r="M68" s="164">
        <v>0</v>
      </c>
      <c r="N68" s="164">
        <v>622</v>
      </c>
      <c r="O68" s="164">
        <v>1253738</v>
      </c>
      <c r="P68" s="162">
        <v>0</v>
      </c>
      <c r="Q68" s="164">
        <v>0</v>
      </c>
      <c r="R68" s="168">
        <v>0</v>
      </c>
      <c r="S68" s="164">
        <v>0</v>
      </c>
      <c r="T68" s="165">
        <v>0</v>
      </c>
      <c r="U68" s="246">
        <v>0</v>
      </c>
      <c r="V68" s="241">
        <f>C68-'часть 1'!L79</f>
        <v>0</v>
      </c>
      <c r="W68" s="241"/>
      <c r="X68" s="241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254"/>
    </row>
    <row r="69" spans="1:38" s="8" customFormat="1">
      <c r="A69" s="166">
        <v>61</v>
      </c>
      <c r="B69" s="163" t="s">
        <v>470</v>
      </c>
      <c r="C69" s="164">
        <v>1870046</v>
      </c>
      <c r="D69" s="164"/>
      <c r="E69" s="164"/>
      <c r="F69" s="164"/>
      <c r="G69" s="164"/>
      <c r="H69" s="164"/>
      <c r="I69" s="164"/>
      <c r="J69" s="164"/>
      <c r="K69" s="164">
        <v>0</v>
      </c>
      <c r="L69" s="162">
        <v>1</v>
      </c>
      <c r="M69" s="164">
        <v>1870046</v>
      </c>
      <c r="N69" s="164">
        <v>0</v>
      </c>
      <c r="O69" s="164">
        <v>0</v>
      </c>
      <c r="P69" s="162">
        <v>0</v>
      </c>
      <c r="Q69" s="164">
        <v>0</v>
      </c>
      <c r="R69" s="165">
        <v>0</v>
      </c>
      <c r="S69" s="164">
        <v>0</v>
      </c>
      <c r="T69" s="165">
        <v>0</v>
      </c>
      <c r="U69" s="246">
        <v>0</v>
      </c>
      <c r="V69" s="241">
        <f>C69-'часть 1'!L80</f>
        <v>0</v>
      </c>
      <c r="W69" s="241"/>
      <c r="X69" s="241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254"/>
      <c r="AJ69" s="1"/>
      <c r="AK69" s="1"/>
      <c r="AL69" s="1"/>
    </row>
    <row r="70" spans="1:38">
      <c r="A70" s="166">
        <v>62</v>
      </c>
      <c r="B70" s="163" t="s">
        <v>350</v>
      </c>
      <c r="C70" s="164">
        <v>3720676</v>
      </c>
      <c r="D70" s="164"/>
      <c r="E70" s="164"/>
      <c r="F70" s="164"/>
      <c r="G70" s="164"/>
      <c r="H70" s="164"/>
      <c r="I70" s="164"/>
      <c r="J70" s="164"/>
      <c r="K70" s="164">
        <v>0</v>
      </c>
      <c r="L70" s="162">
        <v>2</v>
      </c>
      <c r="M70" s="164">
        <v>3720676</v>
      </c>
      <c r="N70" s="164">
        <v>0</v>
      </c>
      <c r="O70" s="164">
        <v>0</v>
      </c>
      <c r="P70" s="162">
        <v>0</v>
      </c>
      <c r="Q70" s="164">
        <v>0</v>
      </c>
      <c r="R70" s="165">
        <v>0</v>
      </c>
      <c r="S70" s="164">
        <v>0</v>
      </c>
      <c r="T70" s="165">
        <v>0</v>
      </c>
      <c r="U70" s="246">
        <v>0</v>
      </c>
      <c r="V70" s="241">
        <f>C70-'часть 1'!L81</f>
        <v>0</v>
      </c>
      <c r="W70" s="241"/>
      <c r="X70" s="241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254"/>
    </row>
    <row r="71" spans="1:38">
      <c r="A71" s="166">
        <v>63</v>
      </c>
      <c r="B71" s="163" t="s">
        <v>251</v>
      </c>
      <c r="C71" s="164">
        <v>3687908</v>
      </c>
      <c r="D71" s="164"/>
      <c r="E71" s="164"/>
      <c r="F71" s="164"/>
      <c r="G71" s="164"/>
      <c r="H71" s="164"/>
      <c r="I71" s="164"/>
      <c r="J71" s="164"/>
      <c r="K71" s="164">
        <v>3687908</v>
      </c>
      <c r="L71" s="162">
        <v>0</v>
      </c>
      <c r="M71" s="164">
        <v>0</v>
      </c>
      <c r="N71" s="164">
        <v>0</v>
      </c>
      <c r="O71" s="164">
        <v>0</v>
      </c>
      <c r="P71" s="162">
        <v>0</v>
      </c>
      <c r="Q71" s="164">
        <v>0</v>
      </c>
      <c r="R71" s="168">
        <v>0</v>
      </c>
      <c r="S71" s="164">
        <v>0</v>
      </c>
      <c r="T71" s="165">
        <v>0</v>
      </c>
      <c r="U71" s="246">
        <v>0</v>
      </c>
      <c r="V71" s="241">
        <f>C71-'часть 1'!L82</f>
        <v>0</v>
      </c>
      <c r="W71" s="241"/>
      <c r="X71" s="241"/>
      <c r="Y71" s="9"/>
      <c r="Z71" s="9"/>
      <c r="AA71" s="9"/>
      <c r="AB71" s="9"/>
      <c r="AC71" s="9"/>
      <c r="AD71" s="9"/>
      <c r="AE71" s="49"/>
      <c r="AF71" s="9"/>
      <c r="AG71" s="9"/>
      <c r="AH71" s="9"/>
      <c r="AI71" s="254"/>
    </row>
    <row r="72" spans="1:38">
      <c r="A72" s="166">
        <v>64</v>
      </c>
      <c r="B72" s="163" t="s">
        <v>226</v>
      </c>
      <c r="C72" s="164">
        <v>1760967.35</v>
      </c>
      <c r="D72" s="164"/>
      <c r="E72" s="164"/>
      <c r="F72" s="164"/>
      <c r="G72" s="164"/>
      <c r="H72" s="164"/>
      <c r="I72" s="164"/>
      <c r="J72" s="164"/>
      <c r="K72" s="164">
        <v>0</v>
      </c>
      <c r="L72" s="162">
        <v>0</v>
      </c>
      <c r="M72" s="164">
        <v>0</v>
      </c>
      <c r="N72" s="164">
        <v>881</v>
      </c>
      <c r="O72" s="164">
        <v>1760967.35</v>
      </c>
      <c r="P72" s="162">
        <v>0</v>
      </c>
      <c r="Q72" s="164">
        <v>0</v>
      </c>
      <c r="R72" s="168">
        <v>0</v>
      </c>
      <c r="S72" s="164">
        <v>0</v>
      </c>
      <c r="T72" s="165">
        <v>0</v>
      </c>
      <c r="U72" s="246">
        <v>0</v>
      </c>
      <c r="V72" s="241">
        <f>C72-'часть 1'!L83</f>
        <v>0</v>
      </c>
      <c r="W72" s="241"/>
      <c r="X72" s="241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254"/>
    </row>
    <row r="73" spans="1:38">
      <c r="A73" s="166">
        <v>65</v>
      </c>
      <c r="B73" s="163" t="s">
        <v>271</v>
      </c>
      <c r="C73" s="164">
        <v>881947</v>
      </c>
      <c r="D73" s="164"/>
      <c r="E73" s="164"/>
      <c r="F73" s="164"/>
      <c r="G73" s="164"/>
      <c r="H73" s="164"/>
      <c r="I73" s="164"/>
      <c r="J73" s="164"/>
      <c r="K73" s="164">
        <v>881947</v>
      </c>
      <c r="L73" s="162">
        <v>0</v>
      </c>
      <c r="M73" s="164">
        <v>0</v>
      </c>
      <c r="N73" s="164">
        <v>0</v>
      </c>
      <c r="O73" s="164">
        <v>0</v>
      </c>
      <c r="P73" s="162">
        <v>0</v>
      </c>
      <c r="Q73" s="164">
        <v>0</v>
      </c>
      <c r="R73" s="165">
        <v>0</v>
      </c>
      <c r="S73" s="164">
        <v>0</v>
      </c>
      <c r="T73" s="165">
        <v>0</v>
      </c>
      <c r="U73" s="246">
        <v>0</v>
      </c>
      <c r="V73" s="241">
        <f>C73-'часть 1'!L84</f>
        <v>0</v>
      </c>
      <c r="W73" s="241"/>
      <c r="X73" s="241"/>
      <c r="Y73" s="3"/>
      <c r="Z73" s="9"/>
      <c r="AA73" s="9"/>
      <c r="AB73" s="9"/>
      <c r="AC73" s="9"/>
      <c r="AD73" s="9"/>
      <c r="AE73" s="9"/>
      <c r="AF73" s="9"/>
      <c r="AG73" s="9"/>
      <c r="AH73" s="9"/>
      <c r="AI73" s="254"/>
    </row>
    <row r="74" spans="1:38">
      <c r="A74" s="166">
        <v>66</v>
      </c>
      <c r="B74" s="163" t="s">
        <v>287</v>
      </c>
      <c r="C74" s="164">
        <v>517739</v>
      </c>
      <c r="D74" s="164"/>
      <c r="E74" s="164"/>
      <c r="F74" s="164"/>
      <c r="G74" s="164"/>
      <c r="H74" s="164"/>
      <c r="I74" s="164"/>
      <c r="J74" s="164"/>
      <c r="K74" s="164">
        <v>0</v>
      </c>
      <c r="L74" s="162">
        <v>0</v>
      </c>
      <c r="M74" s="164">
        <v>0</v>
      </c>
      <c r="N74" s="164">
        <v>252</v>
      </c>
      <c r="O74" s="167">
        <v>517739</v>
      </c>
      <c r="P74" s="162">
        <v>0</v>
      </c>
      <c r="Q74" s="164">
        <v>0</v>
      </c>
      <c r="R74" s="165">
        <v>0</v>
      </c>
      <c r="S74" s="164">
        <v>0</v>
      </c>
      <c r="T74" s="165">
        <v>0</v>
      </c>
      <c r="U74" s="246">
        <v>0</v>
      </c>
      <c r="V74" s="241">
        <f>C74-'часть 1'!L85</f>
        <v>0</v>
      </c>
      <c r="W74" s="241"/>
      <c r="X74" s="241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254"/>
    </row>
    <row r="75" spans="1:38">
      <c r="A75" s="166">
        <v>67</v>
      </c>
      <c r="B75" s="163" t="s">
        <v>289</v>
      </c>
      <c r="C75" s="164">
        <v>1728895</v>
      </c>
      <c r="D75" s="164"/>
      <c r="E75" s="164"/>
      <c r="F75" s="164"/>
      <c r="G75" s="164"/>
      <c r="H75" s="164"/>
      <c r="I75" s="164"/>
      <c r="J75" s="164"/>
      <c r="K75" s="164">
        <v>0</v>
      </c>
      <c r="L75" s="162">
        <v>0</v>
      </c>
      <c r="M75" s="164">
        <v>0</v>
      </c>
      <c r="N75" s="164">
        <v>873.06</v>
      </c>
      <c r="O75" s="164">
        <v>1728895</v>
      </c>
      <c r="P75" s="169">
        <v>0</v>
      </c>
      <c r="Q75" s="164">
        <v>0</v>
      </c>
      <c r="R75" s="168">
        <v>0</v>
      </c>
      <c r="S75" s="164">
        <v>0</v>
      </c>
      <c r="T75" s="165">
        <v>0</v>
      </c>
      <c r="U75" s="246">
        <v>0</v>
      </c>
      <c r="V75" s="241">
        <f>C75-'часть 1'!L86</f>
        <v>0</v>
      </c>
      <c r="W75" s="241"/>
      <c r="X75" s="241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254"/>
    </row>
    <row r="76" spans="1:38">
      <c r="A76" s="166">
        <v>68</v>
      </c>
      <c r="B76" s="163" t="s">
        <v>259</v>
      </c>
      <c r="C76" s="164">
        <v>682529</v>
      </c>
      <c r="D76" s="164"/>
      <c r="E76" s="164"/>
      <c r="F76" s="164"/>
      <c r="G76" s="164"/>
      <c r="H76" s="164"/>
      <c r="I76" s="164"/>
      <c r="J76" s="164"/>
      <c r="K76" s="164">
        <v>0</v>
      </c>
      <c r="L76" s="162">
        <v>0</v>
      </c>
      <c r="M76" s="164">
        <v>0</v>
      </c>
      <c r="N76" s="164">
        <v>335.6</v>
      </c>
      <c r="O76" s="164">
        <v>682529</v>
      </c>
      <c r="P76" s="162">
        <v>0</v>
      </c>
      <c r="Q76" s="164">
        <v>0</v>
      </c>
      <c r="R76" s="165">
        <v>0</v>
      </c>
      <c r="S76" s="164">
        <v>0</v>
      </c>
      <c r="T76" s="165">
        <v>0</v>
      </c>
      <c r="U76" s="246">
        <v>0</v>
      </c>
      <c r="V76" s="241">
        <f>C76-'часть 1'!L87</f>
        <v>0</v>
      </c>
      <c r="W76" s="241"/>
      <c r="X76" s="241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254"/>
    </row>
    <row r="77" spans="1:38">
      <c r="A77" s="166">
        <v>69</v>
      </c>
      <c r="B77" s="163" t="s">
        <v>291</v>
      </c>
      <c r="C77" s="164">
        <v>582157</v>
      </c>
      <c r="D77" s="164"/>
      <c r="E77" s="164"/>
      <c r="F77" s="164"/>
      <c r="G77" s="164"/>
      <c r="H77" s="164"/>
      <c r="I77" s="164"/>
      <c r="J77" s="164"/>
      <c r="K77" s="164">
        <v>0</v>
      </c>
      <c r="L77" s="162">
        <v>0</v>
      </c>
      <c r="M77" s="164">
        <v>0</v>
      </c>
      <c r="N77" s="164">
        <v>285</v>
      </c>
      <c r="O77" s="164">
        <v>582157</v>
      </c>
      <c r="P77" s="162">
        <v>0</v>
      </c>
      <c r="Q77" s="164">
        <v>0</v>
      </c>
      <c r="R77" s="168">
        <v>0</v>
      </c>
      <c r="S77" s="164">
        <v>0</v>
      </c>
      <c r="T77" s="165">
        <v>0</v>
      </c>
      <c r="U77" s="246">
        <v>0</v>
      </c>
      <c r="V77" s="241">
        <f>C77-'часть 1'!L88</f>
        <v>0</v>
      </c>
      <c r="W77" s="241"/>
      <c r="X77" s="241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254"/>
    </row>
    <row r="78" spans="1:38">
      <c r="A78" s="166">
        <v>70</v>
      </c>
      <c r="B78" s="163" t="s">
        <v>224</v>
      </c>
      <c r="C78" s="164">
        <v>701704</v>
      </c>
      <c r="D78" s="164"/>
      <c r="E78" s="164"/>
      <c r="F78" s="164"/>
      <c r="G78" s="164"/>
      <c r="H78" s="164"/>
      <c r="I78" s="164"/>
      <c r="J78" s="164"/>
      <c r="K78" s="164">
        <v>701704</v>
      </c>
      <c r="L78" s="162">
        <v>0</v>
      </c>
      <c r="M78" s="164">
        <v>0</v>
      </c>
      <c r="N78" s="167">
        <v>0</v>
      </c>
      <c r="O78" s="164">
        <v>0</v>
      </c>
      <c r="P78" s="162">
        <v>0</v>
      </c>
      <c r="Q78" s="164">
        <v>0</v>
      </c>
      <c r="R78" s="168">
        <v>0</v>
      </c>
      <c r="S78" s="164">
        <v>0</v>
      </c>
      <c r="T78" s="165">
        <v>0</v>
      </c>
      <c r="U78" s="246">
        <v>0</v>
      </c>
      <c r="V78" s="241">
        <f>C78-'часть 1'!L89</f>
        <v>0</v>
      </c>
      <c r="W78" s="241"/>
      <c r="X78" s="241"/>
      <c r="Y78" s="3"/>
      <c r="Z78" s="9"/>
      <c r="AA78" s="9"/>
      <c r="AB78" s="9"/>
      <c r="AC78" s="9"/>
      <c r="AD78" s="9"/>
      <c r="AE78" s="9"/>
      <c r="AF78" s="9"/>
      <c r="AG78" s="9"/>
      <c r="AH78" s="9"/>
      <c r="AI78" s="254"/>
    </row>
    <row r="79" spans="1:38">
      <c r="A79" s="166">
        <v>71</v>
      </c>
      <c r="B79" s="163" t="s">
        <v>261</v>
      </c>
      <c r="C79" s="164">
        <v>1969149</v>
      </c>
      <c r="D79" s="164"/>
      <c r="E79" s="164"/>
      <c r="F79" s="164"/>
      <c r="G79" s="164"/>
      <c r="H79" s="164"/>
      <c r="I79" s="164"/>
      <c r="J79" s="164"/>
      <c r="K79" s="164">
        <v>0</v>
      </c>
      <c r="L79" s="162">
        <v>0</v>
      </c>
      <c r="M79" s="164">
        <v>0</v>
      </c>
      <c r="N79" s="164">
        <v>995.8</v>
      </c>
      <c r="O79" s="164">
        <v>1969149</v>
      </c>
      <c r="P79" s="162">
        <v>0</v>
      </c>
      <c r="Q79" s="164">
        <v>0</v>
      </c>
      <c r="R79" s="165">
        <v>0</v>
      </c>
      <c r="S79" s="164">
        <v>0</v>
      </c>
      <c r="T79" s="165">
        <v>0</v>
      </c>
      <c r="U79" s="246">
        <v>0</v>
      </c>
      <c r="V79" s="241">
        <f>C79-'часть 1'!L90</f>
        <v>0</v>
      </c>
      <c r="W79" s="241"/>
      <c r="X79" s="241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254"/>
    </row>
    <row r="80" spans="1:38">
      <c r="A80" s="166">
        <v>72</v>
      </c>
      <c r="B80" s="163" t="s">
        <v>239</v>
      </c>
      <c r="C80" s="164">
        <v>1023088</v>
      </c>
      <c r="D80" s="164"/>
      <c r="E80" s="164"/>
      <c r="F80" s="164"/>
      <c r="G80" s="164"/>
      <c r="H80" s="164"/>
      <c r="I80" s="164"/>
      <c r="J80" s="164"/>
      <c r="K80" s="164">
        <v>0</v>
      </c>
      <c r="L80" s="162">
        <v>0</v>
      </c>
      <c r="M80" s="164">
        <v>0</v>
      </c>
      <c r="N80" s="164">
        <v>0</v>
      </c>
      <c r="O80" s="164">
        <v>0</v>
      </c>
      <c r="P80" s="162">
        <v>0</v>
      </c>
      <c r="Q80" s="164">
        <v>0</v>
      </c>
      <c r="R80" s="164">
        <v>694</v>
      </c>
      <c r="S80" s="167">
        <v>1023088</v>
      </c>
      <c r="T80" s="165">
        <v>0</v>
      </c>
      <c r="U80" s="246">
        <v>0</v>
      </c>
      <c r="V80" s="241">
        <f>C80-'часть 1'!L91</f>
        <v>0</v>
      </c>
      <c r="W80" s="241"/>
      <c r="X80" s="241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254"/>
    </row>
    <row r="81" spans="1:35">
      <c r="A81" s="166">
        <v>73</v>
      </c>
      <c r="B81" s="163" t="s">
        <v>336</v>
      </c>
      <c r="C81" s="164">
        <v>3334570</v>
      </c>
      <c r="D81" s="164"/>
      <c r="E81" s="164"/>
      <c r="F81" s="164"/>
      <c r="G81" s="164"/>
      <c r="H81" s="164"/>
      <c r="I81" s="164"/>
      <c r="J81" s="164"/>
      <c r="K81" s="164" t="e">
        <f>#REF!</f>
        <v>#REF!</v>
      </c>
      <c r="L81" s="162">
        <v>0</v>
      </c>
      <c r="M81" s="164">
        <v>0</v>
      </c>
      <c r="N81" s="167">
        <v>0</v>
      </c>
      <c r="O81" s="164">
        <v>0</v>
      </c>
      <c r="P81" s="162">
        <v>0</v>
      </c>
      <c r="Q81" s="164">
        <v>0</v>
      </c>
      <c r="R81" s="165">
        <v>0</v>
      </c>
      <c r="S81" s="164">
        <v>0</v>
      </c>
      <c r="T81" s="165">
        <v>0</v>
      </c>
      <c r="U81" s="246">
        <v>0</v>
      </c>
      <c r="V81" s="241">
        <f>C81-'часть 1'!L92</f>
        <v>0</v>
      </c>
      <c r="W81" s="241"/>
      <c r="X81" s="241"/>
      <c r="Y81" s="9"/>
      <c r="Z81" s="9"/>
      <c r="AA81" s="9"/>
      <c r="AB81" s="9"/>
      <c r="AC81" s="9"/>
      <c r="AD81" s="9"/>
      <c r="AE81" s="12"/>
      <c r="AF81" s="9"/>
      <c r="AG81" s="9"/>
      <c r="AH81" s="9"/>
      <c r="AI81" s="254"/>
    </row>
    <row r="82" spans="1:35">
      <c r="A82" s="166">
        <v>74</v>
      </c>
      <c r="B82" s="163" t="s">
        <v>306</v>
      </c>
      <c r="C82" s="164">
        <v>1127374.33</v>
      </c>
      <c r="D82" s="164"/>
      <c r="E82" s="164"/>
      <c r="F82" s="164"/>
      <c r="G82" s="164"/>
      <c r="H82" s="164"/>
      <c r="I82" s="164"/>
      <c r="J82" s="164"/>
      <c r="K82" s="164">
        <v>1127374.33</v>
      </c>
      <c r="L82" s="162">
        <v>0</v>
      </c>
      <c r="M82" s="164">
        <v>0</v>
      </c>
      <c r="N82" s="164">
        <v>0</v>
      </c>
      <c r="O82" s="164">
        <v>0</v>
      </c>
      <c r="P82" s="162">
        <v>0</v>
      </c>
      <c r="Q82" s="164">
        <v>0</v>
      </c>
      <c r="R82" s="165">
        <v>0</v>
      </c>
      <c r="S82" s="164">
        <v>0</v>
      </c>
      <c r="T82" s="165">
        <v>0</v>
      </c>
      <c r="U82" s="246">
        <v>0</v>
      </c>
      <c r="V82" s="241">
        <f>C82-'часть 1'!L93</f>
        <v>0</v>
      </c>
      <c r="W82" s="241"/>
      <c r="X82" s="241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254"/>
    </row>
    <row r="83" spans="1:35">
      <c r="A83" s="166">
        <v>75</v>
      </c>
      <c r="B83" s="163" t="s">
        <v>234</v>
      </c>
      <c r="C83" s="164">
        <v>1161456</v>
      </c>
      <c r="D83" s="164"/>
      <c r="E83" s="164"/>
      <c r="F83" s="164"/>
      <c r="G83" s="164"/>
      <c r="H83" s="164"/>
      <c r="I83" s="164"/>
      <c r="J83" s="164"/>
      <c r="K83" s="164">
        <v>1161456</v>
      </c>
      <c r="L83" s="162">
        <v>0</v>
      </c>
      <c r="M83" s="164">
        <v>0</v>
      </c>
      <c r="N83" s="164">
        <v>0</v>
      </c>
      <c r="O83" s="164">
        <v>0</v>
      </c>
      <c r="P83" s="162">
        <v>0</v>
      </c>
      <c r="Q83" s="164">
        <v>0</v>
      </c>
      <c r="R83" s="165">
        <v>0</v>
      </c>
      <c r="S83" s="164">
        <v>0</v>
      </c>
      <c r="T83" s="165">
        <v>0</v>
      </c>
      <c r="U83" s="246">
        <v>0</v>
      </c>
      <c r="V83" s="241">
        <f>C83-'часть 1'!L94</f>
        <v>0</v>
      </c>
      <c r="W83" s="241"/>
      <c r="X83" s="241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254"/>
    </row>
    <row r="84" spans="1:35">
      <c r="A84" s="166">
        <v>76</v>
      </c>
      <c r="B84" s="163" t="s">
        <v>277</v>
      </c>
      <c r="C84" s="164">
        <v>1197250.23</v>
      </c>
      <c r="D84" s="164"/>
      <c r="E84" s="164"/>
      <c r="F84" s="164"/>
      <c r="G84" s="164"/>
      <c r="H84" s="164"/>
      <c r="I84" s="164"/>
      <c r="J84" s="164"/>
      <c r="K84" s="164">
        <v>1197250.23</v>
      </c>
      <c r="L84" s="162">
        <v>0</v>
      </c>
      <c r="M84" s="164">
        <v>0</v>
      </c>
      <c r="N84" s="167">
        <v>0</v>
      </c>
      <c r="O84" s="164">
        <v>0</v>
      </c>
      <c r="P84" s="162">
        <v>0</v>
      </c>
      <c r="Q84" s="164">
        <v>0</v>
      </c>
      <c r="R84" s="165">
        <v>0</v>
      </c>
      <c r="S84" s="164">
        <v>0</v>
      </c>
      <c r="T84" s="165">
        <v>0</v>
      </c>
      <c r="U84" s="246">
        <v>0</v>
      </c>
      <c r="V84" s="241">
        <f>C84-'часть 1'!L95</f>
        <v>0</v>
      </c>
      <c r="W84" s="241"/>
      <c r="X84" s="241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254"/>
    </row>
    <row r="85" spans="1:35">
      <c r="A85" s="166">
        <v>77</v>
      </c>
      <c r="B85" s="163" t="s">
        <v>303</v>
      </c>
      <c r="C85" s="164">
        <v>2784233</v>
      </c>
      <c r="D85" s="164"/>
      <c r="E85" s="164"/>
      <c r="F85" s="164"/>
      <c r="G85" s="164"/>
      <c r="H85" s="164"/>
      <c r="I85" s="164"/>
      <c r="J85" s="164"/>
      <c r="K85" s="164">
        <v>0</v>
      </c>
      <c r="L85" s="162">
        <v>0</v>
      </c>
      <c r="M85" s="164">
        <v>0</v>
      </c>
      <c r="N85" s="164">
        <v>1391</v>
      </c>
      <c r="O85" s="164">
        <v>2784233</v>
      </c>
      <c r="P85" s="162">
        <v>0</v>
      </c>
      <c r="Q85" s="164">
        <v>0</v>
      </c>
      <c r="R85" s="165">
        <v>0</v>
      </c>
      <c r="S85" s="164">
        <v>0</v>
      </c>
      <c r="T85" s="165">
        <v>0</v>
      </c>
      <c r="U85" s="246">
        <v>0</v>
      </c>
      <c r="V85" s="241">
        <f>C85-'часть 1'!L96</f>
        <v>0</v>
      </c>
      <c r="W85" s="241"/>
      <c r="X85" s="241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254"/>
    </row>
    <row r="86" spans="1:35">
      <c r="A86" s="166">
        <v>78</v>
      </c>
      <c r="B86" s="163" t="s">
        <v>293</v>
      </c>
      <c r="C86" s="164">
        <v>2369961</v>
      </c>
      <c r="D86" s="164"/>
      <c r="E86" s="164"/>
      <c r="F86" s="164"/>
      <c r="G86" s="164"/>
      <c r="H86" s="164"/>
      <c r="I86" s="164"/>
      <c r="J86" s="164"/>
      <c r="K86" s="164">
        <v>2369961</v>
      </c>
      <c r="L86" s="162">
        <v>0</v>
      </c>
      <c r="M86" s="164">
        <v>0</v>
      </c>
      <c r="N86" s="164">
        <v>0</v>
      </c>
      <c r="O86" s="164">
        <v>0</v>
      </c>
      <c r="P86" s="162">
        <v>0</v>
      </c>
      <c r="Q86" s="164">
        <v>0</v>
      </c>
      <c r="R86" s="168">
        <v>0</v>
      </c>
      <c r="S86" s="164">
        <v>0</v>
      </c>
      <c r="T86" s="165">
        <v>0</v>
      </c>
      <c r="U86" s="246">
        <v>0</v>
      </c>
      <c r="V86" s="241">
        <f>C86-'часть 1'!L97</f>
        <v>0</v>
      </c>
      <c r="W86" s="241"/>
      <c r="X86" s="241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254"/>
    </row>
    <row r="87" spans="1:35">
      <c r="A87" s="166">
        <v>79</v>
      </c>
      <c r="B87" s="163" t="s">
        <v>463</v>
      </c>
      <c r="C87" s="164">
        <v>672819</v>
      </c>
      <c r="D87" s="164"/>
      <c r="E87" s="164"/>
      <c r="F87" s="164"/>
      <c r="G87" s="164"/>
      <c r="H87" s="164"/>
      <c r="I87" s="164"/>
      <c r="J87" s="164"/>
      <c r="K87" s="164">
        <v>0</v>
      </c>
      <c r="L87" s="162">
        <v>0</v>
      </c>
      <c r="M87" s="164">
        <v>0</v>
      </c>
      <c r="N87" s="164">
        <v>331.4</v>
      </c>
      <c r="O87" s="164">
        <v>672819</v>
      </c>
      <c r="P87" s="162">
        <v>0</v>
      </c>
      <c r="Q87" s="164">
        <v>0</v>
      </c>
      <c r="R87" s="168">
        <v>0</v>
      </c>
      <c r="S87" s="164">
        <v>0</v>
      </c>
      <c r="T87" s="165">
        <v>0</v>
      </c>
      <c r="U87" s="246">
        <v>0</v>
      </c>
      <c r="V87" s="241">
        <f>C87-'часть 1'!L98</f>
        <v>0</v>
      </c>
      <c r="W87" s="241"/>
      <c r="X87" s="241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254"/>
    </row>
    <row r="88" spans="1:35">
      <c r="A88" s="166">
        <v>80</v>
      </c>
      <c r="B88" s="163" t="s">
        <v>340</v>
      </c>
      <c r="C88" s="164">
        <v>1651491</v>
      </c>
      <c r="D88" s="164"/>
      <c r="E88" s="164"/>
      <c r="F88" s="164"/>
      <c r="G88" s="164"/>
      <c r="H88" s="164"/>
      <c r="I88" s="164"/>
      <c r="J88" s="164"/>
      <c r="K88" s="164">
        <v>1651491</v>
      </c>
      <c r="L88" s="162">
        <v>0</v>
      </c>
      <c r="M88" s="164">
        <v>0</v>
      </c>
      <c r="N88" s="164">
        <v>0</v>
      </c>
      <c r="O88" s="164">
        <v>0</v>
      </c>
      <c r="P88" s="162">
        <v>0</v>
      </c>
      <c r="Q88" s="164">
        <v>0</v>
      </c>
      <c r="R88" s="165">
        <v>0</v>
      </c>
      <c r="S88" s="164">
        <v>0</v>
      </c>
      <c r="T88" s="165">
        <v>0</v>
      </c>
      <c r="U88" s="246">
        <v>0</v>
      </c>
      <c r="V88" s="241">
        <f>C88-'часть 1'!L99</f>
        <v>0</v>
      </c>
      <c r="W88" s="241"/>
      <c r="X88" s="241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254"/>
    </row>
    <row r="89" spans="1:35">
      <c r="A89" s="166">
        <v>81</v>
      </c>
      <c r="B89" s="163" t="s">
        <v>254</v>
      </c>
      <c r="C89" s="164">
        <v>1432926</v>
      </c>
      <c r="D89" s="164"/>
      <c r="E89" s="164"/>
      <c r="F89" s="164"/>
      <c r="G89" s="164"/>
      <c r="H89" s="164"/>
      <c r="I89" s="164"/>
      <c r="J89" s="164"/>
      <c r="K89" s="164">
        <v>0</v>
      </c>
      <c r="L89" s="162">
        <v>0</v>
      </c>
      <c r="M89" s="164">
        <v>0</v>
      </c>
      <c r="N89" s="164">
        <v>710.73</v>
      </c>
      <c r="O89" s="164">
        <v>1432926</v>
      </c>
      <c r="P89" s="162">
        <v>0</v>
      </c>
      <c r="Q89" s="164">
        <v>0</v>
      </c>
      <c r="R89" s="168">
        <v>0</v>
      </c>
      <c r="S89" s="164">
        <v>0</v>
      </c>
      <c r="T89" s="165">
        <v>0</v>
      </c>
      <c r="U89" s="246">
        <v>0</v>
      </c>
      <c r="V89" s="241">
        <f>C89-'часть 1'!L100</f>
        <v>0</v>
      </c>
      <c r="W89" s="241"/>
      <c r="X89" s="241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254"/>
    </row>
    <row r="90" spans="1:35">
      <c r="A90" s="166">
        <v>82</v>
      </c>
      <c r="B90" s="163" t="s">
        <v>343</v>
      </c>
      <c r="C90" s="164">
        <v>1137886</v>
      </c>
      <c r="D90" s="164"/>
      <c r="E90" s="164"/>
      <c r="F90" s="164"/>
      <c r="G90" s="164"/>
      <c r="H90" s="164"/>
      <c r="I90" s="164"/>
      <c r="J90" s="164"/>
      <c r="K90" s="164">
        <v>0</v>
      </c>
      <c r="L90" s="162">
        <v>0</v>
      </c>
      <c r="M90" s="164">
        <v>0</v>
      </c>
      <c r="N90" s="164">
        <v>0</v>
      </c>
      <c r="O90" s="164">
        <v>0</v>
      </c>
      <c r="P90" s="162">
        <v>0</v>
      </c>
      <c r="Q90" s="164">
        <v>0</v>
      </c>
      <c r="R90" s="167">
        <v>785.5</v>
      </c>
      <c r="S90" s="164">
        <v>1137886</v>
      </c>
      <c r="T90" s="165">
        <v>0</v>
      </c>
      <c r="U90" s="246">
        <v>0</v>
      </c>
      <c r="V90" s="241">
        <f>C90-'часть 1'!L101</f>
        <v>0</v>
      </c>
      <c r="W90" s="241"/>
      <c r="X90" s="241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254"/>
    </row>
    <row r="91" spans="1:35">
      <c r="A91" s="166">
        <v>83</v>
      </c>
      <c r="B91" s="163" t="s">
        <v>305</v>
      </c>
      <c r="C91" s="164">
        <v>1814838</v>
      </c>
      <c r="D91" s="164"/>
      <c r="E91" s="164"/>
      <c r="F91" s="164"/>
      <c r="G91" s="164"/>
      <c r="H91" s="164"/>
      <c r="I91" s="164"/>
      <c r="J91" s="164"/>
      <c r="K91" s="164">
        <v>0</v>
      </c>
      <c r="L91" s="162">
        <v>0</v>
      </c>
      <c r="M91" s="164">
        <v>0</v>
      </c>
      <c r="N91" s="164">
        <v>917</v>
      </c>
      <c r="O91" s="164">
        <v>1814838</v>
      </c>
      <c r="P91" s="162">
        <v>0</v>
      </c>
      <c r="Q91" s="164">
        <v>0</v>
      </c>
      <c r="R91" s="165">
        <v>0</v>
      </c>
      <c r="S91" s="164">
        <v>0</v>
      </c>
      <c r="T91" s="165">
        <v>0</v>
      </c>
      <c r="U91" s="246">
        <v>0</v>
      </c>
      <c r="V91" s="241">
        <f>C91-'часть 1'!L102</f>
        <v>0</v>
      </c>
      <c r="W91" s="241"/>
      <c r="X91" s="241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254"/>
    </row>
    <row r="92" spans="1:35">
      <c r="A92" s="166">
        <v>84</v>
      </c>
      <c r="B92" s="163" t="s">
        <v>345</v>
      </c>
      <c r="C92" s="164">
        <v>1544359.54</v>
      </c>
      <c r="D92" s="164"/>
      <c r="E92" s="164"/>
      <c r="F92" s="164"/>
      <c r="G92" s="164"/>
      <c r="H92" s="164"/>
      <c r="I92" s="164"/>
      <c r="J92" s="164"/>
      <c r="K92" s="164">
        <v>1544359.54</v>
      </c>
      <c r="L92" s="162">
        <v>0</v>
      </c>
      <c r="M92" s="164">
        <v>0</v>
      </c>
      <c r="N92" s="164">
        <v>0</v>
      </c>
      <c r="O92" s="164">
        <v>0</v>
      </c>
      <c r="P92" s="162">
        <v>0</v>
      </c>
      <c r="Q92" s="164">
        <v>0</v>
      </c>
      <c r="R92" s="165">
        <v>0</v>
      </c>
      <c r="S92" s="164">
        <v>0</v>
      </c>
      <c r="T92" s="165">
        <v>0</v>
      </c>
      <c r="U92" s="246">
        <v>0</v>
      </c>
      <c r="V92" s="241">
        <f>C92-'часть 1'!L103</f>
        <v>0</v>
      </c>
      <c r="W92" s="241"/>
      <c r="X92" s="241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255"/>
    </row>
    <row r="93" spans="1:35" ht="30">
      <c r="A93" s="166">
        <v>85</v>
      </c>
      <c r="B93" s="163" t="s">
        <v>454</v>
      </c>
      <c r="C93" s="164">
        <v>1787034</v>
      </c>
      <c r="D93" s="164"/>
      <c r="E93" s="164"/>
      <c r="F93" s="164"/>
      <c r="G93" s="164"/>
      <c r="H93" s="164"/>
      <c r="I93" s="164"/>
      <c r="J93" s="164"/>
      <c r="K93" s="164">
        <v>0</v>
      </c>
      <c r="L93" s="162">
        <v>1</v>
      </c>
      <c r="M93" s="164">
        <v>1787034</v>
      </c>
      <c r="N93" s="164">
        <v>0</v>
      </c>
      <c r="O93" s="164">
        <v>0</v>
      </c>
      <c r="P93" s="162">
        <v>0</v>
      </c>
      <c r="Q93" s="164">
        <v>0</v>
      </c>
      <c r="R93" s="168">
        <v>0</v>
      </c>
      <c r="S93" s="164">
        <v>0</v>
      </c>
      <c r="T93" s="165">
        <v>0</v>
      </c>
      <c r="U93" s="246">
        <v>0</v>
      </c>
      <c r="V93" s="241">
        <f>C93-'часть 1'!L104</f>
        <v>0</v>
      </c>
      <c r="W93" s="241"/>
      <c r="X93" s="241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254"/>
    </row>
    <row r="94" spans="1:35" ht="30">
      <c r="A94" s="166">
        <v>86</v>
      </c>
      <c r="B94" s="163" t="s">
        <v>455</v>
      </c>
      <c r="C94" s="164">
        <v>437998.57</v>
      </c>
      <c r="D94" s="164"/>
      <c r="E94" s="164"/>
      <c r="F94" s="164"/>
      <c r="G94" s="164"/>
      <c r="H94" s="164"/>
      <c r="I94" s="164"/>
      <c r="J94" s="164"/>
      <c r="K94" s="164">
        <v>437998.57</v>
      </c>
      <c r="L94" s="162">
        <v>0</v>
      </c>
      <c r="M94" s="164">
        <v>0</v>
      </c>
      <c r="N94" s="167">
        <v>0</v>
      </c>
      <c r="O94" s="164">
        <v>0</v>
      </c>
      <c r="P94" s="162">
        <v>0</v>
      </c>
      <c r="Q94" s="164">
        <v>0</v>
      </c>
      <c r="R94" s="168">
        <v>0</v>
      </c>
      <c r="S94" s="164">
        <v>0</v>
      </c>
      <c r="T94" s="165">
        <v>0</v>
      </c>
      <c r="U94" s="246">
        <v>0</v>
      </c>
      <c r="V94" s="241">
        <f>C94-'часть 1'!L105</f>
        <v>0</v>
      </c>
      <c r="W94" s="241"/>
      <c r="X94" s="241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254"/>
    </row>
    <row r="95" spans="1:35" ht="30">
      <c r="A95" s="166">
        <v>87</v>
      </c>
      <c r="B95" s="163" t="s">
        <v>456</v>
      </c>
      <c r="C95" s="164">
        <v>1116228</v>
      </c>
      <c r="D95" s="164"/>
      <c r="E95" s="164"/>
      <c r="F95" s="164"/>
      <c r="G95" s="164"/>
      <c r="H95" s="164"/>
      <c r="I95" s="164"/>
      <c r="J95" s="164"/>
      <c r="K95" s="164">
        <v>0</v>
      </c>
      <c r="L95" s="162">
        <v>0</v>
      </c>
      <c r="M95" s="164">
        <v>0</v>
      </c>
      <c r="N95" s="164">
        <v>734</v>
      </c>
      <c r="O95" s="164">
        <v>1116228</v>
      </c>
      <c r="P95" s="162">
        <v>0</v>
      </c>
      <c r="Q95" s="164">
        <v>0</v>
      </c>
      <c r="R95" s="168">
        <v>0</v>
      </c>
      <c r="S95" s="164">
        <v>0</v>
      </c>
      <c r="T95" s="165">
        <v>0</v>
      </c>
      <c r="U95" s="246">
        <v>0</v>
      </c>
      <c r="V95" s="241">
        <f>C95-'часть 1'!L106</f>
        <v>0</v>
      </c>
      <c r="W95" s="241"/>
      <c r="X95" s="241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254"/>
    </row>
    <row r="96" spans="1:35" ht="30">
      <c r="A96" s="166">
        <v>88</v>
      </c>
      <c r="B96" s="163" t="s">
        <v>457</v>
      </c>
      <c r="C96" s="164">
        <v>1313728</v>
      </c>
      <c r="D96" s="164"/>
      <c r="E96" s="164"/>
      <c r="F96" s="164"/>
      <c r="G96" s="164"/>
      <c r="H96" s="164"/>
      <c r="I96" s="164"/>
      <c r="J96" s="164"/>
      <c r="K96" s="164">
        <v>0</v>
      </c>
      <c r="L96" s="162">
        <v>0</v>
      </c>
      <c r="M96" s="164">
        <v>0</v>
      </c>
      <c r="N96" s="167">
        <v>660.7</v>
      </c>
      <c r="O96" s="164">
        <v>1313728</v>
      </c>
      <c r="P96" s="162">
        <v>0</v>
      </c>
      <c r="Q96" s="164">
        <v>0</v>
      </c>
      <c r="R96" s="165">
        <v>0</v>
      </c>
      <c r="S96" s="164">
        <v>0</v>
      </c>
      <c r="T96" s="165">
        <v>0</v>
      </c>
      <c r="U96" s="246">
        <v>0</v>
      </c>
      <c r="V96" s="241">
        <f>C96-'часть 1'!L107</f>
        <v>0</v>
      </c>
      <c r="W96" s="241"/>
      <c r="X96" s="241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254"/>
    </row>
    <row r="97" spans="1:35">
      <c r="A97" s="166">
        <v>89</v>
      </c>
      <c r="B97" s="163" t="s">
        <v>241</v>
      </c>
      <c r="C97" s="164">
        <v>359651</v>
      </c>
      <c r="D97" s="164"/>
      <c r="E97" s="164"/>
      <c r="F97" s="164"/>
      <c r="G97" s="164"/>
      <c r="H97" s="164"/>
      <c r="I97" s="164"/>
      <c r="J97" s="164"/>
      <c r="K97" s="164">
        <v>359651</v>
      </c>
      <c r="L97" s="162">
        <v>0</v>
      </c>
      <c r="M97" s="164">
        <v>0</v>
      </c>
      <c r="N97" s="164">
        <v>0</v>
      </c>
      <c r="O97" s="164">
        <v>0</v>
      </c>
      <c r="P97" s="162">
        <v>0</v>
      </c>
      <c r="Q97" s="164">
        <v>0</v>
      </c>
      <c r="R97" s="165">
        <v>0</v>
      </c>
      <c r="S97" s="164">
        <v>0</v>
      </c>
      <c r="T97" s="165">
        <v>0</v>
      </c>
      <c r="U97" s="246">
        <v>0</v>
      </c>
      <c r="V97" s="241">
        <f>C97-'часть 1'!L108</f>
        <v>0</v>
      </c>
      <c r="W97" s="241"/>
      <c r="X97" s="241"/>
      <c r="Y97" s="9"/>
      <c r="Z97" s="9"/>
      <c r="AA97" s="9"/>
      <c r="AB97" s="9"/>
      <c r="AC97" s="3"/>
      <c r="AD97" s="9"/>
      <c r="AE97" s="9"/>
      <c r="AF97" s="9"/>
      <c r="AG97" s="9"/>
      <c r="AH97" s="9"/>
      <c r="AI97" s="254"/>
    </row>
    <row r="98" spans="1:35">
      <c r="A98" s="166">
        <v>90</v>
      </c>
      <c r="B98" s="163" t="s">
        <v>233</v>
      </c>
      <c r="C98" s="164">
        <v>906779</v>
      </c>
      <c r="D98" s="164"/>
      <c r="E98" s="164"/>
      <c r="F98" s="164"/>
      <c r="G98" s="164"/>
      <c r="H98" s="164"/>
      <c r="I98" s="164"/>
      <c r="J98" s="164"/>
      <c r="K98" s="164">
        <v>906779</v>
      </c>
      <c r="L98" s="162">
        <v>0</v>
      </c>
      <c r="M98" s="164">
        <v>0</v>
      </c>
      <c r="N98" s="164">
        <v>0</v>
      </c>
      <c r="O98" s="164">
        <v>0</v>
      </c>
      <c r="P98" s="162">
        <v>0</v>
      </c>
      <c r="Q98" s="164">
        <v>0</v>
      </c>
      <c r="R98" s="165">
        <v>0</v>
      </c>
      <c r="S98" s="164">
        <v>0</v>
      </c>
      <c r="T98" s="165">
        <v>0</v>
      </c>
      <c r="U98" s="246">
        <v>0</v>
      </c>
      <c r="V98" s="241">
        <f>C98-'часть 1'!L109</f>
        <v>0</v>
      </c>
      <c r="W98" s="241"/>
      <c r="X98" s="241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254"/>
    </row>
    <row r="99" spans="1:35">
      <c r="A99" s="166">
        <v>91</v>
      </c>
      <c r="B99" s="163" t="s">
        <v>278</v>
      </c>
      <c r="C99" s="164">
        <v>886559</v>
      </c>
      <c r="D99" s="164"/>
      <c r="E99" s="164"/>
      <c r="F99" s="164"/>
      <c r="G99" s="164"/>
      <c r="H99" s="164"/>
      <c r="I99" s="164"/>
      <c r="J99" s="164"/>
      <c r="K99" s="164">
        <v>0</v>
      </c>
      <c r="L99" s="162">
        <v>0</v>
      </c>
      <c r="M99" s="164">
        <v>0</v>
      </c>
      <c r="N99" s="164">
        <v>440</v>
      </c>
      <c r="O99" s="167">
        <v>886559</v>
      </c>
      <c r="P99" s="162">
        <v>0</v>
      </c>
      <c r="Q99" s="164">
        <v>0</v>
      </c>
      <c r="R99" s="165">
        <v>0</v>
      </c>
      <c r="S99" s="164">
        <v>0</v>
      </c>
      <c r="T99" s="165">
        <v>0</v>
      </c>
      <c r="U99" s="246">
        <v>0</v>
      </c>
      <c r="V99" s="241">
        <f>C99-'часть 1'!L110</f>
        <v>0</v>
      </c>
      <c r="W99" s="241"/>
      <c r="X99" s="241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254"/>
    </row>
    <row r="100" spans="1:35">
      <c r="A100" s="166">
        <v>92</v>
      </c>
      <c r="B100" s="163" t="s">
        <v>347</v>
      </c>
      <c r="C100" s="164">
        <v>642210</v>
      </c>
      <c r="D100" s="164"/>
      <c r="E100" s="164"/>
      <c r="F100" s="164"/>
      <c r="G100" s="164"/>
      <c r="H100" s="164"/>
      <c r="I100" s="164"/>
      <c r="J100" s="164"/>
      <c r="K100" s="164">
        <v>0</v>
      </c>
      <c r="L100" s="162">
        <v>0</v>
      </c>
      <c r="M100" s="164">
        <v>0</v>
      </c>
      <c r="N100" s="164">
        <v>0</v>
      </c>
      <c r="O100" s="164">
        <v>0</v>
      </c>
      <c r="P100" s="162">
        <v>0</v>
      </c>
      <c r="Q100" s="164">
        <v>0</v>
      </c>
      <c r="R100" s="164">
        <v>440</v>
      </c>
      <c r="S100" s="164">
        <v>642210</v>
      </c>
      <c r="T100" s="165">
        <v>0</v>
      </c>
      <c r="U100" s="246">
        <v>0</v>
      </c>
      <c r="V100" s="241">
        <f>C100-'часть 1'!L111</f>
        <v>0</v>
      </c>
      <c r="W100" s="241"/>
      <c r="X100" s="241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254"/>
    </row>
    <row r="101" spans="1:35">
      <c r="A101" s="166">
        <v>93</v>
      </c>
      <c r="B101" s="163" t="s">
        <v>266</v>
      </c>
      <c r="C101" s="164">
        <v>1952489</v>
      </c>
      <c r="D101" s="164"/>
      <c r="E101" s="164"/>
      <c r="F101" s="164"/>
      <c r="G101" s="164"/>
      <c r="H101" s="164"/>
      <c r="I101" s="164"/>
      <c r="J101" s="164"/>
      <c r="K101" s="164">
        <v>0</v>
      </c>
      <c r="L101" s="162">
        <v>0</v>
      </c>
      <c r="M101" s="164">
        <v>0</v>
      </c>
      <c r="N101" s="164">
        <v>965</v>
      </c>
      <c r="O101" s="164">
        <v>1952489</v>
      </c>
      <c r="P101" s="162">
        <v>0</v>
      </c>
      <c r="Q101" s="164">
        <v>0</v>
      </c>
      <c r="R101" s="168">
        <v>0</v>
      </c>
      <c r="S101" s="164">
        <v>0</v>
      </c>
      <c r="T101" s="165">
        <v>0</v>
      </c>
      <c r="U101" s="246">
        <v>0</v>
      </c>
      <c r="V101" s="241">
        <f>C101-'часть 1'!L112</f>
        <v>0</v>
      </c>
      <c r="W101" s="241"/>
      <c r="X101" s="241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254"/>
    </row>
    <row r="102" spans="1:35">
      <c r="A102" s="166">
        <v>94</v>
      </c>
      <c r="B102" s="163" t="s">
        <v>310</v>
      </c>
      <c r="C102" s="164">
        <v>15157748</v>
      </c>
      <c r="D102" s="164"/>
      <c r="E102" s="164"/>
      <c r="F102" s="164"/>
      <c r="G102" s="164"/>
      <c r="H102" s="164"/>
      <c r="I102" s="164"/>
      <c r="J102" s="164"/>
      <c r="K102" s="164">
        <v>0</v>
      </c>
      <c r="L102" s="162">
        <v>8</v>
      </c>
      <c r="M102" s="164">
        <v>15157748</v>
      </c>
      <c r="N102" s="164">
        <v>0</v>
      </c>
      <c r="O102" s="164">
        <v>0</v>
      </c>
      <c r="P102" s="162">
        <v>0</v>
      </c>
      <c r="Q102" s="164">
        <v>0</v>
      </c>
      <c r="R102" s="165">
        <v>0</v>
      </c>
      <c r="S102" s="164">
        <v>0</v>
      </c>
      <c r="T102" s="165">
        <v>0</v>
      </c>
      <c r="U102" s="246">
        <v>0</v>
      </c>
      <c r="V102" s="241">
        <f>C102-'часть 1'!L113</f>
        <v>0</v>
      </c>
      <c r="W102" s="241"/>
      <c r="X102" s="241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254"/>
    </row>
    <row r="103" spans="1:35">
      <c r="A103" s="166">
        <v>95</v>
      </c>
      <c r="B103" s="163" t="s">
        <v>281</v>
      </c>
      <c r="C103" s="164">
        <v>2542298.37</v>
      </c>
      <c r="D103" s="164"/>
      <c r="E103" s="164"/>
      <c r="F103" s="164"/>
      <c r="G103" s="164"/>
      <c r="H103" s="164"/>
      <c r="I103" s="164"/>
      <c r="J103" s="164"/>
      <c r="K103" s="164">
        <v>0</v>
      </c>
      <c r="L103" s="162">
        <v>0</v>
      </c>
      <c r="M103" s="164">
        <v>0</v>
      </c>
      <c r="N103" s="164">
        <v>1350</v>
      </c>
      <c r="O103" s="164">
        <v>2542298.37</v>
      </c>
      <c r="P103" s="162">
        <v>0</v>
      </c>
      <c r="Q103" s="164">
        <v>0</v>
      </c>
      <c r="R103" s="165">
        <v>0</v>
      </c>
      <c r="S103" s="164">
        <v>0</v>
      </c>
      <c r="T103" s="165">
        <v>0</v>
      </c>
      <c r="U103" s="246">
        <v>0</v>
      </c>
      <c r="V103" s="241">
        <f>C103-'часть 1'!L114</f>
        <v>0</v>
      </c>
      <c r="W103" s="241"/>
      <c r="X103" s="241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254"/>
    </row>
    <row r="104" spans="1:35">
      <c r="A104" s="166">
        <v>96</v>
      </c>
      <c r="B104" s="163" t="s">
        <v>248</v>
      </c>
      <c r="C104" s="164">
        <v>1114586</v>
      </c>
      <c r="D104" s="164"/>
      <c r="E104" s="164"/>
      <c r="F104" s="164"/>
      <c r="G104" s="164"/>
      <c r="H104" s="164"/>
      <c r="I104" s="164"/>
      <c r="J104" s="164"/>
      <c r="K104" s="164">
        <v>0</v>
      </c>
      <c r="L104" s="162">
        <v>0</v>
      </c>
      <c r="M104" s="164">
        <v>0</v>
      </c>
      <c r="N104" s="164">
        <v>550</v>
      </c>
      <c r="O104" s="164">
        <v>1114586</v>
      </c>
      <c r="P104" s="162">
        <v>0</v>
      </c>
      <c r="Q104" s="164">
        <v>0</v>
      </c>
      <c r="R104" s="168">
        <v>0</v>
      </c>
      <c r="S104" s="164">
        <v>0</v>
      </c>
      <c r="T104" s="165">
        <v>0</v>
      </c>
      <c r="U104" s="246">
        <v>0</v>
      </c>
      <c r="V104" s="241">
        <f>C104-'часть 1'!L115</f>
        <v>0</v>
      </c>
      <c r="W104" s="241"/>
      <c r="X104" s="241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254"/>
    </row>
    <row r="105" spans="1:35">
      <c r="A105" s="166">
        <v>97</v>
      </c>
      <c r="B105" s="163" t="s">
        <v>301</v>
      </c>
      <c r="C105" s="164">
        <v>5623853</v>
      </c>
      <c r="D105" s="164"/>
      <c r="E105" s="164"/>
      <c r="F105" s="164"/>
      <c r="G105" s="164"/>
      <c r="H105" s="164"/>
      <c r="I105" s="164"/>
      <c r="J105" s="164"/>
      <c r="K105" s="164">
        <v>0</v>
      </c>
      <c r="L105" s="162">
        <v>3</v>
      </c>
      <c r="M105" s="170">
        <v>5623853</v>
      </c>
      <c r="N105" s="164">
        <v>0</v>
      </c>
      <c r="O105" s="164">
        <v>0</v>
      </c>
      <c r="P105" s="162">
        <v>0</v>
      </c>
      <c r="Q105" s="164">
        <v>0</v>
      </c>
      <c r="R105" s="168">
        <v>0</v>
      </c>
      <c r="S105" s="164">
        <v>0</v>
      </c>
      <c r="T105" s="165">
        <v>0</v>
      </c>
      <c r="U105" s="246">
        <v>0</v>
      </c>
      <c r="V105" s="241">
        <f>C105-'часть 1'!L116</f>
        <v>0</v>
      </c>
      <c r="W105" s="241"/>
      <c r="X105" s="241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254"/>
    </row>
    <row r="106" spans="1:35">
      <c r="A106" s="166">
        <v>98</v>
      </c>
      <c r="B106" s="163" t="s">
        <v>244</v>
      </c>
      <c r="C106" s="164">
        <v>2721106</v>
      </c>
      <c r="D106" s="164"/>
      <c r="E106" s="164"/>
      <c r="F106" s="164"/>
      <c r="G106" s="164"/>
      <c r="H106" s="164"/>
      <c r="I106" s="164"/>
      <c r="J106" s="164"/>
      <c r="K106" s="164">
        <v>0</v>
      </c>
      <c r="L106" s="162">
        <v>0</v>
      </c>
      <c r="M106" s="164">
        <v>0</v>
      </c>
      <c r="N106" s="164">
        <v>1371</v>
      </c>
      <c r="O106" s="164">
        <v>2721106</v>
      </c>
      <c r="P106" s="162">
        <v>0</v>
      </c>
      <c r="Q106" s="164">
        <v>0</v>
      </c>
      <c r="R106" s="165">
        <v>0</v>
      </c>
      <c r="S106" s="164">
        <v>0</v>
      </c>
      <c r="T106" s="165">
        <v>0</v>
      </c>
      <c r="U106" s="246">
        <v>0</v>
      </c>
      <c r="V106" s="241">
        <f>C106-'часть 1'!L117</f>
        <v>0</v>
      </c>
      <c r="W106" s="241"/>
      <c r="X106" s="241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254"/>
    </row>
    <row r="107" spans="1:35">
      <c r="A107" s="166">
        <v>99</v>
      </c>
      <c r="B107" s="163" t="s">
        <v>288</v>
      </c>
      <c r="C107" s="164">
        <v>9789326.5500000007</v>
      </c>
      <c r="D107" s="164"/>
      <c r="E107" s="164"/>
      <c r="F107" s="164"/>
      <c r="G107" s="164"/>
      <c r="H107" s="164"/>
      <c r="I107" s="164"/>
      <c r="J107" s="164"/>
      <c r="K107" s="164">
        <v>6592990.5599999996</v>
      </c>
      <c r="L107" s="162">
        <v>0</v>
      </c>
      <c r="M107" s="164">
        <v>0</v>
      </c>
      <c r="N107" s="164">
        <v>2090</v>
      </c>
      <c r="O107" s="164">
        <v>3196335.99</v>
      </c>
      <c r="P107" s="162">
        <v>0</v>
      </c>
      <c r="Q107" s="164">
        <v>0</v>
      </c>
      <c r="R107" s="165">
        <v>0</v>
      </c>
      <c r="S107" s="164">
        <v>0</v>
      </c>
      <c r="T107" s="165">
        <v>0</v>
      </c>
      <c r="U107" s="246">
        <v>0</v>
      </c>
      <c r="V107" s="241">
        <f>C107-'часть 1'!L118</f>
        <v>0</v>
      </c>
      <c r="W107" s="241"/>
      <c r="X107" s="241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254"/>
    </row>
    <row r="108" spans="1:35">
      <c r="A108" s="166">
        <v>100</v>
      </c>
      <c r="B108" s="163" t="s">
        <v>249</v>
      </c>
      <c r="C108" s="164">
        <v>1615074</v>
      </c>
      <c r="D108" s="164"/>
      <c r="E108" s="164"/>
      <c r="F108" s="164"/>
      <c r="G108" s="164"/>
      <c r="H108" s="164"/>
      <c r="I108" s="164"/>
      <c r="J108" s="164"/>
      <c r="K108" s="164" t="e">
        <f>#REF!</f>
        <v>#REF!</v>
      </c>
      <c r="L108" s="162">
        <v>0</v>
      </c>
      <c r="M108" s="164">
        <v>0</v>
      </c>
      <c r="N108" s="164">
        <v>0</v>
      </c>
      <c r="O108" s="164">
        <v>0</v>
      </c>
      <c r="P108" s="162">
        <v>0</v>
      </c>
      <c r="Q108" s="164">
        <v>0</v>
      </c>
      <c r="R108" s="168">
        <v>0</v>
      </c>
      <c r="S108" s="164">
        <v>0</v>
      </c>
      <c r="T108" s="165">
        <v>0</v>
      </c>
      <c r="U108" s="246">
        <v>0</v>
      </c>
      <c r="V108" s="241">
        <f>C108-'часть 1'!L119</f>
        <v>0</v>
      </c>
      <c r="W108" s="241"/>
      <c r="X108" s="241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254"/>
    </row>
    <row r="109" spans="1:35">
      <c r="A109" s="166">
        <v>101</v>
      </c>
      <c r="B109" s="163" t="s">
        <v>265</v>
      </c>
      <c r="C109" s="164">
        <v>824390</v>
      </c>
      <c r="D109" s="164"/>
      <c r="E109" s="164"/>
      <c r="F109" s="164"/>
      <c r="G109" s="164"/>
      <c r="H109" s="164"/>
      <c r="I109" s="164"/>
      <c r="J109" s="164"/>
      <c r="K109" s="164">
        <v>824390</v>
      </c>
      <c r="L109" s="162">
        <v>0</v>
      </c>
      <c r="M109" s="164">
        <v>0</v>
      </c>
      <c r="N109" s="164">
        <v>0</v>
      </c>
      <c r="O109" s="164">
        <v>0</v>
      </c>
      <c r="P109" s="162">
        <v>0</v>
      </c>
      <c r="Q109" s="164">
        <v>0</v>
      </c>
      <c r="R109" s="165">
        <v>0</v>
      </c>
      <c r="S109" s="164">
        <v>0</v>
      </c>
      <c r="T109" s="165">
        <v>0</v>
      </c>
      <c r="U109" s="246">
        <v>0</v>
      </c>
      <c r="V109" s="241">
        <f>C109-'часть 1'!L120</f>
        <v>0</v>
      </c>
      <c r="W109" s="241"/>
      <c r="X109" s="241"/>
      <c r="Y109" s="9"/>
      <c r="Z109" s="9"/>
      <c r="AA109" s="3"/>
      <c r="AB109" s="9"/>
      <c r="AC109" s="9"/>
      <c r="AD109" s="9"/>
      <c r="AE109" s="9"/>
      <c r="AF109" s="9"/>
      <c r="AG109" s="9"/>
      <c r="AH109" s="9"/>
      <c r="AI109" s="254"/>
    </row>
    <row r="110" spans="1:35">
      <c r="A110" s="166">
        <v>102</v>
      </c>
      <c r="B110" s="163" t="s">
        <v>292</v>
      </c>
      <c r="C110" s="164">
        <v>2661189</v>
      </c>
      <c r="D110" s="164"/>
      <c r="E110" s="164"/>
      <c r="F110" s="164"/>
      <c r="G110" s="164"/>
      <c r="H110" s="164"/>
      <c r="I110" s="164"/>
      <c r="J110" s="164"/>
      <c r="K110" s="164">
        <v>0</v>
      </c>
      <c r="L110" s="162">
        <v>0</v>
      </c>
      <c r="M110" s="164">
        <v>0</v>
      </c>
      <c r="N110" s="164">
        <v>1338.7</v>
      </c>
      <c r="O110" s="164">
        <v>2661189</v>
      </c>
      <c r="P110" s="162">
        <v>0</v>
      </c>
      <c r="Q110" s="164">
        <v>0</v>
      </c>
      <c r="R110" s="168">
        <v>0</v>
      </c>
      <c r="S110" s="164">
        <v>0</v>
      </c>
      <c r="T110" s="165">
        <v>0</v>
      </c>
      <c r="U110" s="246">
        <v>0</v>
      </c>
      <c r="V110" s="241">
        <f>C110-'часть 1'!L121</f>
        <v>0</v>
      </c>
      <c r="W110" s="241"/>
      <c r="X110" s="241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254"/>
    </row>
    <row r="111" spans="1:35">
      <c r="A111" s="166">
        <v>103</v>
      </c>
      <c r="B111" s="163" t="s">
        <v>276</v>
      </c>
      <c r="C111" s="164">
        <v>278220</v>
      </c>
      <c r="D111" s="164"/>
      <c r="E111" s="164"/>
      <c r="F111" s="164"/>
      <c r="G111" s="164"/>
      <c r="H111" s="164"/>
      <c r="I111" s="164"/>
      <c r="J111" s="164"/>
      <c r="K111" s="164">
        <v>278220</v>
      </c>
      <c r="L111" s="162">
        <v>0</v>
      </c>
      <c r="M111" s="164">
        <v>0</v>
      </c>
      <c r="N111" s="164">
        <v>0</v>
      </c>
      <c r="O111" s="164">
        <v>0</v>
      </c>
      <c r="P111" s="162">
        <v>0</v>
      </c>
      <c r="Q111" s="164">
        <v>0</v>
      </c>
      <c r="R111" s="165">
        <v>0</v>
      </c>
      <c r="S111" s="164">
        <v>0</v>
      </c>
      <c r="T111" s="165">
        <v>0</v>
      </c>
      <c r="U111" s="246">
        <v>0</v>
      </c>
      <c r="V111" s="241">
        <f>C111-'часть 1'!L122</f>
        <v>0</v>
      </c>
      <c r="W111" s="241"/>
      <c r="X111" s="241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254"/>
    </row>
    <row r="112" spans="1:35">
      <c r="A112" s="166">
        <v>104</v>
      </c>
      <c r="B112" s="163" t="s">
        <v>229</v>
      </c>
      <c r="C112" s="164">
        <v>2511472</v>
      </c>
      <c r="D112" s="164"/>
      <c r="E112" s="164"/>
      <c r="F112" s="164"/>
      <c r="G112" s="164"/>
      <c r="H112" s="164"/>
      <c r="I112" s="164"/>
      <c r="J112" s="164"/>
      <c r="K112" s="164">
        <v>2511472</v>
      </c>
      <c r="L112" s="162">
        <v>0</v>
      </c>
      <c r="M112" s="164">
        <v>0</v>
      </c>
      <c r="N112" s="164">
        <v>0</v>
      </c>
      <c r="O112" s="164">
        <v>0</v>
      </c>
      <c r="P112" s="162">
        <v>0</v>
      </c>
      <c r="Q112" s="164">
        <v>0</v>
      </c>
      <c r="R112" s="165">
        <v>0</v>
      </c>
      <c r="S112" s="164">
        <v>0</v>
      </c>
      <c r="T112" s="165">
        <v>0</v>
      </c>
      <c r="U112" s="246">
        <v>0</v>
      </c>
      <c r="V112" s="241">
        <f>C112-'часть 1'!L123</f>
        <v>0</v>
      </c>
      <c r="W112" s="241"/>
      <c r="X112" s="241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254"/>
    </row>
    <row r="113" spans="1:35" ht="30">
      <c r="A113" s="166">
        <v>105</v>
      </c>
      <c r="B113" s="163" t="s">
        <v>309</v>
      </c>
      <c r="C113" s="164">
        <v>871988</v>
      </c>
      <c r="D113" s="164"/>
      <c r="E113" s="164"/>
      <c r="F113" s="164"/>
      <c r="G113" s="164"/>
      <c r="H113" s="164"/>
      <c r="I113" s="164"/>
      <c r="J113" s="164"/>
      <c r="K113" s="164">
        <v>0</v>
      </c>
      <c r="L113" s="162">
        <v>0</v>
      </c>
      <c r="M113" s="164">
        <v>0</v>
      </c>
      <c r="N113" s="164">
        <v>438.23</v>
      </c>
      <c r="O113" s="164">
        <v>871988</v>
      </c>
      <c r="P113" s="162">
        <v>0</v>
      </c>
      <c r="Q113" s="164">
        <v>0</v>
      </c>
      <c r="R113" s="165">
        <v>0</v>
      </c>
      <c r="S113" s="164">
        <v>0</v>
      </c>
      <c r="T113" s="165">
        <v>0</v>
      </c>
      <c r="U113" s="246">
        <v>0</v>
      </c>
      <c r="V113" s="241">
        <f>C113-'часть 1'!L124</f>
        <v>0</v>
      </c>
      <c r="W113" s="241"/>
      <c r="X113" s="241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254"/>
    </row>
    <row r="114" spans="1:35" ht="30">
      <c r="A114" s="166">
        <v>106</v>
      </c>
      <c r="B114" s="163" t="s">
        <v>308</v>
      </c>
      <c r="C114" s="164">
        <v>2113335</v>
      </c>
      <c r="D114" s="164"/>
      <c r="E114" s="164"/>
      <c r="F114" s="164"/>
      <c r="G114" s="164"/>
      <c r="H114" s="164"/>
      <c r="I114" s="164"/>
      <c r="J114" s="164"/>
      <c r="K114" s="164" t="e">
        <f>#REF!</f>
        <v>#REF!</v>
      </c>
      <c r="L114" s="162">
        <v>0</v>
      </c>
      <c r="M114" s="164">
        <v>0</v>
      </c>
      <c r="N114" s="164">
        <v>0</v>
      </c>
      <c r="O114" s="164">
        <v>0</v>
      </c>
      <c r="P114" s="162">
        <v>0</v>
      </c>
      <c r="Q114" s="164">
        <v>0</v>
      </c>
      <c r="R114" s="165">
        <v>0</v>
      </c>
      <c r="S114" s="164">
        <v>0</v>
      </c>
      <c r="T114" s="165">
        <v>0</v>
      </c>
      <c r="U114" s="246">
        <v>0</v>
      </c>
      <c r="V114" s="241">
        <f>C114-'часть 1'!L125</f>
        <v>0</v>
      </c>
      <c r="W114" s="241"/>
      <c r="X114" s="241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254"/>
    </row>
    <row r="115" spans="1:35">
      <c r="A115" s="166">
        <v>107</v>
      </c>
      <c r="B115" s="163" t="s">
        <v>296</v>
      </c>
      <c r="C115" s="164">
        <v>996585</v>
      </c>
      <c r="D115" s="164"/>
      <c r="E115" s="164"/>
      <c r="F115" s="164"/>
      <c r="G115" s="164"/>
      <c r="H115" s="164"/>
      <c r="I115" s="164"/>
      <c r="J115" s="164"/>
      <c r="K115" s="164">
        <v>0</v>
      </c>
      <c r="L115" s="162">
        <v>0</v>
      </c>
      <c r="M115" s="164">
        <v>0</v>
      </c>
      <c r="N115" s="164">
        <v>496.2</v>
      </c>
      <c r="O115" s="164">
        <v>996585</v>
      </c>
      <c r="P115" s="162">
        <v>0</v>
      </c>
      <c r="Q115" s="164">
        <v>0</v>
      </c>
      <c r="R115" s="165">
        <v>0</v>
      </c>
      <c r="S115" s="164">
        <v>0</v>
      </c>
      <c r="T115" s="165">
        <v>0</v>
      </c>
      <c r="U115" s="246">
        <v>0</v>
      </c>
      <c r="V115" s="241">
        <f>C115-'часть 1'!L126</f>
        <v>0</v>
      </c>
      <c r="W115" s="241"/>
      <c r="X115" s="241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254"/>
    </row>
    <row r="116" spans="1:35">
      <c r="A116" s="166">
        <v>108</v>
      </c>
      <c r="B116" s="163" t="s">
        <v>240</v>
      </c>
      <c r="C116" s="164">
        <v>637739</v>
      </c>
      <c r="D116" s="164"/>
      <c r="E116" s="164"/>
      <c r="F116" s="164"/>
      <c r="G116" s="164"/>
      <c r="H116" s="164"/>
      <c r="I116" s="164"/>
      <c r="J116" s="164"/>
      <c r="K116" s="164">
        <v>637739</v>
      </c>
      <c r="L116" s="162">
        <v>0</v>
      </c>
      <c r="M116" s="164">
        <v>0</v>
      </c>
      <c r="N116" s="164">
        <v>0</v>
      </c>
      <c r="O116" s="164">
        <v>0</v>
      </c>
      <c r="P116" s="162">
        <v>0</v>
      </c>
      <c r="Q116" s="164">
        <v>0</v>
      </c>
      <c r="R116" s="165">
        <v>0</v>
      </c>
      <c r="S116" s="164">
        <v>0</v>
      </c>
      <c r="T116" s="165">
        <v>0</v>
      </c>
      <c r="U116" s="246">
        <v>0</v>
      </c>
      <c r="V116" s="241">
        <f>C116-'часть 1'!L127</f>
        <v>0</v>
      </c>
      <c r="W116" s="241"/>
      <c r="X116" s="241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254"/>
    </row>
    <row r="117" spans="1:35">
      <c r="A117" s="166">
        <v>109</v>
      </c>
      <c r="B117" s="163" t="s">
        <v>243</v>
      </c>
      <c r="C117" s="164">
        <v>1357217</v>
      </c>
      <c r="D117" s="164"/>
      <c r="E117" s="164"/>
      <c r="F117" s="164"/>
      <c r="G117" s="164"/>
      <c r="H117" s="164"/>
      <c r="I117" s="164"/>
      <c r="J117" s="164"/>
      <c r="K117" s="164">
        <v>0</v>
      </c>
      <c r="L117" s="162">
        <v>0</v>
      </c>
      <c r="M117" s="164">
        <v>0</v>
      </c>
      <c r="N117" s="164">
        <v>675</v>
      </c>
      <c r="O117" s="164">
        <v>1357217</v>
      </c>
      <c r="P117" s="162">
        <v>0</v>
      </c>
      <c r="Q117" s="164">
        <v>0</v>
      </c>
      <c r="R117" s="165">
        <v>0</v>
      </c>
      <c r="S117" s="164">
        <v>0</v>
      </c>
      <c r="T117" s="165">
        <v>0</v>
      </c>
      <c r="U117" s="246">
        <v>0</v>
      </c>
      <c r="V117" s="241">
        <f>C117-'часть 1'!L128</f>
        <v>0</v>
      </c>
      <c r="W117" s="241"/>
      <c r="X117" s="241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254"/>
    </row>
    <row r="118" spans="1:35">
      <c r="A118" s="166">
        <v>110</v>
      </c>
      <c r="B118" s="163" t="s">
        <v>269</v>
      </c>
      <c r="C118" s="164">
        <v>836226</v>
      </c>
      <c r="D118" s="164"/>
      <c r="E118" s="164"/>
      <c r="F118" s="164"/>
      <c r="G118" s="164"/>
      <c r="H118" s="164"/>
      <c r="I118" s="164"/>
      <c r="J118" s="164"/>
      <c r="K118" s="164">
        <v>0</v>
      </c>
      <c r="L118" s="162">
        <v>0</v>
      </c>
      <c r="M118" s="164">
        <v>0</v>
      </c>
      <c r="N118" s="164">
        <v>414.1</v>
      </c>
      <c r="O118" s="167">
        <v>836226</v>
      </c>
      <c r="P118" s="162">
        <v>0</v>
      </c>
      <c r="Q118" s="164">
        <v>0</v>
      </c>
      <c r="R118" s="165">
        <v>0</v>
      </c>
      <c r="S118" s="164">
        <v>0</v>
      </c>
      <c r="T118" s="165">
        <v>0</v>
      </c>
      <c r="U118" s="246">
        <v>0</v>
      </c>
      <c r="V118" s="241">
        <f>C118-'часть 1'!L129</f>
        <v>0</v>
      </c>
      <c r="W118" s="241"/>
      <c r="X118" s="241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254"/>
    </row>
    <row r="119" spans="1:35">
      <c r="A119" s="166">
        <v>111</v>
      </c>
      <c r="B119" s="163" t="s">
        <v>299</v>
      </c>
      <c r="C119" s="164">
        <v>640078</v>
      </c>
      <c r="D119" s="164"/>
      <c r="E119" s="164"/>
      <c r="F119" s="164"/>
      <c r="G119" s="164"/>
      <c r="H119" s="164"/>
      <c r="I119" s="164"/>
      <c r="J119" s="164"/>
      <c r="K119" s="164">
        <v>640078</v>
      </c>
      <c r="L119" s="162">
        <v>0</v>
      </c>
      <c r="M119" s="164">
        <v>0</v>
      </c>
      <c r="N119" s="164">
        <v>0</v>
      </c>
      <c r="O119" s="164">
        <v>0</v>
      </c>
      <c r="P119" s="162">
        <v>0</v>
      </c>
      <c r="Q119" s="164">
        <v>0</v>
      </c>
      <c r="R119" s="165">
        <v>0</v>
      </c>
      <c r="S119" s="164">
        <v>0</v>
      </c>
      <c r="T119" s="165">
        <v>0</v>
      </c>
      <c r="U119" s="246">
        <v>0</v>
      </c>
      <c r="V119" s="241">
        <f>C119-'часть 1'!L130</f>
        <v>0</v>
      </c>
      <c r="W119" s="241"/>
      <c r="X119" s="241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254"/>
    </row>
    <row r="120" spans="1:35">
      <c r="A120" s="166">
        <v>112</v>
      </c>
      <c r="B120" s="163" t="s">
        <v>236</v>
      </c>
      <c r="C120" s="164">
        <v>202649</v>
      </c>
      <c r="D120" s="164"/>
      <c r="E120" s="164"/>
      <c r="F120" s="164"/>
      <c r="G120" s="164"/>
      <c r="H120" s="164"/>
      <c r="I120" s="164"/>
      <c r="J120" s="164"/>
      <c r="K120" s="164" t="e">
        <f>#REF!</f>
        <v>#REF!</v>
      </c>
      <c r="L120" s="162">
        <v>0</v>
      </c>
      <c r="M120" s="164">
        <v>0</v>
      </c>
      <c r="N120" s="164">
        <v>0</v>
      </c>
      <c r="O120" s="164">
        <v>0</v>
      </c>
      <c r="P120" s="162">
        <v>0</v>
      </c>
      <c r="Q120" s="164">
        <v>0</v>
      </c>
      <c r="R120" s="168">
        <v>0</v>
      </c>
      <c r="S120" s="164">
        <v>0</v>
      </c>
      <c r="T120" s="165">
        <v>0</v>
      </c>
      <c r="U120" s="246">
        <v>0</v>
      </c>
      <c r="V120" s="241">
        <f>C120-'часть 1'!L131</f>
        <v>0</v>
      </c>
      <c r="W120" s="241"/>
      <c r="X120" s="241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254"/>
    </row>
    <row r="121" spans="1:35">
      <c r="A121" s="166">
        <v>113</v>
      </c>
      <c r="B121" s="163" t="s">
        <v>285</v>
      </c>
      <c r="C121" s="164">
        <v>7892437</v>
      </c>
      <c r="D121" s="164"/>
      <c r="E121" s="164"/>
      <c r="F121" s="164"/>
      <c r="G121" s="164"/>
      <c r="H121" s="164"/>
      <c r="I121" s="164"/>
      <c r="J121" s="164"/>
      <c r="K121" s="164">
        <v>7892437</v>
      </c>
      <c r="L121" s="162">
        <v>0</v>
      </c>
      <c r="M121" s="164">
        <v>0</v>
      </c>
      <c r="N121" s="164">
        <v>0</v>
      </c>
      <c r="O121" s="164">
        <v>0</v>
      </c>
      <c r="P121" s="162">
        <v>0</v>
      </c>
      <c r="Q121" s="164">
        <v>0</v>
      </c>
      <c r="R121" s="165">
        <v>0</v>
      </c>
      <c r="S121" s="164">
        <v>0</v>
      </c>
      <c r="T121" s="165">
        <v>0</v>
      </c>
      <c r="U121" s="246">
        <v>0</v>
      </c>
      <c r="V121" s="241">
        <f>C121-'часть 1'!L132</f>
        <v>0</v>
      </c>
      <c r="W121" s="241"/>
      <c r="X121" s="241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254"/>
    </row>
    <row r="122" spans="1:35">
      <c r="A122" s="166">
        <v>114</v>
      </c>
      <c r="B122" s="163" t="s">
        <v>237</v>
      </c>
      <c r="C122" s="164">
        <v>523389</v>
      </c>
      <c r="D122" s="164"/>
      <c r="E122" s="164"/>
      <c r="F122" s="164"/>
      <c r="G122" s="164"/>
      <c r="H122" s="164"/>
      <c r="I122" s="164"/>
      <c r="J122" s="164"/>
      <c r="K122" s="164">
        <v>0</v>
      </c>
      <c r="L122" s="162">
        <v>0</v>
      </c>
      <c r="M122" s="164">
        <v>0</v>
      </c>
      <c r="N122" s="164">
        <v>255</v>
      </c>
      <c r="O122" s="164">
        <v>523389</v>
      </c>
      <c r="P122" s="162">
        <v>0</v>
      </c>
      <c r="Q122" s="164">
        <v>0</v>
      </c>
      <c r="R122" s="168">
        <v>0</v>
      </c>
      <c r="S122" s="164">
        <v>0</v>
      </c>
      <c r="T122" s="165">
        <v>0</v>
      </c>
      <c r="U122" s="246">
        <v>0</v>
      </c>
      <c r="V122" s="241">
        <f>C122-'часть 1'!L133</f>
        <v>0</v>
      </c>
      <c r="W122" s="241"/>
      <c r="X122" s="241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254"/>
    </row>
    <row r="123" spans="1:35">
      <c r="A123" s="166">
        <v>115</v>
      </c>
      <c r="B123" s="163" t="s">
        <v>264</v>
      </c>
      <c r="C123" s="164">
        <v>1038920</v>
      </c>
      <c r="D123" s="164"/>
      <c r="E123" s="164"/>
      <c r="F123" s="164"/>
      <c r="G123" s="164"/>
      <c r="H123" s="164"/>
      <c r="I123" s="164"/>
      <c r="J123" s="164"/>
      <c r="K123" s="164">
        <v>1038920</v>
      </c>
      <c r="L123" s="162">
        <v>0</v>
      </c>
      <c r="M123" s="164">
        <v>0</v>
      </c>
      <c r="N123" s="164">
        <v>0</v>
      </c>
      <c r="O123" s="164">
        <v>0</v>
      </c>
      <c r="P123" s="162">
        <v>0</v>
      </c>
      <c r="Q123" s="164">
        <v>0</v>
      </c>
      <c r="R123" s="165">
        <v>0</v>
      </c>
      <c r="S123" s="164">
        <v>0</v>
      </c>
      <c r="T123" s="165">
        <v>0</v>
      </c>
      <c r="U123" s="246">
        <v>0</v>
      </c>
      <c r="V123" s="241">
        <f>C123-'часть 1'!L134</f>
        <v>0</v>
      </c>
      <c r="W123" s="241"/>
      <c r="X123" s="241"/>
      <c r="Y123" s="9"/>
      <c r="Z123" s="9"/>
      <c r="AA123" s="9"/>
      <c r="AB123" s="9"/>
      <c r="AC123" s="3"/>
      <c r="AD123" s="9"/>
      <c r="AE123" s="9"/>
      <c r="AF123" s="9"/>
      <c r="AG123" s="9"/>
      <c r="AH123" s="9"/>
      <c r="AI123" s="254"/>
    </row>
    <row r="124" spans="1:35">
      <c r="A124" s="162">
        <v>116</v>
      </c>
      <c r="B124" s="163" t="s">
        <v>258</v>
      </c>
      <c r="C124" s="164">
        <v>1742553</v>
      </c>
      <c r="D124" s="164"/>
      <c r="E124" s="164"/>
      <c r="F124" s="164"/>
      <c r="G124" s="164"/>
      <c r="H124" s="164"/>
      <c r="I124" s="164"/>
      <c r="J124" s="164"/>
      <c r="K124" s="164">
        <v>0</v>
      </c>
      <c r="L124" s="162">
        <v>0</v>
      </c>
      <c r="M124" s="164">
        <v>0</v>
      </c>
      <c r="N124" s="164">
        <v>874.22</v>
      </c>
      <c r="O124" s="167">
        <v>1742553</v>
      </c>
      <c r="P124" s="162">
        <v>0</v>
      </c>
      <c r="Q124" s="164">
        <v>0</v>
      </c>
      <c r="R124" s="165">
        <v>0</v>
      </c>
      <c r="S124" s="164">
        <v>0</v>
      </c>
      <c r="T124" s="165">
        <v>0</v>
      </c>
      <c r="U124" s="246">
        <v>0</v>
      </c>
      <c r="V124" s="241">
        <f>C124-'часть 1'!L135</f>
        <v>0</v>
      </c>
      <c r="W124" s="241"/>
      <c r="X124" s="241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254"/>
    </row>
    <row r="125" spans="1:35">
      <c r="A125" s="162">
        <v>117</v>
      </c>
      <c r="B125" s="163" t="s">
        <v>250</v>
      </c>
      <c r="C125" s="164">
        <v>2124581</v>
      </c>
      <c r="D125" s="164"/>
      <c r="E125" s="164"/>
      <c r="F125" s="164"/>
      <c r="G125" s="164"/>
      <c r="H125" s="164"/>
      <c r="I125" s="164"/>
      <c r="J125" s="164"/>
      <c r="K125" s="164">
        <v>0</v>
      </c>
      <c r="L125" s="162">
        <v>0</v>
      </c>
      <c r="M125" s="164">
        <v>0</v>
      </c>
      <c r="N125" s="164">
        <v>1070</v>
      </c>
      <c r="O125" s="167">
        <v>2124581</v>
      </c>
      <c r="P125" s="162">
        <v>0</v>
      </c>
      <c r="Q125" s="164">
        <v>0</v>
      </c>
      <c r="R125" s="168">
        <v>0</v>
      </c>
      <c r="S125" s="164">
        <v>0</v>
      </c>
      <c r="T125" s="165">
        <v>0</v>
      </c>
      <c r="U125" s="246">
        <v>0</v>
      </c>
      <c r="V125" s="241">
        <f>C125-'часть 1'!L136</f>
        <v>0</v>
      </c>
      <c r="W125" s="241"/>
      <c r="X125" s="241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254"/>
    </row>
    <row r="126" spans="1:35">
      <c r="A126" s="162">
        <v>118</v>
      </c>
      <c r="B126" s="163" t="s">
        <v>282</v>
      </c>
      <c r="C126" s="164">
        <v>2347478</v>
      </c>
      <c r="D126" s="164"/>
      <c r="E126" s="164"/>
      <c r="F126" s="164"/>
      <c r="G126" s="164"/>
      <c r="H126" s="164"/>
      <c r="I126" s="164"/>
      <c r="J126" s="164"/>
      <c r="K126" s="164">
        <v>0</v>
      </c>
      <c r="L126" s="162">
        <v>0</v>
      </c>
      <c r="M126" s="164">
        <v>0</v>
      </c>
      <c r="N126" s="164">
        <v>1185.07</v>
      </c>
      <c r="O126" s="164">
        <v>2347478</v>
      </c>
      <c r="P126" s="162">
        <v>0</v>
      </c>
      <c r="Q126" s="164">
        <v>0</v>
      </c>
      <c r="R126" s="165">
        <v>0</v>
      </c>
      <c r="S126" s="164">
        <v>0</v>
      </c>
      <c r="T126" s="165">
        <v>0</v>
      </c>
      <c r="U126" s="246">
        <v>0</v>
      </c>
      <c r="V126" s="241">
        <f>C126-'часть 1'!L137</f>
        <v>0</v>
      </c>
      <c r="W126" s="241"/>
      <c r="X126" s="241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254"/>
    </row>
    <row r="127" spans="1:35">
      <c r="A127" s="162">
        <v>119</v>
      </c>
      <c r="B127" s="163" t="s">
        <v>267</v>
      </c>
      <c r="C127" s="164">
        <v>2468472</v>
      </c>
      <c r="D127" s="164"/>
      <c r="E127" s="164"/>
      <c r="F127" s="164"/>
      <c r="G127" s="164"/>
      <c r="H127" s="164"/>
      <c r="I127" s="164"/>
      <c r="J127" s="164"/>
      <c r="K127" s="164">
        <v>0</v>
      </c>
      <c r="L127" s="162">
        <v>0</v>
      </c>
      <c r="M127" s="164">
        <v>0</v>
      </c>
      <c r="N127" s="167">
        <v>1246.5</v>
      </c>
      <c r="O127" s="164">
        <v>2468472</v>
      </c>
      <c r="P127" s="162">
        <v>0</v>
      </c>
      <c r="Q127" s="164">
        <v>0</v>
      </c>
      <c r="R127" s="165">
        <v>0</v>
      </c>
      <c r="S127" s="164">
        <v>0</v>
      </c>
      <c r="T127" s="165">
        <v>0</v>
      </c>
      <c r="U127" s="246">
        <v>0</v>
      </c>
      <c r="V127" s="241">
        <f>C127-'часть 1'!L138</f>
        <v>0</v>
      </c>
      <c r="W127" s="241"/>
      <c r="X127" s="241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254"/>
    </row>
    <row r="128" spans="1:35">
      <c r="A128" s="162">
        <v>120</v>
      </c>
      <c r="B128" s="163" t="s">
        <v>284</v>
      </c>
      <c r="C128" s="164">
        <v>1612780</v>
      </c>
      <c r="D128" s="164"/>
      <c r="E128" s="164"/>
      <c r="F128" s="164"/>
      <c r="G128" s="164"/>
      <c r="H128" s="164"/>
      <c r="I128" s="164"/>
      <c r="J128" s="164"/>
      <c r="K128" s="164">
        <v>0</v>
      </c>
      <c r="L128" s="162">
        <v>0</v>
      </c>
      <c r="M128" s="164">
        <v>0</v>
      </c>
      <c r="N128" s="164">
        <v>810.5</v>
      </c>
      <c r="O128" s="164">
        <v>1612780</v>
      </c>
      <c r="P128" s="162">
        <v>0</v>
      </c>
      <c r="Q128" s="164">
        <v>0</v>
      </c>
      <c r="R128" s="165">
        <v>0</v>
      </c>
      <c r="S128" s="164">
        <v>0</v>
      </c>
      <c r="T128" s="165">
        <v>0</v>
      </c>
      <c r="U128" s="246">
        <v>0</v>
      </c>
      <c r="V128" s="241">
        <f>C128-'часть 1'!L139</f>
        <v>0</v>
      </c>
      <c r="W128" s="241"/>
      <c r="X128" s="241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254"/>
    </row>
    <row r="129" spans="1:35">
      <c r="A129" s="162">
        <v>121</v>
      </c>
      <c r="B129" s="163" t="s">
        <v>256</v>
      </c>
      <c r="C129" s="164">
        <v>2580419</v>
      </c>
      <c r="D129" s="164"/>
      <c r="E129" s="164"/>
      <c r="F129" s="164"/>
      <c r="G129" s="164"/>
      <c r="H129" s="164"/>
      <c r="I129" s="164"/>
      <c r="J129" s="164"/>
      <c r="K129" s="164">
        <v>0</v>
      </c>
      <c r="L129" s="162">
        <v>0</v>
      </c>
      <c r="M129" s="164">
        <v>0</v>
      </c>
      <c r="N129" s="164">
        <v>786.3</v>
      </c>
      <c r="O129" s="164">
        <v>1565675</v>
      </c>
      <c r="P129" s="162">
        <v>0</v>
      </c>
      <c r="Q129" s="164">
        <v>0</v>
      </c>
      <c r="R129" s="164">
        <v>700</v>
      </c>
      <c r="S129" s="164">
        <v>1014744</v>
      </c>
      <c r="T129" s="165">
        <v>0</v>
      </c>
      <c r="U129" s="246">
        <v>0</v>
      </c>
      <c r="V129" s="241">
        <f>C129-'часть 1'!L140</f>
        <v>0</v>
      </c>
      <c r="W129" s="241"/>
      <c r="X129" s="241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254"/>
    </row>
    <row r="130" spans="1:35">
      <c r="A130" s="162">
        <v>122</v>
      </c>
      <c r="B130" s="163" t="s">
        <v>335</v>
      </c>
      <c r="C130" s="164">
        <v>1681645</v>
      </c>
      <c r="D130" s="164"/>
      <c r="E130" s="164"/>
      <c r="F130" s="164"/>
      <c r="G130" s="164"/>
      <c r="H130" s="164"/>
      <c r="I130" s="164"/>
      <c r="J130" s="164"/>
      <c r="K130" s="164">
        <v>0</v>
      </c>
      <c r="L130" s="162">
        <v>0</v>
      </c>
      <c r="M130" s="164">
        <v>0</v>
      </c>
      <c r="N130" s="164">
        <v>848.59</v>
      </c>
      <c r="O130" s="164">
        <v>1681645</v>
      </c>
      <c r="P130" s="162">
        <v>0</v>
      </c>
      <c r="Q130" s="164">
        <v>0</v>
      </c>
      <c r="R130" s="168">
        <v>0</v>
      </c>
      <c r="S130" s="164">
        <v>0</v>
      </c>
      <c r="T130" s="165">
        <v>0</v>
      </c>
      <c r="U130" s="246">
        <v>0</v>
      </c>
      <c r="V130" s="241">
        <f>C130-'часть 1'!L141</f>
        <v>0</v>
      </c>
      <c r="W130" s="241"/>
      <c r="X130" s="241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254"/>
    </row>
    <row r="131" spans="1:35">
      <c r="A131" s="162">
        <v>123</v>
      </c>
      <c r="B131" s="163" t="s">
        <v>255</v>
      </c>
      <c r="C131" s="164">
        <v>1318880</v>
      </c>
      <c r="D131" s="164"/>
      <c r="E131" s="164"/>
      <c r="F131" s="164"/>
      <c r="G131" s="164"/>
      <c r="H131" s="164"/>
      <c r="I131" s="164"/>
      <c r="J131" s="164"/>
      <c r="K131" s="164">
        <v>0</v>
      </c>
      <c r="L131" s="162">
        <v>0</v>
      </c>
      <c r="M131" s="164">
        <v>0</v>
      </c>
      <c r="N131" s="164">
        <v>660</v>
      </c>
      <c r="O131" s="164">
        <v>1318880</v>
      </c>
      <c r="P131" s="162">
        <v>0</v>
      </c>
      <c r="Q131" s="164">
        <v>0</v>
      </c>
      <c r="R131" s="168">
        <v>0</v>
      </c>
      <c r="S131" s="164">
        <v>0</v>
      </c>
      <c r="T131" s="165">
        <v>0</v>
      </c>
      <c r="U131" s="246">
        <v>0</v>
      </c>
      <c r="V131" s="241">
        <f>C131-'часть 1'!L142</f>
        <v>0</v>
      </c>
      <c r="W131" s="241"/>
      <c r="X131" s="241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254"/>
    </row>
    <row r="132" spans="1:35">
      <c r="A132" s="162">
        <v>124</v>
      </c>
      <c r="B132" s="163" t="s">
        <v>245</v>
      </c>
      <c r="C132" s="164">
        <v>1566345</v>
      </c>
      <c r="D132" s="164"/>
      <c r="E132" s="164"/>
      <c r="F132" s="164"/>
      <c r="G132" s="164"/>
      <c r="H132" s="164"/>
      <c r="I132" s="164"/>
      <c r="J132" s="164"/>
      <c r="K132" s="164">
        <v>0</v>
      </c>
      <c r="L132" s="162">
        <v>0</v>
      </c>
      <c r="M132" s="164">
        <v>0</v>
      </c>
      <c r="N132" s="164">
        <v>422</v>
      </c>
      <c r="O132" s="164">
        <v>850468</v>
      </c>
      <c r="P132" s="162">
        <v>0</v>
      </c>
      <c r="Q132" s="164">
        <v>0</v>
      </c>
      <c r="R132" s="164">
        <v>492</v>
      </c>
      <c r="S132" s="164">
        <v>715877</v>
      </c>
      <c r="T132" s="165">
        <v>0</v>
      </c>
      <c r="U132" s="246">
        <v>0</v>
      </c>
      <c r="V132" s="241">
        <f>C132-'часть 1'!L143</f>
        <v>0</v>
      </c>
      <c r="W132" s="241"/>
      <c r="X132" s="241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254"/>
    </row>
    <row r="133" spans="1:35" ht="30">
      <c r="A133" s="162">
        <v>125</v>
      </c>
      <c r="B133" s="163" t="s">
        <v>451</v>
      </c>
      <c r="C133" s="164">
        <v>1910088</v>
      </c>
      <c r="D133" s="164"/>
      <c r="E133" s="164"/>
      <c r="F133" s="164"/>
      <c r="G133" s="164"/>
      <c r="H133" s="164"/>
      <c r="I133" s="164"/>
      <c r="J133" s="164"/>
      <c r="K133" s="164">
        <v>1910088</v>
      </c>
      <c r="L133" s="162">
        <v>0</v>
      </c>
      <c r="M133" s="164">
        <v>0</v>
      </c>
      <c r="N133" s="164">
        <v>0</v>
      </c>
      <c r="O133" s="164">
        <v>0</v>
      </c>
      <c r="P133" s="162">
        <v>0</v>
      </c>
      <c r="Q133" s="164">
        <v>0</v>
      </c>
      <c r="R133" s="168">
        <v>0</v>
      </c>
      <c r="S133" s="164">
        <v>0</v>
      </c>
      <c r="T133" s="165">
        <v>0</v>
      </c>
      <c r="U133" s="246">
        <v>0</v>
      </c>
      <c r="V133" s="241">
        <f>C133-'часть 1'!L144</f>
        <v>0</v>
      </c>
      <c r="W133" s="241"/>
      <c r="X133" s="241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254"/>
    </row>
    <row r="134" spans="1:35">
      <c r="A134" s="162">
        <v>126</v>
      </c>
      <c r="B134" s="163" t="s">
        <v>280</v>
      </c>
      <c r="C134" s="164">
        <v>2694957</v>
      </c>
      <c r="D134" s="164"/>
      <c r="E134" s="164"/>
      <c r="F134" s="164"/>
      <c r="G134" s="164"/>
      <c r="H134" s="164"/>
      <c r="I134" s="164"/>
      <c r="J134" s="164"/>
      <c r="K134" s="164">
        <v>710638</v>
      </c>
      <c r="L134" s="162">
        <v>0</v>
      </c>
      <c r="M134" s="164">
        <v>0</v>
      </c>
      <c r="N134" s="164">
        <v>0</v>
      </c>
      <c r="O134" s="164">
        <v>0</v>
      </c>
      <c r="P134" s="162">
        <v>0</v>
      </c>
      <c r="Q134" s="164">
        <v>0</v>
      </c>
      <c r="R134" s="164">
        <v>1359.5</v>
      </c>
      <c r="S134" s="164">
        <v>1984319</v>
      </c>
      <c r="T134" s="165">
        <v>0</v>
      </c>
      <c r="U134" s="246">
        <v>0</v>
      </c>
      <c r="V134" s="241">
        <f>C134-'часть 1'!L145</f>
        <v>0</v>
      </c>
      <c r="W134" s="241"/>
      <c r="X134" s="241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254"/>
    </row>
    <row r="135" spans="1:35">
      <c r="A135" s="162">
        <v>127</v>
      </c>
      <c r="B135" s="163" t="s">
        <v>367</v>
      </c>
      <c r="C135" s="164">
        <v>580578</v>
      </c>
      <c r="D135" s="164"/>
      <c r="E135" s="164"/>
      <c r="F135" s="164"/>
      <c r="G135" s="164"/>
      <c r="H135" s="164"/>
      <c r="I135" s="164"/>
      <c r="J135" s="164"/>
      <c r="K135" s="164">
        <v>0</v>
      </c>
      <c r="L135" s="162">
        <v>0</v>
      </c>
      <c r="M135" s="164">
        <v>0</v>
      </c>
      <c r="N135" s="164">
        <v>293.5</v>
      </c>
      <c r="O135" s="164">
        <v>580578</v>
      </c>
      <c r="P135" s="162">
        <v>0</v>
      </c>
      <c r="Q135" s="164">
        <v>0</v>
      </c>
      <c r="R135" s="165">
        <v>0</v>
      </c>
      <c r="S135" s="164">
        <v>0</v>
      </c>
      <c r="T135" s="165">
        <v>0</v>
      </c>
      <c r="U135" s="246">
        <v>0</v>
      </c>
      <c r="V135" s="241">
        <f>C135-'часть 1'!L146</f>
        <v>0</v>
      </c>
      <c r="W135" s="241"/>
      <c r="X135" s="241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254"/>
    </row>
    <row r="136" spans="1:35">
      <c r="A136" s="162">
        <v>128</v>
      </c>
      <c r="B136" s="163" t="s">
        <v>464</v>
      </c>
      <c r="C136" s="164">
        <v>615357</v>
      </c>
      <c r="D136" s="164"/>
      <c r="E136" s="164"/>
      <c r="F136" s="164"/>
      <c r="G136" s="164"/>
      <c r="H136" s="164"/>
      <c r="I136" s="164"/>
      <c r="J136" s="164"/>
      <c r="K136" s="164">
        <v>0</v>
      </c>
      <c r="L136" s="162">
        <v>0</v>
      </c>
      <c r="M136" s="164">
        <v>0</v>
      </c>
      <c r="N136" s="164">
        <v>301</v>
      </c>
      <c r="O136" s="164">
        <v>615357</v>
      </c>
      <c r="P136" s="162">
        <v>0</v>
      </c>
      <c r="Q136" s="164">
        <v>0</v>
      </c>
      <c r="R136" s="165">
        <v>0</v>
      </c>
      <c r="S136" s="164">
        <v>0</v>
      </c>
      <c r="T136" s="165">
        <v>0</v>
      </c>
      <c r="U136" s="246">
        <v>0</v>
      </c>
      <c r="V136" s="241">
        <f>C136-'часть 1'!L147</f>
        <v>0</v>
      </c>
      <c r="W136" s="241"/>
      <c r="X136" s="241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254"/>
    </row>
    <row r="137" spans="1:35">
      <c r="A137" s="162">
        <v>129</v>
      </c>
      <c r="B137" s="163" t="s">
        <v>385</v>
      </c>
      <c r="C137" s="164">
        <v>269948.13</v>
      </c>
      <c r="D137" s="164"/>
      <c r="E137" s="164"/>
      <c r="F137" s="164"/>
      <c r="G137" s="164"/>
      <c r="H137" s="164"/>
      <c r="I137" s="164"/>
      <c r="J137" s="164"/>
      <c r="K137" s="164">
        <v>269948.13</v>
      </c>
      <c r="L137" s="162">
        <v>0</v>
      </c>
      <c r="M137" s="164">
        <v>0</v>
      </c>
      <c r="N137" s="164">
        <v>0</v>
      </c>
      <c r="O137" s="164">
        <v>0</v>
      </c>
      <c r="P137" s="162">
        <v>0</v>
      </c>
      <c r="Q137" s="164">
        <v>0</v>
      </c>
      <c r="R137" s="165">
        <v>0</v>
      </c>
      <c r="S137" s="164">
        <v>0</v>
      </c>
      <c r="T137" s="165">
        <v>0</v>
      </c>
      <c r="U137" s="246">
        <v>0</v>
      </c>
      <c r="V137" s="241">
        <f>C137-'часть 1'!L148</f>
        <v>0</v>
      </c>
      <c r="W137" s="241"/>
      <c r="X137" s="241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254"/>
    </row>
    <row r="138" spans="1:35">
      <c r="A138" s="162">
        <v>130</v>
      </c>
      <c r="B138" s="163" t="s">
        <v>238</v>
      </c>
      <c r="C138" s="164">
        <v>807980</v>
      </c>
      <c r="D138" s="164"/>
      <c r="E138" s="164"/>
      <c r="F138" s="164"/>
      <c r="G138" s="164"/>
      <c r="H138" s="164"/>
      <c r="I138" s="164"/>
      <c r="J138" s="164"/>
      <c r="K138" s="164">
        <v>0</v>
      </c>
      <c r="L138" s="162">
        <v>0</v>
      </c>
      <c r="M138" s="164">
        <v>0</v>
      </c>
      <c r="N138" s="164">
        <v>400</v>
      </c>
      <c r="O138" s="164">
        <v>807980</v>
      </c>
      <c r="P138" s="162">
        <v>0</v>
      </c>
      <c r="Q138" s="164">
        <v>0</v>
      </c>
      <c r="R138" s="168">
        <v>0</v>
      </c>
      <c r="S138" s="164">
        <v>0</v>
      </c>
      <c r="T138" s="165">
        <v>0</v>
      </c>
      <c r="U138" s="246">
        <v>0</v>
      </c>
      <c r="V138" s="241">
        <f>C138-'часть 1'!L149</f>
        <v>0</v>
      </c>
      <c r="W138" s="241"/>
      <c r="X138" s="241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254"/>
    </row>
    <row r="139" spans="1:35">
      <c r="A139" s="162">
        <v>131</v>
      </c>
      <c r="B139" s="163" t="s">
        <v>273</v>
      </c>
      <c r="C139" s="164">
        <v>661525</v>
      </c>
      <c r="D139" s="164"/>
      <c r="E139" s="164"/>
      <c r="F139" s="164"/>
      <c r="G139" s="164"/>
      <c r="H139" s="164"/>
      <c r="I139" s="164"/>
      <c r="J139" s="164"/>
      <c r="K139" s="164">
        <v>0</v>
      </c>
      <c r="L139" s="162">
        <v>0</v>
      </c>
      <c r="M139" s="164">
        <v>0</v>
      </c>
      <c r="N139" s="164">
        <v>325</v>
      </c>
      <c r="O139" s="167">
        <v>661525</v>
      </c>
      <c r="P139" s="162">
        <v>0</v>
      </c>
      <c r="Q139" s="164">
        <v>0</v>
      </c>
      <c r="R139" s="165">
        <v>0</v>
      </c>
      <c r="S139" s="164">
        <v>0</v>
      </c>
      <c r="T139" s="165">
        <v>0</v>
      </c>
      <c r="U139" s="246">
        <v>0</v>
      </c>
      <c r="V139" s="241">
        <f>C139-'часть 1'!L150</f>
        <v>0</v>
      </c>
      <c r="W139" s="241"/>
      <c r="X139" s="241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254"/>
    </row>
    <row r="140" spans="1:35">
      <c r="A140" s="166">
        <v>132</v>
      </c>
      <c r="B140" s="163" t="s">
        <v>297</v>
      </c>
      <c r="C140" s="164">
        <v>3719885</v>
      </c>
      <c r="D140" s="164"/>
      <c r="E140" s="164"/>
      <c r="F140" s="164"/>
      <c r="G140" s="164"/>
      <c r="H140" s="164"/>
      <c r="I140" s="164"/>
      <c r="J140" s="164"/>
      <c r="K140" s="164">
        <v>0</v>
      </c>
      <c r="L140" s="162">
        <v>2</v>
      </c>
      <c r="M140" s="164">
        <v>3719885</v>
      </c>
      <c r="N140" s="164">
        <v>0</v>
      </c>
      <c r="O140" s="164">
        <v>0</v>
      </c>
      <c r="P140" s="162">
        <v>0</v>
      </c>
      <c r="Q140" s="164">
        <v>0</v>
      </c>
      <c r="R140" s="165">
        <v>0</v>
      </c>
      <c r="S140" s="164">
        <v>0</v>
      </c>
      <c r="T140" s="165">
        <v>0</v>
      </c>
      <c r="U140" s="246">
        <v>0</v>
      </c>
      <c r="V140" s="241">
        <f>C140-'часть 1'!L151</f>
        <v>0</v>
      </c>
      <c r="W140" s="241"/>
      <c r="X140" s="241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254"/>
    </row>
    <row r="141" spans="1:35">
      <c r="A141" s="166">
        <v>133</v>
      </c>
      <c r="B141" s="163" t="s">
        <v>263</v>
      </c>
      <c r="C141" s="164">
        <v>1726391</v>
      </c>
      <c r="D141" s="164"/>
      <c r="E141" s="164"/>
      <c r="F141" s="164"/>
      <c r="G141" s="164"/>
      <c r="H141" s="164"/>
      <c r="I141" s="164"/>
      <c r="J141" s="164"/>
      <c r="K141" s="164">
        <v>0</v>
      </c>
      <c r="L141" s="162">
        <v>0</v>
      </c>
      <c r="M141" s="164">
        <v>0</v>
      </c>
      <c r="N141" s="164">
        <v>866.8</v>
      </c>
      <c r="O141" s="164">
        <v>1726391</v>
      </c>
      <c r="P141" s="162">
        <v>0</v>
      </c>
      <c r="Q141" s="164">
        <v>0</v>
      </c>
      <c r="R141" s="165">
        <v>0</v>
      </c>
      <c r="S141" s="164">
        <v>0</v>
      </c>
      <c r="T141" s="165">
        <v>0</v>
      </c>
      <c r="U141" s="246">
        <v>0</v>
      </c>
      <c r="V141" s="241">
        <f>C141-'часть 1'!L152</f>
        <v>0</v>
      </c>
      <c r="W141" s="241"/>
      <c r="X141" s="241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254"/>
    </row>
    <row r="142" spans="1:35">
      <c r="A142" s="166">
        <v>134</v>
      </c>
      <c r="B142" s="163" t="s">
        <v>235</v>
      </c>
      <c r="C142" s="164">
        <v>1521754</v>
      </c>
      <c r="D142" s="164"/>
      <c r="E142" s="164"/>
      <c r="F142" s="164"/>
      <c r="G142" s="164"/>
      <c r="H142" s="164"/>
      <c r="I142" s="164"/>
      <c r="J142" s="164"/>
      <c r="K142" s="164">
        <v>0</v>
      </c>
      <c r="L142" s="162">
        <v>0</v>
      </c>
      <c r="M142" s="164">
        <v>0</v>
      </c>
      <c r="N142" s="164">
        <v>430</v>
      </c>
      <c r="O142" s="164">
        <v>866735</v>
      </c>
      <c r="P142" s="162">
        <v>0</v>
      </c>
      <c r="Q142" s="164">
        <v>0</v>
      </c>
      <c r="R142" s="164">
        <v>449</v>
      </c>
      <c r="S142" s="164">
        <v>655019</v>
      </c>
      <c r="T142" s="165">
        <v>0</v>
      </c>
      <c r="U142" s="246">
        <v>0</v>
      </c>
      <c r="V142" s="241">
        <f>C142-'часть 1'!L153</f>
        <v>0</v>
      </c>
      <c r="W142" s="241"/>
      <c r="X142" s="241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254"/>
    </row>
    <row r="143" spans="1:35">
      <c r="A143" s="166">
        <v>135</v>
      </c>
      <c r="B143" s="163" t="s">
        <v>227</v>
      </c>
      <c r="C143" s="164">
        <v>671505</v>
      </c>
      <c r="D143" s="164"/>
      <c r="E143" s="164"/>
      <c r="F143" s="164"/>
      <c r="G143" s="164"/>
      <c r="H143" s="164"/>
      <c r="I143" s="164"/>
      <c r="J143" s="164"/>
      <c r="K143" s="164" t="e">
        <f>#REF!</f>
        <v>#REF!</v>
      </c>
      <c r="L143" s="162">
        <v>0</v>
      </c>
      <c r="M143" s="164">
        <v>0</v>
      </c>
      <c r="N143" s="164">
        <v>0</v>
      </c>
      <c r="O143" s="164">
        <v>0</v>
      </c>
      <c r="P143" s="162">
        <v>0</v>
      </c>
      <c r="Q143" s="164">
        <v>0</v>
      </c>
      <c r="R143" s="164">
        <v>404.5</v>
      </c>
      <c r="S143" s="164">
        <v>591227</v>
      </c>
      <c r="T143" s="165">
        <v>0</v>
      </c>
      <c r="U143" s="246">
        <v>0</v>
      </c>
      <c r="V143" s="241">
        <f>C143-'часть 1'!L154</f>
        <v>0</v>
      </c>
      <c r="W143" s="241"/>
      <c r="X143" s="241"/>
      <c r="Y143" s="9"/>
      <c r="Z143" s="235"/>
      <c r="AA143" s="9"/>
      <c r="AB143" s="9"/>
      <c r="AC143" s="9"/>
      <c r="AD143" s="9"/>
      <c r="AE143" s="9"/>
      <c r="AF143" s="9"/>
      <c r="AG143" s="9"/>
      <c r="AH143" s="9"/>
      <c r="AI143" s="254"/>
    </row>
    <row r="144" spans="1:35">
      <c r="A144" s="166">
        <v>136</v>
      </c>
      <c r="B144" s="163" t="s">
        <v>339</v>
      </c>
      <c r="C144" s="164">
        <v>1081718</v>
      </c>
      <c r="D144" s="164"/>
      <c r="E144" s="164"/>
      <c r="F144" s="164"/>
      <c r="G144" s="164"/>
      <c r="H144" s="164"/>
      <c r="I144" s="164"/>
      <c r="J144" s="164"/>
      <c r="K144" s="164">
        <v>0</v>
      </c>
      <c r="L144" s="162">
        <v>0</v>
      </c>
      <c r="M144" s="164">
        <v>0</v>
      </c>
      <c r="N144" s="164">
        <v>531.70000000000005</v>
      </c>
      <c r="O144" s="164">
        <v>1081718</v>
      </c>
      <c r="P144" s="162">
        <v>0</v>
      </c>
      <c r="Q144" s="164">
        <v>0</v>
      </c>
      <c r="R144" s="165">
        <v>0</v>
      </c>
      <c r="S144" s="164">
        <v>0</v>
      </c>
      <c r="T144" s="165">
        <v>0</v>
      </c>
      <c r="U144" s="246">
        <v>0</v>
      </c>
      <c r="V144" s="241">
        <f>C144-'часть 1'!L155</f>
        <v>0</v>
      </c>
      <c r="W144" s="241"/>
      <c r="X144" s="241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254"/>
    </row>
    <row r="145" spans="1:35">
      <c r="A145" s="166">
        <v>137</v>
      </c>
      <c r="B145" s="163" t="s">
        <v>231</v>
      </c>
      <c r="C145" s="164">
        <v>206635</v>
      </c>
      <c r="D145" s="164"/>
      <c r="E145" s="164"/>
      <c r="F145" s="164"/>
      <c r="G145" s="164"/>
      <c r="H145" s="164"/>
      <c r="I145" s="164"/>
      <c r="J145" s="164"/>
      <c r="K145" s="164">
        <v>206635</v>
      </c>
      <c r="L145" s="162">
        <v>0</v>
      </c>
      <c r="M145" s="164">
        <v>0</v>
      </c>
      <c r="N145" s="164">
        <v>0</v>
      </c>
      <c r="O145" s="164">
        <v>0</v>
      </c>
      <c r="P145" s="162">
        <v>0</v>
      </c>
      <c r="Q145" s="164">
        <v>0</v>
      </c>
      <c r="R145" s="165">
        <v>0</v>
      </c>
      <c r="S145" s="164">
        <v>0</v>
      </c>
      <c r="T145" s="165">
        <v>0</v>
      </c>
      <c r="U145" s="246">
        <v>0</v>
      </c>
      <c r="V145" s="241">
        <f>C145-'часть 1'!L156</f>
        <v>0</v>
      </c>
      <c r="W145" s="241"/>
      <c r="X145" s="241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254"/>
    </row>
    <row r="146" spans="1:35">
      <c r="A146" s="166">
        <v>138</v>
      </c>
      <c r="B146" s="163" t="s">
        <v>300</v>
      </c>
      <c r="C146" s="164">
        <v>1044081.04</v>
      </c>
      <c r="D146" s="164"/>
      <c r="E146" s="164"/>
      <c r="F146" s="164"/>
      <c r="G146" s="164"/>
      <c r="H146" s="164"/>
      <c r="I146" s="164"/>
      <c r="J146" s="164"/>
      <c r="K146" s="164">
        <v>0</v>
      </c>
      <c r="L146" s="162">
        <v>0</v>
      </c>
      <c r="M146" s="164">
        <v>0</v>
      </c>
      <c r="N146" s="164">
        <v>516.5</v>
      </c>
      <c r="O146" s="164">
        <v>1044081.04</v>
      </c>
      <c r="P146" s="162">
        <v>0</v>
      </c>
      <c r="Q146" s="164">
        <v>0</v>
      </c>
      <c r="R146" s="168">
        <v>0</v>
      </c>
      <c r="S146" s="164">
        <v>0</v>
      </c>
      <c r="T146" s="165">
        <v>0</v>
      </c>
      <c r="U146" s="246">
        <v>0</v>
      </c>
      <c r="V146" s="241">
        <f>C146-'часть 1'!L157</f>
        <v>0</v>
      </c>
      <c r="W146" s="241"/>
      <c r="X146" s="241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254"/>
    </row>
    <row r="147" spans="1:35">
      <c r="A147" s="166">
        <v>139</v>
      </c>
      <c r="B147" s="163" t="s">
        <v>283</v>
      </c>
      <c r="C147" s="164">
        <v>1340000</v>
      </c>
      <c r="D147" s="164"/>
      <c r="E147" s="164"/>
      <c r="F147" s="164"/>
      <c r="G147" s="164"/>
      <c r="H147" s="164"/>
      <c r="I147" s="164"/>
      <c r="J147" s="164"/>
      <c r="K147" s="164">
        <v>1340000</v>
      </c>
      <c r="L147" s="162">
        <v>0</v>
      </c>
      <c r="M147" s="164">
        <v>0</v>
      </c>
      <c r="N147" s="164">
        <v>0</v>
      </c>
      <c r="O147" s="164">
        <v>0</v>
      </c>
      <c r="P147" s="162">
        <v>0</v>
      </c>
      <c r="Q147" s="164">
        <v>0</v>
      </c>
      <c r="R147" s="165">
        <v>0</v>
      </c>
      <c r="S147" s="164">
        <v>0</v>
      </c>
      <c r="T147" s="165">
        <v>0</v>
      </c>
      <c r="U147" s="246">
        <v>0</v>
      </c>
      <c r="V147" s="241">
        <f>C147-'часть 1'!L158</f>
        <v>0</v>
      </c>
      <c r="W147" s="241"/>
      <c r="X147" s="241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254"/>
    </row>
    <row r="148" spans="1:35">
      <c r="A148" s="166">
        <v>140</v>
      </c>
      <c r="B148" s="163" t="s">
        <v>450</v>
      </c>
      <c r="C148" s="164">
        <v>2294529</v>
      </c>
      <c r="D148" s="164"/>
      <c r="E148" s="164"/>
      <c r="F148" s="164"/>
      <c r="G148" s="164"/>
      <c r="H148" s="164"/>
      <c r="I148" s="164"/>
      <c r="J148" s="164"/>
      <c r="K148" s="164">
        <v>0</v>
      </c>
      <c r="L148" s="162">
        <v>0</v>
      </c>
      <c r="M148" s="164">
        <v>0</v>
      </c>
      <c r="N148" s="164">
        <v>1162</v>
      </c>
      <c r="O148" s="164">
        <v>2294529</v>
      </c>
      <c r="P148" s="162">
        <v>0</v>
      </c>
      <c r="Q148" s="164">
        <v>0</v>
      </c>
      <c r="R148" s="165">
        <v>0</v>
      </c>
      <c r="S148" s="164">
        <v>0</v>
      </c>
      <c r="T148" s="165">
        <v>0</v>
      </c>
      <c r="U148" s="246">
        <v>0</v>
      </c>
      <c r="V148" s="241">
        <f>C148-'часть 1'!L159</f>
        <v>0</v>
      </c>
      <c r="W148" s="241"/>
      <c r="X148" s="241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254"/>
    </row>
    <row r="149" spans="1:35">
      <c r="A149" s="166">
        <v>141</v>
      </c>
      <c r="B149" s="163" t="s">
        <v>230</v>
      </c>
      <c r="C149" s="164">
        <v>2615616.2000000002</v>
      </c>
      <c r="D149" s="164"/>
      <c r="E149" s="164"/>
      <c r="F149" s="164"/>
      <c r="G149" s="164"/>
      <c r="H149" s="164"/>
      <c r="I149" s="164"/>
      <c r="J149" s="164"/>
      <c r="K149" s="164">
        <v>0</v>
      </c>
      <c r="L149" s="162">
        <v>0</v>
      </c>
      <c r="M149" s="164">
        <v>0</v>
      </c>
      <c r="N149" s="164">
        <v>0</v>
      </c>
      <c r="O149" s="164">
        <v>0</v>
      </c>
      <c r="P149" s="162">
        <v>0</v>
      </c>
      <c r="Q149" s="164">
        <v>0</v>
      </c>
      <c r="R149" s="164">
        <v>2540</v>
      </c>
      <c r="S149" s="164">
        <v>2615616.2000000002</v>
      </c>
      <c r="T149" s="165">
        <v>0</v>
      </c>
      <c r="U149" s="246">
        <v>0</v>
      </c>
      <c r="V149" s="241">
        <f>C149-'часть 1'!L160</f>
        <v>0</v>
      </c>
      <c r="W149" s="241"/>
      <c r="X149" s="241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254"/>
    </row>
    <row r="150" spans="1:35">
      <c r="A150" s="166">
        <v>142</v>
      </c>
      <c r="B150" s="163" t="s">
        <v>295</v>
      </c>
      <c r="C150" s="164">
        <v>1561539</v>
      </c>
      <c r="D150" s="164"/>
      <c r="E150" s="164"/>
      <c r="F150" s="164"/>
      <c r="G150" s="164"/>
      <c r="H150" s="164"/>
      <c r="I150" s="164"/>
      <c r="J150" s="164"/>
      <c r="K150" s="164">
        <v>0</v>
      </c>
      <c r="L150" s="162">
        <v>0</v>
      </c>
      <c r="M150" s="164">
        <v>0</v>
      </c>
      <c r="N150" s="164">
        <v>787.85</v>
      </c>
      <c r="O150" s="164">
        <v>1561539</v>
      </c>
      <c r="P150" s="169">
        <v>0</v>
      </c>
      <c r="Q150" s="164">
        <v>0</v>
      </c>
      <c r="R150" s="168">
        <v>0</v>
      </c>
      <c r="S150" s="164">
        <v>0</v>
      </c>
      <c r="T150" s="165">
        <v>0</v>
      </c>
      <c r="U150" s="246">
        <v>0</v>
      </c>
      <c r="V150" s="241">
        <f>C150-'часть 1'!L161</f>
        <v>0</v>
      </c>
      <c r="W150" s="241"/>
      <c r="X150" s="241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254"/>
    </row>
    <row r="151" spans="1:35">
      <c r="A151" s="166">
        <v>143</v>
      </c>
      <c r="B151" s="163" t="s">
        <v>294</v>
      </c>
      <c r="C151" s="164">
        <v>1421187</v>
      </c>
      <c r="D151" s="164"/>
      <c r="E151" s="164"/>
      <c r="F151" s="164"/>
      <c r="G151" s="164"/>
      <c r="H151" s="164"/>
      <c r="I151" s="164"/>
      <c r="J151" s="164"/>
      <c r="K151" s="164">
        <v>0</v>
      </c>
      <c r="L151" s="162">
        <v>0</v>
      </c>
      <c r="M151" s="164">
        <v>0</v>
      </c>
      <c r="N151" s="164">
        <v>687</v>
      </c>
      <c r="O151" s="167">
        <v>1421187</v>
      </c>
      <c r="P151" s="162">
        <v>0</v>
      </c>
      <c r="Q151" s="164">
        <v>0</v>
      </c>
      <c r="R151" s="168">
        <v>0</v>
      </c>
      <c r="S151" s="164">
        <v>0</v>
      </c>
      <c r="T151" s="165">
        <v>0</v>
      </c>
      <c r="U151" s="246">
        <v>0</v>
      </c>
      <c r="V151" s="241">
        <f>C151-'часть 1'!L162</f>
        <v>0</v>
      </c>
      <c r="W151" s="241"/>
      <c r="X151" s="241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254"/>
    </row>
    <row r="152" spans="1:35">
      <c r="A152" s="166">
        <v>144</v>
      </c>
      <c r="B152" s="163" t="s">
        <v>270</v>
      </c>
      <c r="C152" s="164">
        <v>2469740</v>
      </c>
      <c r="D152" s="164"/>
      <c r="E152" s="164"/>
      <c r="F152" s="164"/>
      <c r="G152" s="164"/>
      <c r="H152" s="164"/>
      <c r="I152" s="164"/>
      <c r="J152" s="164"/>
      <c r="K152" s="164">
        <v>757154</v>
      </c>
      <c r="L152" s="162">
        <v>0</v>
      </c>
      <c r="M152" s="164">
        <v>0</v>
      </c>
      <c r="N152" s="164">
        <v>868.1</v>
      </c>
      <c r="O152" s="164">
        <v>1712586</v>
      </c>
      <c r="P152" s="162">
        <v>0</v>
      </c>
      <c r="Q152" s="164">
        <v>0</v>
      </c>
      <c r="R152" s="165">
        <v>0</v>
      </c>
      <c r="S152" s="164">
        <v>0</v>
      </c>
      <c r="T152" s="165">
        <v>0</v>
      </c>
      <c r="U152" s="246">
        <v>0</v>
      </c>
      <c r="V152" s="241">
        <f>C152-'часть 1'!L163</f>
        <v>0</v>
      </c>
      <c r="W152" s="241"/>
      <c r="X152" s="241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254"/>
    </row>
    <row r="153" spans="1:35">
      <c r="A153" s="166">
        <v>145</v>
      </c>
      <c r="B153" s="163" t="s">
        <v>252</v>
      </c>
      <c r="C153" s="164">
        <v>1104857</v>
      </c>
      <c r="D153" s="164"/>
      <c r="E153" s="164"/>
      <c r="F153" s="164"/>
      <c r="G153" s="164"/>
      <c r="H153" s="164"/>
      <c r="I153" s="164"/>
      <c r="J153" s="164"/>
      <c r="K153" s="164">
        <v>0</v>
      </c>
      <c r="L153" s="162">
        <v>0</v>
      </c>
      <c r="M153" s="164">
        <v>0</v>
      </c>
      <c r="N153" s="164">
        <v>545.6</v>
      </c>
      <c r="O153" s="164">
        <v>1104857</v>
      </c>
      <c r="P153" s="162">
        <v>0</v>
      </c>
      <c r="Q153" s="164">
        <v>0</v>
      </c>
      <c r="R153" s="168">
        <v>0</v>
      </c>
      <c r="S153" s="164">
        <v>0</v>
      </c>
      <c r="T153" s="165">
        <v>0</v>
      </c>
      <c r="U153" s="246">
        <v>0</v>
      </c>
      <c r="V153" s="241">
        <f>C153-'часть 1'!L164</f>
        <v>0</v>
      </c>
      <c r="W153" s="241"/>
      <c r="X153" s="241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254"/>
    </row>
    <row r="154" spans="1:35">
      <c r="A154" s="166">
        <v>146</v>
      </c>
      <c r="B154" s="163" t="s">
        <v>304</v>
      </c>
      <c r="C154" s="164">
        <v>1877378</v>
      </c>
      <c r="D154" s="164"/>
      <c r="E154" s="164"/>
      <c r="F154" s="164"/>
      <c r="G154" s="164"/>
      <c r="H154" s="164"/>
      <c r="I154" s="164"/>
      <c r="J154" s="164"/>
      <c r="K154" s="164">
        <v>0</v>
      </c>
      <c r="L154" s="162">
        <v>1</v>
      </c>
      <c r="M154" s="167">
        <v>1877378</v>
      </c>
      <c r="N154" s="164">
        <v>0</v>
      </c>
      <c r="O154" s="164">
        <v>0</v>
      </c>
      <c r="P154" s="162">
        <v>0</v>
      </c>
      <c r="Q154" s="164">
        <v>0</v>
      </c>
      <c r="R154" s="165">
        <v>0</v>
      </c>
      <c r="S154" s="164">
        <v>0</v>
      </c>
      <c r="T154" s="165">
        <v>0</v>
      </c>
      <c r="U154" s="246">
        <v>0</v>
      </c>
      <c r="V154" s="241">
        <f>C154-'часть 1'!L165</f>
        <v>0</v>
      </c>
      <c r="W154" s="241"/>
      <c r="X154" s="241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254"/>
    </row>
    <row r="155" spans="1:35">
      <c r="A155" s="166">
        <v>147</v>
      </c>
      <c r="B155" s="163" t="s">
        <v>228</v>
      </c>
      <c r="C155" s="164">
        <v>2945836</v>
      </c>
      <c r="D155" s="164"/>
      <c r="E155" s="164"/>
      <c r="F155" s="164"/>
      <c r="G155" s="164"/>
      <c r="H155" s="164"/>
      <c r="I155" s="164"/>
      <c r="J155" s="164"/>
      <c r="K155" s="164" t="e">
        <f>#REF!</f>
        <v>#REF!</v>
      </c>
      <c r="L155" s="162">
        <v>0</v>
      </c>
      <c r="M155" s="164">
        <v>0</v>
      </c>
      <c r="N155" s="164">
        <v>0</v>
      </c>
      <c r="O155" s="164">
        <v>0</v>
      </c>
      <c r="P155" s="162">
        <v>0</v>
      </c>
      <c r="Q155" s="164">
        <v>0</v>
      </c>
      <c r="R155" s="165">
        <v>0</v>
      </c>
      <c r="S155" s="164">
        <v>0</v>
      </c>
      <c r="T155" s="165">
        <v>0</v>
      </c>
      <c r="U155" s="246">
        <v>0</v>
      </c>
      <c r="V155" s="241">
        <f>C155-'часть 1'!L166</f>
        <v>0</v>
      </c>
      <c r="W155" s="241"/>
      <c r="X155" s="241"/>
      <c r="Y155" s="9"/>
      <c r="Z155" s="9"/>
      <c r="AA155" s="9"/>
      <c r="AB155" s="235"/>
      <c r="AC155" s="9"/>
      <c r="AD155" s="9"/>
      <c r="AE155" s="9"/>
      <c r="AF155" s="235"/>
      <c r="AG155" s="9"/>
      <c r="AH155" s="9"/>
      <c r="AI155" s="254"/>
    </row>
    <row r="156" spans="1:35">
      <c r="A156" s="166">
        <v>148</v>
      </c>
      <c r="B156" s="163" t="s">
        <v>225</v>
      </c>
      <c r="C156" s="164">
        <v>1118494</v>
      </c>
      <c r="D156" s="164"/>
      <c r="E156" s="164"/>
      <c r="F156" s="164"/>
      <c r="G156" s="164"/>
      <c r="H156" s="164"/>
      <c r="I156" s="164"/>
      <c r="J156" s="164"/>
      <c r="K156" s="164">
        <v>1118494</v>
      </c>
      <c r="L156" s="162">
        <v>0</v>
      </c>
      <c r="M156" s="164">
        <v>0</v>
      </c>
      <c r="N156" s="167">
        <v>0</v>
      </c>
      <c r="O156" s="164">
        <v>0</v>
      </c>
      <c r="P156" s="162">
        <v>0</v>
      </c>
      <c r="Q156" s="164">
        <v>0</v>
      </c>
      <c r="R156" s="168">
        <v>0</v>
      </c>
      <c r="S156" s="164">
        <v>0</v>
      </c>
      <c r="T156" s="165">
        <v>0</v>
      </c>
      <c r="U156" s="246">
        <v>0</v>
      </c>
      <c r="V156" s="241">
        <f>C156-'часть 1'!L167</f>
        <v>0</v>
      </c>
      <c r="W156" s="241"/>
      <c r="X156" s="241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254"/>
    </row>
    <row r="157" spans="1:35">
      <c r="A157" s="166">
        <v>149</v>
      </c>
      <c r="B157" s="163" t="s">
        <v>232</v>
      </c>
      <c r="C157" s="164">
        <v>2540427</v>
      </c>
      <c r="D157" s="164"/>
      <c r="E157" s="164"/>
      <c r="F157" s="164"/>
      <c r="G157" s="164"/>
      <c r="H157" s="164"/>
      <c r="I157" s="164"/>
      <c r="J157" s="164"/>
      <c r="K157" s="164">
        <v>0</v>
      </c>
      <c r="L157" s="162">
        <v>0</v>
      </c>
      <c r="M157" s="164">
        <v>0</v>
      </c>
      <c r="N157" s="164">
        <v>592</v>
      </c>
      <c r="O157" s="164">
        <v>1201460</v>
      </c>
      <c r="P157" s="162">
        <v>0</v>
      </c>
      <c r="Q157" s="164">
        <v>0</v>
      </c>
      <c r="R157" s="164">
        <v>922</v>
      </c>
      <c r="S157" s="164">
        <v>1338967</v>
      </c>
      <c r="T157" s="165">
        <v>0</v>
      </c>
      <c r="U157" s="246">
        <v>0</v>
      </c>
      <c r="V157" s="241">
        <f>C157-'часть 1'!L168</f>
        <v>0</v>
      </c>
      <c r="W157" s="241"/>
      <c r="X157" s="241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254"/>
    </row>
    <row r="158" spans="1:35">
      <c r="A158" s="166">
        <v>150</v>
      </c>
      <c r="B158" s="163" t="s">
        <v>275</v>
      </c>
      <c r="C158" s="164">
        <v>2253297</v>
      </c>
      <c r="D158" s="164"/>
      <c r="E158" s="164"/>
      <c r="F158" s="164"/>
      <c r="G158" s="164"/>
      <c r="H158" s="164"/>
      <c r="I158" s="164"/>
      <c r="J158" s="164"/>
      <c r="K158" s="164">
        <v>0</v>
      </c>
      <c r="L158" s="162">
        <v>0</v>
      </c>
      <c r="M158" s="164">
        <v>0</v>
      </c>
      <c r="N158" s="164">
        <v>1126</v>
      </c>
      <c r="O158" s="164">
        <v>2253297</v>
      </c>
      <c r="P158" s="162">
        <v>0</v>
      </c>
      <c r="Q158" s="164">
        <v>0</v>
      </c>
      <c r="R158" s="165">
        <v>0</v>
      </c>
      <c r="S158" s="164">
        <v>0</v>
      </c>
      <c r="T158" s="165">
        <v>0</v>
      </c>
      <c r="U158" s="246">
        <v>0</v>
      </c>
      <c r="V158" s="241">
        <f>C158-'часть 1'!L169</f>
        <v>0</v>
      </c>
      <c r="W158" s="241"/>
      <c r="X158" s="241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254"/>
    </row>
    <row r="159" spans="1:35" s="237" customFormat="1">
      <c r="A159" s="162">
        <v>151</v>
      </c>
      <c r="B159" s="163" t="s">
        <v>286</v>
      </c>
      <c r="C159" s="164">
        <v>1390061</v>
      </c>
      <c r="D159" s="164"/>
      <c r="E159" s="164"/>
      <c r="F159" s="164"/>
      <c r="G159" s="164"/>
      <c r="H159" s="164"/>
      <c r="I159" s="164"/>
      <c r="J159" s="164"/>
      <c r="K159" s="164" t="e">
        <f>#REF!</f>
        <v>#REF!</v>
      </c>
      <c r="L159" s="162">
        <v>0</v>
      </c>
      <c r="M159" s="164">
        <v>0</v>
      </c>
      <c r="N159" s="164">
        <v>0</v>
      </c>
      <c r="O159" s="164">
        <v>0</v>
      </c>
      <c r="P159" s="162">
        <v>0</v>
      </c>
      <c r="Q159" s="164">
        <v>0</v>
      </c>
      <c r="R159" s="165">
        <v>0</v>
      </c>
      <c r="S159" s="164">
        <v>0</v>
      </c>
      <c r="T159" s="165">
        <v>0</v>
      </c>
      <c r="U159" s="246">
        <v>0</v>
      </c>
      <c r="V159" s="241">
        <f>C159-'часть 1'!L170</f>
        <v>0</v>
      </c>
      <c r="W159" s="241"/>
      <c r="X159" s="241"/>
      <c r="Y159" s="236"/>
      <c r="Z159" s="236"/>
      <c r="AA159" s="236"/>
      <c r="AB159" s="236"/>
      <c r="AC159" s="236"/>
      <c r="AD159" s="236"/>
      <c r="AE159" s="236"/>
      <c r="AF159" s="236"/>
      <c r="AG159" s="236"/>
      <c r="AH159" s="236"/>
      <c r="AI159" s="256"/>
    </row>
    <row r="160" spans="1:35" ht="30">
      <c r="A160" s="166">
        <v>152</v>
      </c>
      <c r="B160" s="163" t="s">
        <v>342</v>
      </c>
      <c r="C160" s="164">
        <v>3213804</v>
      </c>
      <c r="D160" s="164"/>
      <c r="E160" s="164"/>
      <c r="F160" s="164"/>
      <c r="G160" s="164"/>
      <c r="H160" s="164"/>
      <c r="I160" s="164"/>
      <c r="J160" s="164"/>
      <c r="K160" s="164">
        <v>846948</v>
      </c>
      <c r="L160" s="162">
        <v>0</v>
      </c>
      <c r="M160" s="164">
        <v>0</v>
      </c>
      <c r="N160" s="164">
        <v>1200</v>
      </c>
      <c r="O160" s="164">
        <v>2366856</v>
      </c>
      <c r="P160" s="162">
        <v>0</v>
      </c>
      <c r="Q160" s="164">
        <v>0</v>
      </c>
      <c r="R160" s="165">
        <v>0</v>
      </c>
      <c r="S160" s="164">
        <v>0</v>
      </c>
      <c r="T160" s="165">
        <v>0</v>
      </c>
      <c r="U160" s="246">
        <v>0</v>
      </c>
      <c r="V160" s="241">
        <f>C160-'часть 1'!L171</f>
        <v>0</v>
      </c>
      <c r="W160" s="241"/>
      <c r="X160" s="241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254"/>
    </row>
    <row r="161" spans="1:35">
      <c r="A161" s="166">
        <v>153</v>
      </c>
      <c r="B161" s="163" t="s">
        <v>298</v>
      </c>
      <c r="C161" s="164">
        <v>3202371</v>
      </c>
      <c r="D161" s="164"/>
      <c r="E161" s="164"/>
      <c r="F161" s="164"/>
      <c r="G161" s="164"/>
      <c r="H161" s="164"/>
      <c r="I161" s="164"/>
      <c r="J161" s="164"/>
      <c r="K161" s="164">
        <v>0</v>
      </c>
      <c r="L161" s="162">
        <v>0</v>
      </c>
      <c r="M161" s="164">
        <v>0</v>
      </c>
      <c r="N161" s="164">
        <v>0</v>
      </c>
      <c r="O161" s="164">
        <v>0</v>
      </c>
      <c r="P161" s="162">
        <v>0</v>
      </c>
      <c r="Q161" s="164">
        <v>0</v>
      </c>
      <c r="R161" s="164">
        <v>2220.83</v>
      </c>
      <c r="S161" s="164">
        <v>3202371</v>
      </c>
      <c r="T161" s="165">
        <v>0</v>
      </c>
      <c r="U161" s="246">
        <v>0</v>
      </c>
      <c r="V161" s="241">
        <f>C161-'часть 1'!L172</f>
        <v>0</v>
      </c>
      <c r="W161" s="241"/>
      <c r="X161" s="241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254"/>
    </row>
    <row r="162" spans="1:35">
      <c r="A162" s="166">
        <v>154</v>
      </c>
      <c r="B162" s="163" t="s">
        <v>253</v>
      </c>
      <c r="C162" s="164">
        <v>709022</v>
      </c>
      <c r="D162" s="164"/>
      <c r="E162" s="164"/>
      <c r="F162" s="164"/>
      <c r="G162" s="164"/>
      <c r="H162" s="164"/>
      <c r="I162" s="164"/>
      <c r="J162" s="164"/>
      <c r="K162" s="164">
        <v>0</v>
      </c>
      <c r="L162" s="162">
        <v>0</v>
      </c>
      <c r="M162" s="164">
        <v>0</v>
      </c>
      <c r="N162" s="164">
        <v>0</v>
      </c>
      <c r="O162" s="164">
        <v>0</v>
      </c>
      <c r="P162" s="162">
        <v>0</v>
      </c>
      <c r="Q162" s="164">
        <v>0</v>
      </c>
      <c r="R162" s="164">
        <v>486.6</v>
      </c>
      <c r="S162" s="167">
        <v>709022</v>
      </c>
      <c r="T162" s="165">
        <v>0</v>
      </c>
      <c r="U162" s="246">
        <v>0</v>
      </c>
      <c r="V162" s="241">
        <f>C162-'часть 1'!L173</f>
        <v>0</v>
      </c>
      <c r="W162" s="241"/>
      <c r="X162" s="241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254"/>
    </row>
    <row r="163" spans="1:35">
      <c r="A163" s="162">
        <v>155</v>
      </c>
      <c r="B163" s="163" t="s">
        <v>260</v>
      </c>
      <c r="C163" s="164">
        <v>1136930</v>
      </c>
      <c r="D163" s="164"/>
      <c r="E163" s="164"/>
      <c r="F163" s="164"/>
      <c r="G163" s="164"/>
      <c r="H163" s="164"/>
      <c r="I163" s="164"/>
      <c r="J163" s="164"/>
      <c r="K163" s="164">
        <v>0</v>
      </c>
      <c r="L163" s="162">
        <v>0</v>
      </c>
      <c r="M163" s="164">
        <v>0</v>
      </c>
      <c r="N163" s="164">
        <v>278</v>
      </c>
      <c r="O163" s="164">
        <v>570382</v>
      </c>
      <c r="P163" s="162">
        <v>0</v>
      </c>
      <c r="Q163" s="164">
        <v>0</v>
      </c>
      <c r="R163" s="164">
        <v>386.88</v>
      </c>
      <c r="S163" s="164">
        <v>566548</v>
      </c>
      <c r="T163" s="165">
        <v>0</v>
      </c>
      <c r="U163" s="246">
        <v>0</v>
      </c>
      <c r="V163" s="241">
        <f>C163-'часть 1'!L174</f>
        <v>0</v>
      </c>
      <c r="W163" s="241"/>
      <c r="X163" s="241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254"/>
    </row>
    <row r="164" spans="1:35">
      <c r="A164" s="166">
        <v>156</v>
      </c>
      <c r="B164" s="163" t="s">
        <v>349</v>
      </c>
      <c r="C164" s="164">
        <v>1320636</v>
      </c>
      <c r="D164" s="164"/>
      <c r="E164" s="164"/>
      <c r="F164" s="164"/>
      <c r="G164" s="164"/>
      <c r="H164" s="164"/>
      <c r="I164" s="164"/>
      <c r="J164" s="164"/>
      <c r="K164" s="164">
        <v>0</v>
      </c>
      <c r="L164" s="162">
        <v>0</v>
      </c>
      <c r="M164" s="164">
        <v>0</v>
      </c>
      <c r="N164" s="171">
        <v>662</v>
      </c>
      <c r="O164" s="167">
        <v>1320636</v>
      </c>
      <c r="P164" s="162">
        <v>0</v>
      </c>
      <c r="Q164" s="164">
        <v>0</v>
      </c>
      <c r="R164" s="165">
        <v>0</v>
      </c>
      <c r="S164" s="164">
        <v>0</v>
      </c>
      <c r="T164" s="165">
        <v>0</v>
      </c>
      <c r="U164" s="246">
        <v>0</v>
      </c>
      <c r="V164" s="241">
        <f>C164-'часть 1'!L175</f>
        <v>0</v>
      </c>
      <c r="W164" s="241"/>
      <c r="X164" s="241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254"/>
    </row>
    <row r="165" spans="1:35">
      <c r="A165" s="166">
        <v>157</v>
      </c>
      <c r="B165" s="163" t="s">
        <v>302</v>
      </c>
      <c r="C165" s="164">
        <v>4265098</v>
      </c>
      <c r="D165" s="164"/>
      <c r="E165" s="164"/>
      <c r="F165" s="164"/>
      <c r="G165" s="164"/>
      <c r="H165" s="164"/>
      <c r="I165" s="164"/>
      <c r="J165" s="164"/>
      <c r="K165" s="164">
        <v>0</v>
      </c>
      <c r="L165" s="162">
        <v>0</v>
      </c>
      <c r="M165" s="164">
        <v>0</v>
      </c>
      <c r="N165" s="164">
        <v>0</v>
      </c>
      <c r="O165" s="164">
        <v>0</v>
      </c>
      <c r="P165" s="162">
        <v>0</v>
      </c>
      <c r="Q165" s="164">
        <v>0</v>
      </c>
      <c r="R165" s="164">
        <v>2927.5</v>
      </c>
      <c r="S165" s="164">
        <v>4265098</v>
      </c>
      <c r="T165" s="165">
        <v>0</v>
      </c>
      <c r="U165" s="246">
        <v>0</v>
      </c>
      <c r="V165" s="241">
        <f>C165-'часть 1'!L176</f>
        <v>0</v>
      </c>
      <c r="W165" s="241"/>
      <c r="X165" s="241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254"/>
    </row>
    <row r="166" spans="1:35">
      <c r="A166" s="166">
        <v>158</v>
      </c>
      <c r="B166" s="163" t="s">
        <v>341</v>
      </c>
      <c r="C166" s="164">
        <v>2115890</v>
      </c>
      <c r="D166" s="164"/>
      <c r="E166" s="164"/>
      <c r="F166" s="164"/>
      <c r="G166" s="164"/>
      <c r="H166" s="164"/>
      <c r="I166" s="164"/>
      <c r="J166" s="164"/>
      <c r="K166" s="164">
        <v>2115890</v>
      </c>
      <c r="L166" s="162">
        <v>0</v>
      </c>
      <c r="M166" s="164">
        <v>0</v>
      </c>
      <c r="N166" s="164">
        <v>0</v>
      </c>
      <c r="O166" s="164">
        <v>0</v>
      </c>
      <c r="P166" s="162">
        <v>0</v>
      </c>
      <c r="Q166" s="164">
        <v>0</v>
      </c>
      <c r="R166" s="165">
        <v>0</v>
      </c>
      <c r="S166" s="164">
        <v>0</v>
      </c>
      <c r="T166" s="165">
        <v>0</v>
      </c>
      <c r="U166" s="246">
        <v>0</v>
      </c>
      <c r="V166" s="241">
        <f>C166-'часть 1'!L177</f>
        <v>0</v>
      </c>
      <c r="W166" s="241"/>
      <c r="X166" s="241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254"/>
    </row>
    <row r="167" spans="1:35">
      <c r="A167" s="166">
        <v>159</v>
      </c>
      <c r="B167" s="163" t="s">
        <v>242</v>
      </c>
      <c r="C167" s="164">
        <v>482251.51</v>
      </c>
      <c r="D167" s="164"/>
      <c r="E167" s="164"/>
      <c r="F167" s="164"/>
      <c r="G167" s="164"/>
      <c r="H167" s="164"/>
      <c r="I167" s="164"/>
      <c r="J167" s="164"/>
      <c r="K167" s="164">
        <v>482251.51</v>
      </c>
      <c r="L167" s="162">
        <v>0</v>
      </c>
      <c r="M167" s="164">
        <v>0</v>
      </c>
      <c r="N167" s="164">
        <v>0</v>
      </c>
      <c r="O167" s="164">
        <v>0</v>
      </c>
      <c r="P167" s="162">
        <v>0</v>
      </c>
      <c r="Q167" s="164">
        <v>0</v>
      </c>
      <c r="R167" s="165">
        <v>0</v>
      </c>
      <c r="S167" s="164">
        <v>0</v>
      </c>
      <c r="T167" s="165">
        <v>0</v>
      </c>
      <c r="U167" s="246">
        <v>0</v>
      </c>
      <c r="V167" s="241">
        <f>C167-'часть 1'!L178</f>
        <v>0</v>
      </c>
      <c r="W167" s="241"/>
      <c r="X167" s="241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254"/>
    </row>
    <row r="168" spans="1:35">
      <c r="A168" s="166">
        <v>160</v>
      </c>
      <c r="B168" s="163" t="s">
        <v>279</v>
      </c>
      <c r="C168" s="164">
        <v>1018040.92</v>
      </c>
      <c r="D168" s="164"/>
      <c r="E168" s="164"/>
      <c r="F168" s="164"/>
      <c r="G168" s="164"/>
      <c r="H168" s="164"/>
      <c r="I168" s="164"/>
      <c r="J168" s="164"/>
      <c r="K168" s="164">
        <v>0</v>
      </c>
      <c r="L168" s="162">
        <v>0</v>
      </c>
      <c r="M168" s="164">
        <v>0</v>
      </c>
      <c r="N168" s="164">
        <v>516.5</v>
      </c>
      <c r="O168" s="164">
        <v>1018040.92</v>
      </c>
      <c r="P168" s="162">
        <v>0</v>
      </c>
      <c r="Q168" s="164">
        <v>0</v>
      </c>
      <c r="R168" s="165">
        <v>0</v>
      </c>
      <c r="S168" s="164">
        <v>0</v>
      </c>
      <c r="T168" s="165">
        <v>0</v>
      </c>
      <c r="U168" s="246">
        <v>0</v>
      </c>
      <c r="V168" s="241">
        <f>C168-'часть 1'!L179</f>
        <v>0</v>
      </c>
      <c r="W168" s="241"/>
      <c r="X168" s="241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254"/>
    </row>
    <row r="169" spans="1:35">
      <c r="A169" s="166">
        <v>161</v>
      </c>
      <c r="B169" s="163" t="s">
        <v>262</v>
      </c>
      <c r="C169" s="164">
        <v>1871554</v>
      </c>
      <c r="D169" s="164"/>
      <c r="E169" s="164"/>
      <c r="F169" s="164"/>
      <c r="G169" s="164"/>
      <c r="H169" s="164"/>
      <c r="I169" s="164"/>
      <c r="J169" s="164"/>
      <c r="K169" s="164">
        <v>0</v>
      </c>
      <c r="L169" s="162">
        <v>1</v>
      </c>
      <c r="M169" s="164">
        <v>1871554</v>
      </c>
      <c r="N169" s="164">
        <v>0</v>
      </c>
      <c r="O169" s="164">
        <v>0</v>
      </c>
      <c r="P169" s="162">
        <v>0</v>
      </c>
      <c r="Q169" s="164">
        <v>0</v>
      </c>
      <c r="R169" s="165">
        <v>0</v>
      </c>
      <c r="S169" s="164">
        <v>0</v>
      </c>
      <c r="T169" s="165">
        <v>0</v>
      </c>
      <c r="U169" s="246">
        <v>0</v>
      </c>
      <c r="V169" s="241">
        <f>C169-'часть 1'!L180</f>
        <v>0</v>
      </c>
      <c r="W169" s="241"/>
      <c r="X169" s="241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254"/>
    </row>
    <row r="170" spans="1:35">
      <c r="A170" s="166">
        <v>162</v>
      </c>
      <c r="B170" s="163" t="s">
        <v>290</v>
      </c>
      <c r="C170" s="164">
        <v>2652530</v>
      </c>
      <c r="D170" s="164"/>
      <c r="E170" s="164"/>
      <c r="F170" s="164"/>
      <c r="G170" s="164"/>
      <c r="H170" s="164"/>
      <c r="I170" s="164"/>
      <c r="J170" s="164"/>
      <c r="K170" s="164">
        <v>2652530</v>
      </c>
      <c r="L170" s="162">
        <v>0</v>
      </c>
      <c r="M170" s="164">
        <v>0</v>
      </c>
      <c r="N170" s="167">
        <v>0</v>
      </c>
      <c r="O170" s="164">
        <v>0</v>
      </c>
      <c r="P170" s="162">
        <v>0</v>
      </c>
      <c r="Q170" s="164">
        <v>0</v>
      </c>
      <c r="R170" s="168">
        <v>0</v>
      </c>
      <c r="S170" s="164">
        <v>0</v>
      </c>
      <c r="T170" s="165">
        <v>0</v>
      </c>
      <c r="U170" s="246">
        <v>0</v>
      </c>
      <c r="V170" s="241">
        <f>C170-'часть 1'!L181</f>
        <v>0</v>
      </c>
      <c r="W170" s="241"/>
      <c r="X170" s="241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254"/>
    </row>
    <row r="171" spans="1:35">
      <c r="A171" s="166">
        <v>163</v>
      </c>
      <c r="B171" s="163" t="s">
        <v>356</v>
      </c>
      <c r="C171" s="164">
        <v>3645969</v>
      </c>
      <c r="D171" s="164"/>
      <c r="E171" s="164"/>
      <c r="F171" s="164"/>
      <c r="G171" s="164"/>
      <c r="H171" s="164"/>
      <c r="I171" s="164"/>
      <c r="J171" s="164"/>
      <c r="K171" s="164" t="e">
        <f>#REF!</f>
        <v>#REF!</v>
      </c>
      <c r="L171" s="162">
        <v>0</v>
      </c>
      <c r="M171" s="164">
        <v>0</v>
      </c>
      <c r="N171" s="164">
        <v>0</v>
      </c>
      <c r="O171" s="164">
        <v>0</v>
      </c>
      <c r="P171" s="162">
        <v>0</v>
      </c>
      <c r="Q171" s="164">
        <v>0</v>
      </c>
      <c r="R171" s="168">
        <v>0</v>
      </c>
      <c r="S171" s="164">
        <v>0</v>
      </c>
      <c r="T171" s="165">
        <v>0</v>
      </c>
      <c r="U171" s="246">
        <v>0</v>
      </c>
      <c r="V171" s="241">
        <f>C171-'часть 1'!L182</f>
        <v>0</v>
      </c>
      <c r="W171" s="241"/>
      <c r="X171" s="241"/>
      <c r="Y171" s="9"/>
      <c r="Z171" s="9"/>
      <c r="AA171" s="9"/>
      <c r="AB171" s="9"/>
      <c r="AC171" s="3"/>
      <c r="AD171" s="9"/>
      <c r="AE171" s="9"/>
      <c r="AF171" s="9"/>
      <c r="AG171" s="9"/>
      <c r="AH171" s="9"/>
      <c r="AI171" s="254"/>
    </row>
    <row r="172" spans="1:35">
      <c r="A172" s="166">
        <v>164</v>
      </c>
      <c r="B172" s="163" t="s">
        <v>354</v>
      </c>
      <c r="C172" s="164">
        <v>771330</v>
      </c>
      <c r="D172" s="164"/>
      <c r="E172" s="164"/>
      <c r="F172" s="164"/>
      <c r="G172" s="164"/>
      <c r="H172" s="164"/>
      <c r="I172" s="164"/>
      <c r="J172" s="164"/>
      <c r="K172" s="164">
        <v>0</v>
      </c>
      <c r="L172" s="162">
        <v>0</v>
      </c>
      <c r="M172" s="164">
        <v>0</v>
      </c>
      <c r="N172" s="164">
        <v>376</v>
      </c>
      <c r="O172" s="164">
        <v>771330</v>
      </c>
      <c r="P172" s="162">
        <v>0</v>
      </c>
      <c r="Q172" s="164">
        <v>0</v>
      </c>
      <c r="R172" s="165">
        <v>0</v>
      </c>
      <c r="S172" s="164">
        <v>0</v>
      </c>
      <c r="T172" s="165">
        <v>0</v>
      </c>
      <c r="U172" s="246">
        <v>0</v>
      </c>
      <c r="V172" s="241">
        <f>C172-'часть 1'!L183</f>
        <v>0</v>
      </c>
      <c r="W172" s="241"/>
      <c r="X172" s="241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254"/>
    </row>
    <row r="173" spans="1:35">
      <c r="A173" s="166">
        <v>165</v>
      </c>
      <c r="B173" s="163" t="s">
        <v>352</v>
      </c>
      <c r="C173" s="164">
        <v>1894719</v>
      </c>
      <c r="D173" s="164"/>
      <c r="E173" s="164"/>
      <c r="F173" s="164"/>
      <c r="G173" s="164"/>
      <c r="H173" s="164"/>
      <c r="I173" s="164"/>
      <c r="J173" s="164"/>
      <c r="K173" s="164">
        <v>0</v>
      </c>
      <c r="L173" s="162">
        <v>1</v>
      </c>
      <c r="M173" s="164">
        <v>1894719</v>
      </c>
      <c r="N173" s="164">
        <v>0</v>
      </c>
      <c r="O173" s="164">
        <v>0</v>
      </c>
      <c r="P173" s="162">
        <v>0</v>
      </c>
      <c r="Q173" s="164">
        <v>0</v>
      </c>
      <c r="R173" s="165">
        <v>0</v>
      </c>
      <c r="S173" s="164">
        <v>0</v>
      </c>
      <c r="T173" s="165">
        <v>0</v>
      </c>
      <c r="U173" s="246">
        <v>0</v>
      </c>
      <c r="V173" s="241">
        <f>C173-'часть 1'!L184</f>
        <v>0</v>
      </c>
      <c r="W173" s="241"/>
      <c r="X173" s="241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254"/>
    </row>
    <row r="174" spans="1:35">
      <c r="A174" s="166">
        <v>166</v>
      </c>
      <c r="B174" s="163" t="s">
        <v>355</v>
      </c>
      <c r="C174" s="164">
        <v>1492412</v>
      </c>
      <c r="D174" s="164"/>
      <c r="E174" s="164"/>
      <c r="F174" s="164"/>
      <c r="G174" s="164"/>
      <c r="H174" s="164"/>
      <c r="I174" s="164"/>
      <c r="J174" s="164"/>
      <c r="K174" s="164">
        <v>0</v>
      </c>
      <c r="L174" s="162">
        <v>0</v>
      </c>
      <c r="M174" s="164">
        <v>0</v>
      </c>
      <c r="N174" s="164">
        <v>752</v>
      </c>
      <c r="O174" s="164">
        <v>1492412</v>
      </c>
      <c r="P174" s="162">
        <v>0</v>
      </c>
      <c r="Q174" s="164">
        <v>0</v>
      </c>
      <c r="R174" s="165">
        <v>0</v>
      </c>
      <c r="S174" s="164">
        <v>0</v>
      </c>
      <c r="T174" s="165">
        <v>0</v>
      </c>
      <c r="U174" s="246">
        <v>0</v>
      </c>
      <c r="V174" s="241">
        <f>C174-'часть 1'!L185</f>
        <v>0</v>
      </c>
      <c r="W174" s="241"/>
      <c r="X174" s="241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254"/>
    </row>
    <row r="175" spans="1:35">
      <c r="A175" s="166">
        <v>167</v>
      </c>
      <c r="B175" s="163" t="s">
        <v>318</v>
      </c>
      <c r="C175" s="164">
        <v>651523.25</v>
      </c>
      <c r="D175" s="164"/>
      <c r="E175" s="164"/>
      <c r="F175" s="164"/>
      <c r="G175" s="164"/>
      <c r="H175" s="164"/>
      <c r="I175" s="164"/>
      <c r="J175" s="164"/>
      <c r="K175" s="164">
        <v>651523.25</v>
      </c>
      <c r="L175" s="162">
        <v>0</v>
      </c>
      <c r="M175" s="164">
        <v>0</v>
      </c>
      <c r="N175" s="167">
        <v>0</v>
      </c>
      <c r="O175" s="164">
        <v>0</v>
      </c>
      <c r="P175" s="162">
        <v>0</v>
      </c>
      <c r="Q175" s="164">
        <v>0</v>
      </c>
      <c r="R175" s="168">
        <v>0</v>
      </c>
      <c r="S175" s="164">
        <v>0</v>
      </c>
      <c r="T175" s="165">
        <v>0</v>
      </c>
      <c r="U175" s="246">
        <v>0</v>
      </c>
      <c r="V175" s="241">
        <f>C175-'часть 1'!L186</f>
        <v>0</v>
      </c>
      <c r="W175" s="241"/>
      <c r="X175" s="241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254"/>
    </row>
    <row r="176" spans="1:35" ht="15.75" thickBot="1">
      <c r="A176" s="166">
        <v>168</v>
      </c>
      <c r="B176" s="163" t="s">
        <v>353</v>
      </c>
      <c r="C176" s="164">
        <v>1221424.83</v>
      </c>
      <c r="D176" s="164"/>
      <c r="E176" s="164"/>
      <c r="F176" s="164"/>
      <c r="G176" s="164"/>
      <c r="H176" s="164"/>
      <c r="I176" s="164"/>
      <c r="J176" s="164"/>
      <c r="K176" s="164">
        <v>0</v>
      </c>
      <c r="L176" s="162">
        <v>0</v>
      </c>
      <c r="M176" s="164">
        <v>0</v>
      </c>
      <c r="N176" s="164">
        <v>640</v>
      </c>
      <c r="O176" s="164">
        <v>1221424.83</v>
      </c>
      <c r="P176" s="162">
        <v>0</v>
      </c>
      <c r="Q176" s="164">
        <v>0</v>
      </c>
      <c r="R176" s="168">
        <v>0</v>
      </c>
      <c r="S176" s="164">
        <v>0</v>
      </c>
      <c r="T176" s="165">
        <v>0</v>
      </c>
      <c r="U176" s="246">
        <v>0</v>
      </c>
      <c r="V176" s="241">
        <f>C176-'часть 1'!L187</f>
        <v>0</v>
      </c>
      <c r="W176" s="241"/>
      <c r="X176" s="241"/>
      <c r="Y176" s="50"/>
      <c r="Z176" s="9"/>
      <c r="AA176" s="50"/>
      <c r="AB176" s="9"/>
      <c r="AC176" s="50"/>
      <c r="AD176" s="9"/>
      <c r="AE176" s="50"/>
      <c r="AF176" s="9"/>
      <c r="AG176" s="50"/>
      <c r="AH176" s="9"/>
      <c r="AI176" s="257"/>
    </row>
    <row r="177" spans="1:24" ht="31.5" customHeight="1">
      <c r="A177" s="166"/>
      <c r="B177" s="163" t="s">
        <v>91</v>
      </c>
      <c r="C177" s="164">
        <f>C178+C179+C180+C181+C182+C183+C184+C185+C186+C187+C188+C189+C190+C191+C192+C193</f>
        <v>31255395.629999999</v>
      </c>
      <c r="D177" s="164">
        <f t="shared" ref="D177:V177" si="1">D178+D179+D180+D181+D182+D183+D184+D185+D186+D187+D188+D189+D190+D191+D192+D193</f>
        <v>0</v>
      </c>
      <c r="E177" s="164">
        <f t="shared" si="1"/>
        <v>0</v>
      </c>
      <c r="F177" s="164">
        <f t="shared" si="1"/>
        <v>0</v>
      </c>
      <c r="G177" s="164">
        <f t="shared" si="1"/>
        <v>0</v>
      </c>
      <c r="H177" s="164">
        <f t="shared" si="1"/>
        <v>0</v>
      </c>
      <c r="I177" s="164">
        <f t="shared" si="1"/>
        <v>0</v>
      </c>
      <c r="J177" s="164">
        <f t="shared" si="1"/>
        <v>0</v>
      </c>
      <c r="K177" s="164">
        <f t="shared" si="1"/>
        <v>0</v>
      </c>
      <c r="L177" s="164">
        <f t="shared" si="1"/>
        <v>0</v>
      </c>
      <c r="M177" s="164">
        <f t="shared" si="1"/>
        <v>0</v>
      </c>
      <c r="N177" s="164">
        <f t="shared" si="1"/>
        <v>9743.69</v>
      </c>
      <c r="O177" s="164">
        <f t="shared" si="1"/>
        <v>31255395.629999999</v>
      </c>
      <c r="P177" s="164">
        <f t="shared" si="1"/>
        <v>0</v>
      </c>
      <c r="Q177" s="164">
        <f t="shared" si="1"/>
        <v>0</v>
      </c>
      <c r="R177" s="164">
        <f t="shared" si="1"/>
        <v>0</v>
      </c>
      <c r="S177" s="164">
        <f t="shared" si="1"/>
        <v>0</v>
      </c>
      <c r="T177" s="164">
        <f t="shared" si="1"/>
        <v>0</v>
      </c>
      <c r="U177" s="164">
        <f t="shared" si="1"/>
        <v>0</v>
      </c>
      <c r="V177" s="164">
        <f t="shared" si="1"/>
        <v>0</v>
      </c>
      <c r="W177" s="241"/>
      <c r="X177" s="241"/>
    </row>
    <row r="178" spans="1:24" ht="15.75">
      <c r="A178" s="166">
        <v>1</v>
      </c>
      <c r="B178" s="225" t="s">
        <v>927</v>
      </c>
      <c r="C178" s="164">
        <f>'часть 1'!L189</f>
        <v>3615424</v>
      </c>
      <c r="D178" s="164">
        <v>0</v>
      </c>
      <c r="E178" s="164">
        <v>0</v>
      </c>
      <c r="F178" s="164">
        <v>0</v>
      </c>
      <c r="G178" s="164">
        <v>0</v>
      </c>
      <c r="H178" s="164">
        <v>0</v>
      </c>
      <c r="I178" s="164">
        <v>0</v>
      </c>
      <c r="J178" s="164">
        <v>0</v>
      </c>
      <c r="K178" s="164">
        <v>0</v>
      </c>
      <c r="L178" s="174">
        <v>0</v>
      </c>
      <c r="M178" s="167">
        <v>0</v>
      </c>
      <c r="N178" s="167">
        <v>1138</v>
      </c>
      <c r="O178" s="167">
        <f>C178</f>
        <v>3615424</v>
      </c>
      <c r="P178" s="169">
        <v>0</v>
      </c>
      <c r="Q178" s="167">
        <v>0</v>
      </c>
      <c r="R178" s="168">
        <v>0</v>
      </c>
      <c r="S178" s="175">
        <v>0</v>
      </c>
      <c r="T178" s="169">
        <v>0</v>
      </c>
      <c r="U178" s="247">
        <v>0</v>
      </c>
      <c r="V178" s="241"/>
      <c r="W178" s="241">
        <f>O178/N178</f>
        <v>3176.9982425307558</v>
      </c>
      <c r="X178" s="241"/>
    </row>
    <row r="179" spans="1:24" ht="15.75">
      <c r="A179" s="166">
        <v>2</v>
      </c>
      <c r="B179" s="225" t="s">
        <v>928</v>
      </c>
      <c r="C179" s="164">
        <f>'часть 1'!L190</f>
        <v>3435122.02</v>
      </c>
      <c r="D179" s="164">
        <v>0</v>
      </c>
      <c r="E179" s="164">
        <v>0</v>
      </c>
      <c r="F179" s="164">
        <v>0</v>
      </c>
      <c r="G179" s="164">
        <v>0</v>
      </c>
      <c r="H179" s="164">
        <v>0</v>
      </c>
      <c r="I179" s="164">
        <v>0</v>
      </c>
      <c r="J179" s="164">
        <v>0</v>
      </c>
      <c r="K179" s="164">
        <v>0</v>
      </c>
      <c r="L179" s="174">
        <v>0</v>
      </c>
      <c r="M179" s="167">
        <v>0</v>
      </c>
      <c r="N179" s="167">
        <v>1550</v>
      </c>
      <c r="O179" s="167">
        <f t="shared" ref="O179:O193" si="2">C179</f>
        <v>3435122.02</v>
      </c>
      <c r="P179" s="169">
        <v>0</v>
      </c>
      <c r="Q179" s="167">
        <v>0</v>
      </c>
      <c r="R179" s="168">
        <v>0</v>
      </c>
      <c r="S179" s="175">
        <v>0</v>
      </c>
      <c r="T179" s="169">
        <v>0</v>
      </c>
      <c r="U179" s="247">
        <v>0</v>
      </c>
      <c r="V179" s="241"/>
      <c r="W179" s="241">
        <f t="shared" ref="W179:W193" si="3">O179/N179</f>
        <v>2216.2077548387097</v>
      </c>
      <c r="X179" s="241"/>
    </row>
    <row r="180" spans="1:24" ht="15.75">
      <c r="A180" s="166">
        <v>3</v>
      </c>
      <c r="B180" s="225" t="s">
        <v>929</v>
      </c>
      <c r="C180" s="164">
        <f>'часть 1'!L191</f>
        <v>1525199</v>
      </c>
      <c r="D180" s="164">
        <v>0</v>
      </c>
      <c r="E180" s="164">
        <v>0</v>
      </c>
      <c r="F180" s="164">
        <v>0</v>
      </c>
      <c r="G180" s="164">
        <v>0</v>
      </c>
      <c r="H180" s="164">
        <v>0</v>
      </c>
      <c r="I180" s="164">
        <v>0</v>
      </c>
      <c r="J180" s="164">
        <v>0</v>
      </c>
      <c r="K180" s="164">
        <v>0</v>
      </c>
      <c r="L180" s="174">
        <v>0</v>
      </c>
      <c r="M180" s="167">
        <v>0</v>
      </c>
      <c r="N180" s="167">
        <v>483.1</v>
      </c>
      <c r="O180" s="167">
        <f t="shared" si="2"/>
        <v>1525199</v>
      </c>
      <c r="P180" s="169">
        <v>0</v>
      </c>
      <c r="Q180" s="167">
        <v>0</v>
      </c>
      <c r="R180" s="168">
        <v>0</v>
      </c>
      <c r="S180" s="175">
        <v>0</v>
      </c>
      <c r="T180" s="169">
        <v>0</v>
      </c>
      <c r="U180" s="247">
        <v>0</v>
      </c>
      <c r="V180" s="241"/>
      <c r="W180" s="241">
        <f t="shared" si="3"/>
        <v>3157.1082591595941</v>
      </c>
      <c r="X180" s="241"/>
    </row>
    <row r="181" spans="1:24" ht="15.75">
      <c r="A181" s="166">
        <v>4</v>
      </c>
      <c r="B181" s="225" t="s">
        <v>930</v>
      </c>
      <c r="C181" s="164">
        <f>'часть 1'!L192</f>
        <v>2379167.9900000002</v>
      </c>
      <c r="D181" s="164">
        <v>0</v>
      </c>
      <c r="E181" s="164">
        <v>0</v>
      </c>
      <c r="F181" s="164">
        <v>0</v>
      </c>
      <c r="G181" s="164">
        <v>0</v>
      </c>
      <c r="H181" s="164">
        <v>0</v>
      </c>
      <c r="I181" s="164">
        <v>0</v>
      </c>
      <c r="J181" s="164">
        <v>0</v>
      </c>
      <c r="K181" s="164">
        <v>0</v>
      </c>
      <c r="L181" s="174">
        <v>0</v>
      </c>
      <c r="M181" s="167">
        <v>0</v>
      </c>
      <c r="N181" s="167">
        <v>840</v>
      </c>
      <c r="O181" s="167">
        <f t="shared" si="2"/>
        <v>2379167.9900000002</v>
      </c>
      <c r="P181" s="169">
        <v>0</v>
      </c>
      <c r="Q181" s="167">
        <v>0</v>
      </c>
      <c r="R181" s="168">
        <v>0</v>
      </c>
      <c r="S181" s="175">
        <v>0</v>
      </c>
      <c r="T181" s="169">
        <v>0</v>
      </c>
      <c r="U181" s="247">
        <v>0</v>
      </c>
      <c r="V181" s="241"/>
      <c r="W181" s="241">
        <f t="shared" si="3"/>
        <v>2832.3428452380954</v>
      </c>
      <c r="X181" s="241"/>
    </row>
    <row r="182" spans="1:24" ht="15.75">
      <c r="A182" s="166">
        <v>5</v>
      </c>
      <c r="B182" s="225" t="s">
        <v>931</v>
      </c>
      <c r="C182" s="164">
        <f>'часть 1'!L193</f>
        <v>2435193</v>
      </c>
      <c r="D182" s="164">
        <v>0</v>
      </c>
      <c r="E182" s="164">
        <v>0</v>
      </c>
      <c r="F182" s="164">
        <v>0</v>
      </c>
      <c r="G182" s="164">
        <v>0</v>
      </c>
      <c r="H182" s="164">
        <v>0</v>
      </c>
      <c r="I182" s="164">
        <v>0</v>
      </c>
      <c r="J182" s="164">
        <v>0</v>
      </c>
      <c r="K182" s="164">
        <v>0</v>
      </c>
      <c r="L182" s="174">
        <v>0</v>
      </c>
      <c r="M182" s="167">
        <v>0</v>
      </c>
      <c r="N182" s="167">
        <v>770</v>
      </c>
      <c r="O182" s="167">
        <f t="shared" si="2"/>
        <v>2435193</v>
      </c>
      <c r="P182" s="169">
        <v>0</v>
      </c>
      <c r="Q182" s="167">
        <v>0</v>
      </c>
      <c r="R182" s="168">
        <v>0</v>
      </c>
      <c r="S182" s="175">
        <v>0</v>
      </c>
      <c r="T182" s="169">
        <v>0</v>
      </c>
      <c r="U182" s="247">
        <v>0</v>
      </c>
      <c r="V182" s="241"/>
      <c r="W182" s="241">
        <f t="shared" si="3"/>
        <v>3162.5883116883115</v>
      </c>
      <c r="X182" s="241"/>
    </row>
    <row r="183" spans="1:24" ht="15.75">
      <c r="A183" s="166">
        <v>6</v>
      </c>
      <c r="B183" s="225" t="s">
        <v>932</v>
      </c>
      <c r="C183" s="164">
        <f>'часть 1'!L194</f>
        <v>2705457.32</v>
      </c>
      <c r="D183" s="164">
        <v>0</v>
      </c>
      <c r="E183" s="164">
        <v>0</v>
      </c>
      <c r="F183" s="164">
        <v>0</v>
      </c>
      <c r="G183" s="164">
        <v>0</v>
      </c>
      <c r="H183" s="164">
        <v>0</v>
      </c>
      <c r="I183" s="164">
        <v>0</v>
      </c>
      <c r="J183" s="164">
        <v>0</v>
      </c>
      <c r="K183" s="164">
        <v>0</v>
      </c>
      <c r="L183" s="174">
        <v>0</v>
      </c>
      <c r="M183" s="167">
        <v>0</v>
      </c>
      <c r="N183" s="167"/>
      <c r="O183" s="167">
        <f t="shared" si="2"/>
        <v>2705457.32</v>
      </c>
      <c r="P183" s="169">
        <v>0</v>
      </c>
      <c r="Q183" s="167">
        <v>0</v>
      </c>
      <c r="R183" s="168">
        <v>0</v>
      </c>
      <c r="S183" s="175">
        <v>0</v>
      </c>
      <c r="T183" s="169">
        <v>0</v>
      </c>
      <c r="U183" s="247">
        <v>0</v>
      </c>
      <c r="V183" s="241"/>
      <c r="W183" s="241" t="e">
        <f t="shared" si="3"/>
        <v>#DIV/0!</v>
      </c>
      <c r="X183" s="241"/>
    </row>
    <row r="184" spans="1:24" ht="15.75">
      <c r="A184" s="166">
        <v>7</v>
      </c>
      <c r="B184" s="225" t="s">
        <v>933</v>
      </c>
      <c r="C184" s="164">
        <f>'часть 1'!L195</f>
        <v>954408.5</v>
      </c>
      <c r="D184" s="164">
        <v>0</v>
      </c>
      <c r="E184" s="164">
        <v>0</v>
      </c>
      <c r="F184" s="164">
        <v>0</v>
      </c>
      <c r="G184" s="164">
        <v>0</v>
      </c>
      <c r="H184" s="164">
        <v>0</v>
      </c>
      <c r="I184" s="164">
        <v>0</v>
      </c>
      <c r="J184" s="164">
        <v>0</v>
      </c>
      <c r="K184" s="164">
        <v>0</v>
      </c>
      <c r="L184" s="174">
        <v>0</v>
      </c>
      <c r="M184" s="167">
        <v>0</v>
      </c>
      <c r="N184" s="167">
        <v>451.2</v>
      </c>
      <c r="O184" s="167">
        <f t="shared" si="2"/>
        <v>954408.5</v>
      </c>
      <c r="P184" s="169">
        <v>0</v>
      </c>
      <c r="Q184" s="167">
        <v>0</v>
      </c>
      <c r="R184" s="168">
        <v>0</v>
      </c>
      <c r="S184" s="175">
        <v>0</v>
      </c>
      <c r="T184" s="169">
        <v>0</v>
      </c>
      <c r="U184" s="247">
        <v>0</v>
      </c>
      <c r="V184" s="241"/>
      <c r="W184" s="241">
        <f t="shared" si="3"/>
        <v>2115.2670656028367</v>
      </c>
      <c r="X184" s="241"/>
    </row>
    <row r="185" spans="1:24" ht="15.75">
      <c r="A185" s="166">
        <v>8</v>
      </c>
      <c r="B185" s="225" t="s">
        <v>934</v>
      </c>
      <c r="C185" s="164">
        <f>'часть 1'!L196</f>
        <v>2430125</v>
      </c>
      <c r="D185" s="164">
        <v>0</v>
      </c>
      <c r="E185" s="164">
        <v>0</v>
      </c>
      <c r="F185" s="164">
        <v>0</v>
      </c>
      <c r="G185" s="164">
        <v>0</v>
      </c>
      <c r="H185" s="164">
        <v>0</v>
      </c>
      <c r="I185" s="164">
        <v>0</v>
      </c>
      <c r="J185" s="164">
        <v>0</v>
      </c>
      <c r="K185" s="164">
        <v>0</v>
      </c>
      <c r="L185" s="174">
        <v>0</v>
      </c>
      <c r="M185" s="167">
        <v>0</v>
      </c>
      <c r="N185" s="167">
        <v>571.03</v>
      </c>
      <c r="O185" s="167">
        <f t="shared" si="2"/>
        <v>2430125</v>
      </c>
      <c r="P185" s="169">
        <v>0</v>
      </c>
      <c r="Q185" s="167">
        <v>0</v>
      </c>
      <c r="R185" s="168">
        <v>0</v>
      </c>
      <c r="S185" s="175">
        <v>0</v>
      </c>
      <c r="T185" s="169">
        <v>0</v>
      </c>
      <c r="U185" s="247">
        <v>0</v>
      </c>
      <c r="V185" s="241"/>
      <c r="W185" s="241">
        <f t="shared" si="3"/>
        <v>4255.687091746493</v>
      </c>
      <c r="X185" s="241"/>
    </row>
    <row r="186" spans="1:24" ht="15.75">
      <c r="A186" s="166">
        <v>9</v>
      </c>
      <c r="B186" s="225" t="s">
        <v>935</v>
      </c>
      <c r="C186" s="164">
        <f>'часть 1'!L197</f>
        <v>2505651</v>
      </c>
      <c r="D186" s="164">
        <v>0</v>
      </c>
      <c r="E186" s="164">
        <v>0</v>
      </c>
      <c r="F186" s="164">
        <v>0</v>
      </c>
      <c r="G186" s="164">
        <v>0</v>
      </c>
      <c r="H186" s="164">
        <v>0</v>
      </c>
      <c r="I186" s="164">
        <v>0</v>
      </c>
      <c r="J186" s="164">
        <v>0</v>
      </c>
      <c r="K186" s="164">
        <v>0</v>
      </c>
      <c r="L186" s="174">
        <v>0</v>
      </c>
      <c r="M186" s="167">
        <v>0</v>
      </c>
      <c r="N186" s="167">
        <v>792</v>
      </c>
      <c r="O186" s="167">
        <f t="shared" si="2"/>
        <v>2505651</v>
      </c>
      <c r="P186" s="169">
        <v>0</v>
      </c>
      <c r="Q186" s="167">
        <v>0</v>
      </c>
      <c r="R186" s="168">
        <v>0</v>
      </c>
      <c r="S186" s="175">
        <v>0</v>
      </c>
      <c r="T186" s="169">
        <v>0</v>
      </c>
      <c r="U186" s="247">
        <v>0</v>
      </c>
      <c r="V186" s="241"/>
      <c r="W186" s="241">
        <f t="shared" si="3"/>
        <v>3163.7007575757575</v>
      </c>
      <c r="X186" s="241"/>
    </row>
    <row r="187" spans="1:24" ht="15.75">
      <c r="A187" s="166">
        <v>10</v>
      </c>
      <c r="B187" s="225" t="s">
        <v>936</v>
      </c>
      <c r="C187" s="164">
        <f>'часть 1'!L198</f>
        <v>1546987</v>
      </c>
      <c r="D187" s="164">
        <v>0</v>
      </c>
      <c r="E187" s="164">
        <v>0</v>
      </c>
      <c r="F187" s="164">
        <v>0</v>
      </c>
      <c r="G187" s="164">
        <v>0</v>
      </c>
      <c r="H187" s="164">
        <v>0</v>
      </c>
      <c r="I187" s="164">
        <v>0</v>
      </c>
      <c r="J187" s="164">
        <v>0</v>
      </c>
      <c r="K187" s="164">
        <v>0</v>
      </c>
      <c r="L187" s="174">
        <v>0</v>
      </c>
      <c r="M187" s="167">
        <v>0</v>
      </c>
      <c r="N187" s="167">
        <v>485</v>
      </c>
      <c r="O187" s="167">
        <f t="shared" si="2"/>
        <v>1546987</v>
      </c>
      <c r="P187" s="169">
        <v>0</v>
      </c>
      <c r="Q187" s="167">
        <v>0</v>
      </c>
      <c r="R187" s="168">
        <v>0</v>
      </c>
      <c r="S187" s="175">
        <v>0</v>
      </c>
      <c r="T187" s="169">
        <v>0</v>
      </c>
      <c r="U187" s="247">
        <v>0</v>
      </c>
      <c r="V187" s="241"/>
      <c r="W187" s="241">
        <f t="shared" si="3"/>
        <v>3189.6639175257733</v>
      </c>
      <c r="X187" s="241"/>
    </row>
    <row r="188" spans="1:24" ht="15.75">
      <c r="A188" s="166">
        <v>11</v>
      </c>
      <c r="B188" s="225" t="s">
        <v>937</v>
      </c>
      <c r="C188" s="164">
        <f>'часть 1'!L199</f>
        <v>709600</v>
      </c>
      <c r="D188" s="164">
        <v>0</v>
      </c>
      <c r="E188" s="164">
        <v>0</v>
      </c>
      <c r="F188" s="164">
        <v>0</v>
      </c>
      <c r="G188" s="164">
        <v>0</v>
      </c>
      <c r="H188" s="164">
        <v>0</v>
      </c>
      <c r="I188" s="164">
        <v>0</v>
      </c>
      <c r="J188" s="164">
        <v>0</v>
      </c>
      <c r="K188" s="164">
        <v>0</v>
      </c>
      <c r="L188" s="174">
        <v>0</v>
      </c>
      <c r="M188" s="167">
        <v>0</v>
      </c>
      <c r="N188" s="167">
        <v>220.36</v>
      </c>
      <c r="O188" s="167">
        <f t="shared" si="2"/>
        <v>709600</v>
      </c>
      <c r="P188" s="169">
        <v>0</v>
      </c>
      <c r="Q188" s="167">
        <v>0</v>
      </c>
      <c r="R188" s="168">
        <v>0</v>
      </c>
      <c r="S188" s="175">
        <v>0</v>
      </c>
      <c r="T188" s="169">
        <v>0</v>
      </c>
      <c r="U188" s="247">
        <v>0</v>
      </c>
      <c r="V188" s="241"/>
      <c r="W188" s="241">
        <f t="shared" si="3"/>
        <v>3220.1851515701578</v>
      </c>
      <c r="X188" s="241"/>
    </row>
    <row r="189" spans="1:24" ht="15.75">
      <c r="A189" s="166">
        <v>12</v>
      </c>
      <c r="B189" s="225" t="s">
        <v>938</v>
      </c>
      <c r="C189" s="164">
        <f>'часть 1'!L200</f>
        <v>446509</v>
      </c>
      <c r="D189" s="164">
        <v>0</v>
      </c>
      <c r="E189" s="164">
        <v>0</v>
      </c>
      <c r="F189" s="164">
        <v>0</v>
      </c>
      <c r="G189" s="164">
        <v>0</v>
      </c>
      <c r="H189" s="164">
        <v>0</v>
      </c>
      <c r="I189" s="164">
        <v>0</v>
      </c>
      <c r="J189" s="164">
        <v>0</v>
      </c>
      <c r="K189" s="164">
        <v>0</v>
      </c>
      <c r="L189" s="174">
        <v>0</v>
      </c>
      <c r="M189" s="167">
        <v>0</v>
      </c>
      <c r="N189" s="167">
        <v>135.80000000000001</v>
      </c>
      <c r="O189" s="167">
        <f t="shared" si="2"/>
        <v>446509</v>
      </c>
      <c r="P189" s="169">
        <v>0</v>
      </c>
      <c r="Q189" s="167">
        <v>0</v>
      </c>
      <c r="R189" s="168">
        <v>0</v>
      </c>
      <c r="S189" s="175">
        <v>0</v>
      </c>
      <c r="T189" s="169">
        <v>0</v>
      </c>
      <c r="U189" s="247">
        <v>0</v>
      </c>
      <c r="V189" s="241"/>
      <c r="W189" s="241">
        <f t="shared" si="3"/>
        <v>3287.9896907216494</v>
      </c>
      <c r="X189" s="241"/>
    </row>
    <row r="190" spans="1:24" ht="15.75">
      <c r="A190" s="166">
        <v>13</v>
      </c>
      <c r="B190" s="225" t="s">
        <v>413</v>
      </c>
      <c r="C190" s="164">
        <f>'часть 1'!L201</f>
        <v>1205824</v>
      </c>
      <c r="D190" s="164">
        <v>0</v>
      </c>
      <c r="E190" s="164">
        <v>0</v>
      </c>
      <c r="F190" s="164">
        <v>0</v>
      </c>
      <c r="G190" s="164">
        <v>0</v>
      </c>
      <c r="H190" s="164">
        <v>0</v>
      </c>
      <c r="I190" s="164">
        <v>0</v>
      </c>
      <c r="J190" s="164">
        <v>0</v>
      </c>
      <c r="K190" s="164">
        <v>0</v>
      </c>
      <c r="L190" s="174">
        <v>0</v>
      </c>
      <c r="M190" s="167">
        <v>0</v>
      </c>
      <c r="N190" s="167">
        <v>380</v>
      </c>
      <c r="O190" s="167">
        <f t="shared" si="2"/>
        <v>1205824</v>
      </c>
      <c r="P190" s="169">
        <v>0</v>
      </c>
      <c r="Q190" s="167">
        <v>0</v>
      </c>
      <c r="R190" s="168">
        <v>0</v>
      </c>
      <c r="S190" s="175">
        <v>0</v>
      </c>
      <c r="T190" s="169">
        <v>0</v>
      </c>
      <c r="U190" s="247">
        <v>0</v>
      </c>
      <c r="V190" s="241"/>
      <c r="W190" s="241">
        <f t="shared" si="3"/>
        <v>3173.2210526315789</v>
      </c>
      <c r="X190" s="241"/>
    </row>
    <row r="191" spans="1:24" ht="15.75">
      <c r="A191" s="166">
        <v>14</v>
      </c>
      <c r="B191" s="225" t="s">
        <v>939</v>
      </c>
      <c r="C191" s="164">
        <f>'часть 1'!L202</f>
        <v>818595.8</v>
      </c>
      <c r="D191" s="164">
        <v>0</v>
      </c>
      <c r="E191" s="164">
        <v>0</v>
      </c>
      <c r="F191" s="164">
        <v>0</v>
      </c>
      <c r="G191" s="164">
        <v>0</v>
      </c>
      <c r="H191" s="164">
        <v>0</v>
      </c>
      <c r="I191" s="164">
        <v>0</v>
      </c>
      <c r="J191" s="164">
        <v>0</v>
      </c>
      <c r="K191" s="164">
        <v>0</v>
      </c>
      <c r="L191" s="174">
        <v>0</v>
      </c>
      <c r="M191" s="167">
        <v>0</v>
      </c>
      <c r="N191" s="167">
        <v>250</v>
      </c>
      <c r="O191" s="167">
        <f t="shared" si="2"/>
        <v>818595.8</v>
      </c>
      <c r="P191" s="169">
        <v>0</v>
      </c>
      <c r="Q191" s="167">
        <v>0</v>
      </c>
      <c r="R191" s="168">
        <v>0</v>
      </c>
      <c r="S191" s="175">
        <v>0</v>
      </c>
      <c r="T191" s="169">
        <v>0</v>
      </c>
      <c r="U191" s="247">
        <v>0</v>
      </c>
      <c r="V191" s="241"/>
      <c r="W191" s="241">
        <f t="shared" si="3"/>
        <v>3274.3832000000002</v>
      </c>
      <c r="X191" s="241"/>
    </row>
    <row r="192" spans="1:24" ht="22.9" customHeight="1">
      <c r="A192" s="166">
        <v>15</v>
      </c>
      <c r="B192" s="225" t="s">
        <v>940</v>
      </c>
      <c r="C192" s="164">
        <f>'часть 1'!L203</f>
        <v>2707283</v>
      </c>
      <c r="D192" s="164">
        <v>0</v>
      </c>
      <c r="E192" s="164">
        <v>0</v>
      </c>
      <c r="F192" s="164">
        <v>0</v>
      </c>
      <c r="G192" s="164">
        <v>0</v>
      </c>
      <c r="H192" s="164">
        <v>0</v>
      </c>
      <c r="I192" s="164">
        <v>0</v>
      </c>
      <c r="J192" s="164">
        <v>0</v>
      </c>
      <c r="K192" s="164">
        <v>0</v>
      </c>
      <c r="L192" s="174">
        <v>0</v>
      </c>
      <c r="M192" s="167">
        <v>0</v>
      </c>
      <c r="N192" s="167">
        <v>1095</v>
      </c>
      <c r="O192" s="167">
        <f t="shared" si="2"/>
        <v>2707283</v>
      </c>
      <c r="P192" s="169">
        <v>0</v>
      </c>
      <c r="Q192" s="167">
        <v>0</v>
      </c>
      <c r="R192" s="168">
        <v>0</v>
      </c>
      <c r="S192" s="175">
        <v>0</v>
      </c>
      <c r="T192" s="169">
        <v>0</v>
      </c>
      <c r="U192" s="247">
        <v>0</v>
      </c>
      <c r="V192" s="241"/>
      <c r="W192" s="241">
        <f t="shared" si="3"/>
        <v>2472.4045662100457</v>
      </c>
      <c r="X192" s="241"/>
    </row>
    <row r="193" spans="1:27" ht="21" customHeight="1">
      <c r="A193" s="166">
        <v>16</v>
      </c>
      <c r="B193" s="225" t="s">
        <v>941</v>
      </c>
      <c r="C193" s="164">
        <f>'часть 1'!L204</f>
        <v>1834849</v>
      </c>
      <c r="D193" s="164">
        <v>0</v>
      </c>
      <c r="E193" s="164">
        <v>0</v>
      </c>
      <c r="F193" s="164">
        <v>0</v>
      </c>
      <c r="G193" s="164">
        <v>0</v>
      </c>
      <c r="H193" s="164">
        <v>0</v>
      </c>
      <c r="I193" s="164">
        <v>0</v>
      </c>
      <c r="J193" s="164">
        <v>0</v>
      </c>
      <c r="K193" s="164">
        <v>0</v>
      </c>
      <c r="L193" s="174">
        <v>0</v>
      </c>
      <c r="M193" s="167">
        <v>0</v>
      </c>
      <c r="N193" s="167">
        <v>582.20000000000005</v>
      </c>
      <c r="O193" s="167">
        <f t="shared" si="2"/>
        <v>1834849</v>
      </c>
      <c r="P193" s="169">
        <v>0</v>
      </c>
      <c r="Q193" s="167">
        <v>0</v>
      </c>
      <c r="R193" s="168">
        <v>0</v>
      </c>
      <c r="S193" s="175">
        <v>0</v>
      </c>
      <c r="T193" s="169">
        <v>0</v>
      </c>
      <c r="U193" s="247">
        <v>0</v>
      </c>
      <c r="V193" s="241"/>
      <c r="W193" s="241">
        <f t="shared" si="3"/>
        <v>3151.5784953624184</v>
      </c>
      <c r="X193" s="241"/>
    </row>
    <row r="194" spans="1:27" ht="18.75" customHeight="1">
      <c r="A194" s="374"/>
      <c r="B194" s="407" t="s">
        <v>92</v>
      </c>
      <c r="C194" s="376">
        <f>C195</f>
        <v>366350</v>
      </c>
      <c r="D194" s="376">
        <f t="shared" ref="D194:U194" si="4">D195</f>
        <v>366350</v>
      </c>
      <c r="E194" s="376">
        <f t="shared" si="4"/>
        <v>0</v>
      </c>
      <c r="F194" s="376">
        <f t="shared" si="4"/>
        <v>366350</v>
      </c>
      <c r="G194" s="376">
        <f t="shared" si="4"/>
        <v>0</v>
      </c>
      <c r="H194" s="376">
        <f t="shared" si="4"/>
        <v>0</v>
      </c>
      <c r="I194" s="376">
        <f t="shared" si="4"/>
        <v>0</v>
      </c>
      <c r="J194" s="376">
        <f t="shared" si="4"/>
        <v>0</v>
      </c>
      <c r="K194" s="376">
        <f t="shared" si="4"/>
        <v>0</v>
      </c>
      <c r="L194" s="376">
        <f t="shared" si="4"/>
        <v>0</v>
      </c>
      <c r="M194" s="376">
        <f t="shared" si="4"/>
        <v>0</v>
      </c>
      <c r="N194" s="376">
        <f t="shared" si="4"/>
        <v>0</v>
      </c>
      <c r="O194" s="376">
        <f t="shared" si="4"/>
        <v>0</v>
      </c>
      <c r="P194" s="376">
        <f t="shared" si="4"/>
        <v>0</v>
      </c>
      <c r="Q194" s="376">
        <f t="shared" si="4"/>
        <v>0</v>
      </c>
      <c r="R194" s="376">
        <f t="shared" si="4"/>
        <v>0</v>
      </c>
      <c r="S194" s="376">
        <f t="shared" si="4"/>
        <v>0</v>
      </c>
      <c r="T194" s="376">
        <f t="shared" si="4"/>
        <v>0</v>
      </c>
      <c r="U194" s="376">
        <f t="shared" si="4"/>
        <v>0</v>
      </c>
      <c r="V194" s="241"/>
      <c r="W194" s="241"/>
      <c r="X194" s="241"/>
    </row>
    <row r="195" spans="1:27">
      <c r="A195" s="374">
        <v>177</v>
      </c>
      <c r="B195" s="407" t="s">
        <v>645</v>
      </c>
      <c r="C195" s="376">
        <f>'часть 1'!L206</f>
        <v>366350</v>
      </c>
      <c r="D195" s="376">
        <f>E195+F195+G195+H195+I195+J195+K195</f>
        <v>366350</v>
      </c>
      <c r="E195" s="376">
        <v>0</v>
      </c>
      <c r="F195" s="376">
        <v>366350</v>
      </c>
      <c r="G195" s="376">
        <v>0</v>
      </c>
      <c r="H195" s="376">
        <v>0</v>
      </c>
      <c r="I195" s="376">
        <v>0</v>
      </c>
      <c r="J195" s="376">
        <v>0</v>
      </c>
      <c r="K195" s="376">
        <v>0</v>
      </c>
      <c r="L195" s="374">
        <v>0</v>
      </c>
      <c r="M195" s="385">
        <v>0</v>
      </c>
      <c r="N195" s="489">
        <v>0</v>
      </c>
      <c r="O195" s="385">
        <v>0</v>
      </c>
      <c r="P195" s="422">
        <v>0</v>
      </c>
      <c r="Q195" s="385">
        <v>0</v>
      </c>
      <c r="R195" s="423">
        <v>0</v>
      </c>
      <c r="S195" s="424">
        <v>0</v>
      </c>
      <c r="T195" s="422">
        <v>0</v>
      </c>
      <c r="U195" s="796">
        <v>0</v>
      </c>
      <c r="V195" s="241"/>
      <c r="W195" s="241"/>
      <c r="X195" s="241"/>
      <c r="AA195" s="1">
        <f>F195/'часть 1'!I206</f>
        <v>923.26108870967744</v>
      </c>
    </row>
    <row r="196" spans="1:27" ht="18.75" customHeight="1">
      <c r="A196" s="374"/>
      <c r="B196" s="375" t="s">
        <v>93</v>
      </c>
      <c r="C196" s="376">
        <f>C197+C198+C199+C200+C201+C202+C203+C204+C205+C206+C207+C208</f>
        <v>31146002</v>
      </c>
      <c r="D196" s="376">
        <f t="shared" ref="D196:U196" si="5">D197+D198+D199+D200+D201+D202+D203+D204+D205+D206+D207+D208</f>
        <v>0</v>
      </c>
      <c r="E196" s="376">
        <f t="shared" si="5"/>
        <v>0</v>
      </c>
      <c r="F196" s="376">
        <f t="shared" si="5"/>
        <v>0</v>
      </c>
      <c r="G196" s="376">
        <f t="shared" si="5"/>
        <v>0</v>
      </c>
      <c r="H196" s="376">
        <f t="shared" si="5"/>
        <v>0</v>
      </c>
      <c r="I196" s="376">
        <f t="shared" si="5"/>
        <v>0</v>
      </c>
      <c r="J196" s="376">
        <f t="shared" si="5"/>
        <v>0</v>
      </c>
      <c r="K196" s="376">
        <f t="shared" si="5"/>
        <v>0</v>
      </c>
      <c r="L196" s="376">
        <f t="shared" si="5"/>
        <v>0</v>
      </c>
      <c r="M196" s="376">
        <f t="shared" si="5"/>
        <v>0</v>
      </c>
      <c r="N196" s="376">
        <f t="shared" si="5"/>
        <v>10349.570000000002</v>
      </c>
      <c r="O196" s="376">
        <f t="shared" si="5"/>
        <v>31146002</v>
      </c>
      <c r="P196" s="376">
        <f t="shared" si="5"/>
        <v>0</v>
      </c>
      <c r="Q196" s="376">
        <f t="shared" si="5"/>
        <v>0</v>
      </c>
      <c r="R196" s="376">
        <f t="shared" si="5"/>
        <v>0</v>
      </c>
      <c r="S196" s="376">
        <f t="shared" si="5"/>
        <v>0</v>
      </c>
      <c r="T196" s="376">
        <f t="shared" si="5"/>
        <v>0</v>
      </c>
      <c r="U196" s="376">
        <f t="shared" si="5"/>
        <v>0</v>
      </c>
      <c r="V196" s="241"/>
      <c r="W196" s="241"/>
      <c r="X196" s="241"/>
    </row>
    <row r="197" spans="1:27" s="18" customFormat="1">
      <c r="A197" s="374">
        <v>178</v>
      </c>
      <c r="B197" s="605" t="s">
        <v>778</v>
      </c>
      <c r="C197" s="383">
        <f>'часть 1'!L208</f>
        <v>2706084</v>
      </c>
      <c r="D197" s="383">
        <v>0</v>
      </c>
      <c r="E197" s="383">
        <v>0</v>
      </c>
      <c r="F197" s="383">
        <v>0</v>
      </c>
      <c r="G197" s="383">
        <v>0</v>
      </c>
      <c r="H197" s="383">
        <v>0</v>
      </c>
      <c r="I197" s="383">
        <v>0</v>
      </c>
      <c r="J197" s="383">
        <v>0</v>
      </c>
      <c r="K197" s="383">
        <v>0</v>
      </c>
      <c r="L197" s="384">
        <v>0</v>
      </c>
      <c r="M197" s="383">
        <v>0</v>
      </c>
      <c r="N197" s="383">
        <v>863.8</v>
      </c>
      <c r="O197" s="383">
        <v>2706084</v>
      </c>
      <c r="P197" s="384">
        <v>0</v>
      </c>
      <c r="Q197" s="383">
        <v>0</v>
      </c>
      <c r="R197" s="386">
        <v>0</v>
      </c>
      <c r="S197" s="383">
        <v>0</v>
      </c>
      <c r="T197" s="384">
        <v>0</v>
      </c>
      <c r="U197" s="387">
        <v>0</v>
      </c>
      <c r="V197" s="241"/>
      <c r="W197" s="241">
        <f>O197/N197</f>
        <v>3132.7668441768928</v>
      </c>
      <c r="X197" s="241"/>
    </row>
    <row r="198" spans="1:27" s="18" customFormat="1">
      <c r="A198" s="374">
        <v>179</v>
      </c>
      <c r="B198" s="605" t="s">
        <v>779</v>
      </c>
      <c r="C198" s="383">
        <f>'часть 1'!L209</f>
        <v>1419136</v>
      </c>
      <c r="D198" s="383">
        <v>0</v>
      </c>
      <c r="E198" s="383">
        <v>0</v>
      </c>
      <c r="F198" s="383">
        <v>0</v>
      </c>
      <c r="G198" s="383">
        <v>0</v>
      </c>
      <c r="H198" s="383">
        <v>0</v>
      </c>
      <c r="I198" s="383">
        <v>0</v>
      </c>
      <c r="J198" s="383">
        <v>0</v>
      </c>
      <c r="K198" s="383">
        <v>0</v>
      </c>
      <c r="L198" s="384">
        <v>0</v>
      </c>
      <c r="M198" s="383">
        <v>0</v>
      </c>
      <c r="N198" s="383">
        <v>448.92</v>
      </c>
      <c r="O198" s="383">
        <v>1419136</v>
      </c>
      <c r="P198" s="384">
        <v>0</v>
      </c>
      <c r="Q198" s="383">
        <v>0</v>
      </c>
      <c r="R198" s="386">
        <v>0</v>
      </c>
      <c r="S198" s="383">
        <v>0</v>
      </c>
      <c r="T198" s="384">
        <v>0</v>
      </c>
      <c r="U198" s="387">
        <v>0</v>
      </c>
      <c r="V198" s="241"/>
      <c r="W198" s="241">
        <f t="shared" ref="W198:W208" si="6">O198/N198</f>
        <v>3161.2224895304284</v>
      </c>
      <c r="X198" s="241"/>
    </row>
    <row r="199" spans="1:27" s="18" customFormat="1">
      <c r="A199" s="374">
        <v>180</v>
      </c>
      <c r="B199" s="605" t="s">
        <v>780</v>
      </c>
      <c r="C199" s="383">
        <f>'часть 1'!L210</f>
        <v>3552093</v>
      </c>
      <c r="D199" s="383">
        <v>0</v>
      </c>
      <c r="E199" s="383">
        <v>0</v>
      </c>
      <c r="F199" s="383">
        <v>0</v>
      </c>
      <c r="G199" s="383">
        <v>0</v>
      </c>
      <c r="H199" s="383">
        <v>0</v>
      </c>
      <c r="I199" s="383">
        <v>0</v>
      </c>
      <c r="J199" s="383">
        <v>0</v>
      </c>
      <c r="K199" s="383">
        <v>0</v>
      </c>
      <c r="L199" s="384">
        <v>0</v>
      </c>
      <c r="M199" s="383">
        <v>0</v>
      </c>
      <c r="N199" s="383">
        <v>1135</v>
      </c>
      <c r="O199" s="383">
        <v>3552093</v>
      </c>
      <c r="P199" s="384">
        <v>0</v>
      </c>
      <c r="Q199" s="383">
        <v>0</v>
      </c>
      <c r="R199" s="386">
        <v>0</v>
      </c>
      <c r="S199" s="383">
        <v>0</v>
      </c>
      <c r="T199" s="384">
        <v>0</v>
      </c>
      <c r="U199" s="387">
        <v>0</v>
      </c>
      <c r="V199" s="241"/>
      <c r="W199" s="241">
        <f t="shared" si="6"/>
        <v>3129.5973568281938</v>
      </c>
      <c r="X199" s="241"/>
    </row>
    <row r="200" spans="1:27" s="18" customFormat="1">
      <c r="A200" s="374">
        <v>181</v>
      </c>
      <c r="B200" s="605" t="s">
        <v>781</v>
      </c>
      <c r="C200" s="383">
        <f>'часть 1'!L211</f>
        <v>2154879</v>
      </c>
      <c r="D200" s="383">
        <v>0</v>
      </c>
      <c r="E200" s="383">
        <v>0</v>
      </c>
      <c r="F200" s="383">
        <v>0</v>
      </c>
      <c r="G200" s="383">
        <v>0</v>
      </c>
      <c r="H200" s="383">
        <v>0</v>
      </c>
      <c r="I200" s="383">
        <v>0</v>
      </c>
      <c r="J200" s="383">
        <v>0</v>
      </c>
      <c r="K200" s="383">
        <v>0</v>
      </c>
      <c r="L200" s="384">
        <v>0</v>
      </c>
      <c r="M200" s="383">
        <v>0</v>
      </c>
      <c r="N200" s="383">
        <v>682.5</v>
      </c>
      <c r="O200" s="383">
        <v>2154879</v>
      </c>
      <c r="P200" s="384">
        <v>0</v>
      </c>
      <c r="Q200" s="383">
        <v>0</v>
      </c>
      <c r="R200" s="386">
        <v>0</v>
      </c>
      <c r="S200" s="383">
        <v>0</v>
      </c>
      <c r="T200" s="384">
        <v>0</v>
      </c>
      <c r="U200" s="387">
        <v>0</v>
      </c>
      <c r="V200" s="241"/>
      <c r="W200" s="241">
        <f t="shared" si="6"/>
        <v>3157.3318681318683</v>
      </c>
      <c r="X200" s="241"/>
    </row>
    <row r="201" spans="1:27" s="18" customFormat="1">
      <c r="A201" s="374">
        <v>182</v>
      </c>
      <c r="B201" s="605" t="s">
        <v>782</v>
      </c>
      <c r="C201" s="383">
        <f>'часть 1'!L212</f>
        <v>4352566</v>
      </c>
      <c r="D201" s="383">
        <v>0</v>
      </c>
      <c r="E201" s="383">
        <v>0</v>
      </c>
      <c r="F201" s="383">
        <v>0</v>
      </c>
      <c r="G201" s="383">
        <v>0</v>
      </c>
      <c r="H201" s="383">
        <v>0</v>
      </c>
      <c r="I201" s="383">
        <v>0</v>
      </c>
      <c r="J201" s="383">
        <v>0</v>
      </c>
      <c r="K201" s="383">
        <v>0</v>
      </c>
      <c r="L201" s="384">
        <v>0</v>
      </c>
      <c r="M201" s="383">
        <v>0</v>
      </c>
      <c r="N201" s="383">
        <v>1394.5</v>
      </c>
      <c r="O201" s="383">
        <v>4352566</v>
      </c>
      <c r="P201" s="384">
        <v>0</v>
      </c>
      <c r="Q201" s="383">
        <v>0</v>
      </c>
      <c r="R201" s="386">
        <v>0</v>
      </c>
      <c r="S201" s="383">
        <v>0</v>
      </c>
      <c r="T201" s="384">
        <v>0</v>
      </c>
      <c r="U201" s="387">
        <v>0</v>
      </c>
      <c r="V201" s="241"/>
      <c r="W201" s="241">
        <f t="shared" si="6"/>
        <v>3121.2377196127645</v>
      </c>
      <c r="X201" s="241"/>
    </row>
    <row r="202" spans="1:27" s="18" customFormat="1">
      <c r="A202" s="374">
        <v>183</v>
      </c>
      <c r="B202" s="605" t="s">
        <v>783</v>
      </c>
      <c r="C202" s="383">
        <f>'часть 1'!L213</f>
        <v>1202127</v>
      </c>
      <c r="D202" s="383">
        <v>0</v>
      </c>
      <c r="E202" s="383">
        <v>0</v>
      </c>
      <c r="F202" s="383">
        <v>0</v>
      </c>
      <c r="G202" s="383">
        <v>0</v>
      </c>
      <c r="H202" s="383">
        <v>0</v>
      </c>
      <c r="I202" s="383">
        <v>0</v>
      </c>
      <c r="J202" s="383">
        <v>0</v>
      </c>
      <c r="K202" s="383">
        <v>0</v>
      </c>
      <c r="L202" s="384">
        <v>0</v>
      </c>
      <c r="M202" s="383">
        <v>0</v>
      </c>
      <c r="N202" s="383">
        <v>375.5</v>
      </c>
      <c r="O202" s="383">
        <v>1202127</v>
      </c>
      <c r="P202" s="384">
        <v>0</v>
      </c>
      <c r="Q202" s="383">
        <v>0</v>
      </c>
      <c r="R202" s="386">
        <v>0</v>
      </c>
      <c r="S202" s="383">
        <v>0</v>
      </c>
      <c r="T202" s="384">
        <v>0</v>
      </c>
      <c r="U202" s="387">
        <v>0</v>
      </c>
      <c r="V202" s="241"/>
      <c r="W202" s="241">
        <f t="shared" si="6"/>
        <v>3201.403462050599</v>
      </c>
      <c r="X202" s="241"/>
    </row>
    <row r="203" spans="1:27" s="18" customFormat="1">
      <c r="A203" s="374">
        <v>184</v>
      </c>
      <c r="B203" s="605" t="s">
        <v>775</v>
      </c>
      <c r="C203" s="383">
        <f>'часть 1'!L214</f>
        <v>3401733</v>
      </c>
      <c r="D203" s="383">
        <v>0</v>
      </c>
      <c r="E203" s="383">
        <v>0</v>
      </c>
      <c r="F203" s="383">
        <v>0</v>
      </c>
      <c r="G203" s="383">
        <v>0</v>
      </c>
      <c r="H203" s="383">
        <v>0</v>
      </c>
      <c r="I203" s="383">
        <v>0</v>
      </c>
      <c r="J203" s="383">
        <v>0</v>
      </c>
      <c r="K203" s="383">
        <v>0</v>
      </c>
      <c r="L203" s="384">
        <v>0</v>
      </c>
      <c r="M203" s="383">
        <v>0</v>
      </c>
      <c r="N203" s="383">
        <v>1068.5</v>
      </c>
      <c r="O203" s="383">
        <v>3401733</v>
      </c>
      <c r="P203" s="384">
        <v>0</v>
      </c>
      <c r="Q203" s="383">
        <v>0</v>
      </c>
      <c r="R203" s="386">
        <v>0</v>
      </c>
      <c r="S203" s="383">
        <v>0</v>
      </c>
      <c r="T203" s="384">
        <v>0</v>
      </c>
      <c r="U203" s="387">
        <v>0</v>
      </c>
      <c r="V203" s="241"/>
      <c r="W203" s="241">
        <f t="shared" si="6"/>
        <v>3183.6527842770238</v>
      </c>
      <c r="X203" s="241"/>
    </row>
    <row r="204" spans="1:27" s="18" customFormat="1">
      <c r="A204" s="374">
        <v>185</v>
      </c>
      <c r="B204" s="605" t="s">
        <v>784</v>
      </c>
      <c r="C204" s="383">
        <f>'часть 1'!L215</f>
        <v>1763431</v>
      </c>
      <c r="D204" s="383">
        <v>0</v>
      </c>
      <c r="E204" s="383">
        <v>0</v>
      </c>
      <c r="F204" s="383">
        <v>0</v>
      </c>
      <c r="G204" s="383">
        <v>0</v>
      </c>
      <c r="H204" s="383">
        <v>0</v>
      </c>
      <c r="I204" s="383">
        <v>0</v>
      </c>
      <c r="J204" s="383">
        <v>0</v>
      </c>
      <c r="K204" s="383">
        <v>0</v>
      </c>
      <c r="L204" s="384">
        <v>0</v>
      </c>
      <c r="M204" s="383">
        <v>0</v>
      </c>
      <c r="N204" s="383">
        <v>560</v>
      </c>
      <c r="O204" s="383">
        <v>1763431</v>
      </c>
      <c r="P204" s="384">
        <v>0</v>
      </c>
      <c r="Q204" s="383">
        <v>0</v>
      </c>
      <c r="R204" s="386">
        <v>0</v>
      </c>
      <c r="S204" s="383">
        <v>0</v>
      </c>
      <c r="T204" s="384">
        <v>0</v>
      </c>
      <c r="U204" s="387">
        <v>0</v>
      </c>
      <c r="V204" s="241"/>
      <c r="W204" s="241">
        <f t="shared" si="6"/>
        <v>3148.9839285714284</v>
      </c>
      <c r="X204" s="241"/>
    </row>
    <row r="205" spans="1:27" s="18" customFormat="1">
      <c r="A205" s="374">
        <v>186</v>
      </c>
      <c r="B205" s="605" t="s">
        <v>776</v>
      </c>
      <c r="C205" s="383">
        <f>'часть 1'!L216</f>
        <v>2572091</v>
      </c>
      <c r="D205" s="383">
        <v>0</v>
      </c>
      <c r="E205" s="383">
        <v>0</v>
      </c>
      <c r="F205" s="383">
        <v>0</v>
      </c>
      <c r="G205" s="383">
        <v>0</v>
      </c>
      <c r="H205" s="383">
        <v>0</v>
      </c>
      <c r="I205" s="383">
        <v>0</v>
      </c>
      <c r="J205" s="383">
        <v>0</v>
      </c>
      <c r="K205" s="383">
        <v>0</v>
      </c>
      <c r="L205" s="384">
        <v>0</v>
      </c>
      <c r="M205" s="383">
        <v>0</v>
      </c>
      <c r="N205" s="383">
        <v>1040</v>
      </c>
      <c r="O205" s="383">
        <v>2572091</v>
      </c>
      <c r="P205" s="384">
        <v>0</v>
      </c>
      <c r="Q205" s="383">
        <v>0</v>
      </c>
      <c r="R205" s="386">
        <v>0</v>
      </c>
      <c r="S205" s="383">
        <v>0</v>
      </c>
      <c r="T205" s="384">
        <v>0</v>
      </c>
      <c r="U205" s="387">
        <v>0</v>
      </c>
      <c r="V205" s="241"/>
      <c r="W205" s="241">
        <f t="shared" si="6"/>
        <v>2473.164423076923</v>
      </c>
      <c r="X205" s="241"/>
    </row>
    <row r="206" spans="1:27" s="18" customFormat="1">
      <c r="A206" s="374">
        <v>187</v>
      </c>
      <c r="B206" s="605" t="s">
        <v>785</v>
      </c>
      <c r="C206" s="383">
        <f>'часть 1'!L217</f>
        <v>2660626</v>
      </c>
      <c r="D206" s="383">
        <v>0</v>
      </c>
      <c r="E206" s="383">
        <v>0</v>
      </c>
      <c r="F206" s="383">
        <v>0</v>
      </c>
      <c r="G206" s="383">
        <v>0</v>
      </c>
      <c r="H206" s="383">
        <v>0</v>
      </c>
      <c r="I206" s="383">
        <v>0</v>
      </c>
      <c r="J206" s="383">
        <v>0</v>
      </c>
      <c r="K206" s="383">
        <v>0</v>
      </c>
      <c r="L206" s="384">
        <v>0</v>
      </c>
      <c r="M206" s="383">
        <v>0</v>
      </c>
      <c r="N206" s="383">
        <v>1076</v>
      </c>
      <c r="O206" s="383">
        <v>2660626</v>
      </c>
      <c r="P206" s="384">
        <v>0</v>
      </c>
      <c r="Q206" s="383">
        <v>0</v>
      </c>
      <c r="R206" s="386">
        <v>0</v>
      </c>
      <c r="S206" s="383">
        <v>0</v>
      </c>
      <c r="T206" s="384">
        <v>0</v>
      </c>
      <c r="U206" s="387">
        <v>0</v>
      </c>
      <c r="V206" s="241"/>
      <c r="W206" s="241">
        <f t="shared" si="6"/>
        <v>2472.7007434944239</v>
      </c>
      <c r="X206" s="241"/>
    </row>
    <row r="207" spans="1:27" s="18" customFormat="1">
      <c r="A207" s="374">
        <v>188</v>
      </c>
      <c r="B207" s="605" t="s">
        <v>786</v>
      </c>
      <c r="C207" s="383">
        <f>'часть 1'!L218</f>
        <v>1458499</v>
      </c>
      <c r="D207" s="383">
        <v>0</v>
      </c>
      <c r="E207" s="383">
        <v>0</v>
      </c>
      <c r="F207" s="383">
        <v>0</v>
      </c>
      <c r="G207" s="383">
        <v>0</v>
      </c>
      <c r="H207" s="383">
        <v>0</v>
      </c>
      <c r="I207" s="383">
        <v>0</v>
      </c>
      <c r="J207" s="383">
        <v>0</v>
      </c>
      <c r="K207" s="383">
        <v>0</v>
      </c>
      <c r="L207" s="384">
        <v>0</v>
      </c>
      <c r="M207" s="383">
        <v>0</v>
      </c>
      <c r="N207" s="383">
        <v>461.85</v>
      </c>
      <c r="O207" s="383">
        <v>1458499</v>
      </c>
      <c r="P207" s="384">
        <v>0</v>
      </c>
      <c r="Q207" s="383">
        <v>0</v>
      </c>
      <c r="R207" s="386">
        <v>0</v>
      </c>
      <c r="S207" s="383">
        <v>0</v>
      </c>
      <c r="T207" s="384">
        <v>0</v>
      </c>
      <c r="U207" s="387">
        <v>0</v>
      </c>
      <c r="V207" s="241"/>
      <c r="W207" s="241">
        <f t="shared" si="6"/>
        <v>3157.9495507199304</v>
      </c>
      <c r="X207" s="241"/>
    </row>
    <row r="208" spans="1:27" s="18" customFormat="1">
      <c r="A208" s="374">
        <v>189</v>
      </c>
      <c r="B208" s="605" t="s">
        <v>787</v>
      </c>
      <c r="C208" s="383">
        <f>'часть 1'!L219</f>
        <v>3902737</v>
      </c>
      <c r="D208" s="383">
        <v>0</v>
      </c>
      <c r="E208" s="383">
        <v>0</v>
      </c>
      <c r="F208" s="383">
        <v>0</v>
      </c>
      <c r="G208" s="383">
        <v>0</v>
      </c>
      <c r="H208" s="383">
        <v>0</v>
      </c>
      <c r="I208" s="383">
        <v>0</v>
      </c>
      <c r="J208" s="383">
        <v>0</v>
      </c>
      <c r="K208" s="383">
        <v>0</v>
      </c>
      <c r="L208" s="384">
        <v>0</v>
      </c>
      <c r="M208" s="383">
        <v>0</v>
      </c>
      <c r="N208" s="383">
        <v>1243</v>
      </c>
      <c r="O208" s="383">
        <v>3902737</v>
      </c>
      <c r="P208" s="384">
        <v>0</v>
      </c>
      <c r="Q208" s="383">
        <v>0</v>
      </c>
      <c r="R208" s="386">
        <v>0</v>
      </c>
      <c r="S208" s="383">
        <v>0</v>
      </c>
      <c r="T208" s="384">
        <v>0</v>
      </c>
      <c r="U208" s="387">
        <v>0</v>
      </c>
      <c r="V208" s="241"/>
      <c r="W208" s="241">
        <f t="shared" si="6"/>
        <v>3139.7723250201125</v>
      </c>
      <c r="X208" s="241"/>
    </row>
    <row r="209" spans="1:26" s="18" customFormat="1">
      <c r="A209" s="374"/>
      <c r="B209" s="605"/>
      <c r="C209" s="383"/>
      <c r="D209" s="383"/>
      <c r="E209" s="383"/>
      <c r="F209" s="383"/>
      <c r="G209" s="383"/>
      <c r="H209" s="383"/>
      <c r="I209" s="383"/>
      <c r="J209" s="383"/>
      <c r="K209" s="383"/>
      <c r="L209" s="384"/>
      <c r="M209" s="383"/>
      <c r="N209" s="383"/>
      <c r="O209" s="383"/>
      <c r="P209" s="384"/>
      <c r="Q209" s="383"/>
      <c r="R209" s="386"/>
      <c r="S209" s="383"/>
      <c r="T209" s="384"/>
      <c r="U209" s="387"/>
      <c r="V209" s="241"/>
      <c r="W209" s="241"/>
      <c r="X209" s="241"/>
    </row>
    <row r="210" spans="1:26" s="18" customFormat="1">
      <c r="A210" s="374"/>
      <c r="B210" s="605"/>
      <c r="C210" s="383"/>
      <c r="D210" s="383"/>
      <c r="E210" s="383"/>
      <c r="F210" s="383"/>
      <c r="G210" s="383"/>
      <c r="H210" s="383"/>
      <c r="I210" s="383"/>
      <c r="J210" s="383"/>
      <c r="K210" s="383"/>
      <c r="L210" s="384"/>
      <c r="M210" s="383"/>
      <c r="N210" s="383"/>
      <c r="O210" s="383"/>
      <c r="P210" s="384"/>
      <c r="Q210" s="383"/>
      <c r="R210" s="386"/>
      <c r="S210" s="383"/>
      <c r="T210" s="384"/>
      <c r="U210" s="387"/>
      <c r="V210" s="241"/>
      <c r="W210" s="241"/>
      <c r="X210" s="241"/>
    </row>
    <row r="211" spans="1:26" s="18" customFormat="1">
      <c r="A211" s="374"/>
      <c r="B211" s="605"/>
      <c r="C211" s="383"/>
      <c r="D211" s="383"/>
      <c r="E211" s="383"/>
      <c r="F211" s="383"/>
      <c r="G211" s="383"/>
      <c r="H211" s="383"/>
      <c r="I211" s="383"/>
      <c r="J211" s="383"/>
      <c r="K211" s="383"/>
      <c r="L211" s="384"/>
      <c r="M211" s="383"/>
      <c r="N211" s="383"/>
      <c r="O211" s="383"/>
      <c r="P211" s="384"/>
      <c r="Q211" s="383"/>
      <c r="R211" s="386"/>
      <c r="S211" s="383"/>
      <c r="T211" s="384"/>
      <c r="U211" s="387"/>
      <c r="V211" s="241"/>
      <c r="W211" s="241"/>
      <c r="X211" s="241"/>
    </row>
    <row r="212" spans="1:26" s="18" customFormat="1">
      <c r="A212" s="374"/>
      <c r="B212" s="605"/>
      <c r="C212" s="383"/>
      <c r="D212" s="383"/>
      <c r="E212" s="383"/>
      <c r="F212" s="383"/>
      <c r="G212" s="383"/>
      <c r="H212" s="383"/>
      <c r="I212" s="383"/>
      <c r="J212" s="383"/>
      <c r="K212" s="383"/>
      <c r="L212" s="384"/>
      <c r="M212" s="383"/>
      <c r="N212" s="383"/>
      <c r="O212" s="383"/>
      <c r="P212" s="384"/>
      <c r="Q212" s="383"/>
      <c r="R212" s="386"/>
      <c r="S212" s="383"/>
      <c r="T212" s="384"/>
      <c r="U212" s="387"/>
      <c r="V212" s="241"/>
      <c r="W212" s="241"/>
      <c r="X212" s="241"/>
    </row>
    <row r="213" spans="1:26" s="18" customFormat="1">
      <c r="A213" s="374"/>
      <c r="B213" s="605"/>
      <c r="C213" s="383"/>
      <c r="D213" s="383"/>
      <c r="E213" s="383"/>
      <c r="F213" s="383"/>
      <c r="G213" s="383"/>
      <c r="H213" s="383"/>
      <c r="I213" s="383"/>
      <c r="J213" s="383"/>
      <c r="K213" s="383"/>
      <c r="L213" s="384"/>
      <c r="M213" s="383"/>
      <c r="N213" s="383"/>
      <c r="O213" s="383"/>
      <c r="P213" s="384"/>
      <c r="Q213" s="383"/>
      <c r="R213" s="386"/>
      <c r="S213" s="383"/>
      <c r="T213" s="384"/>
      <c r="U213" s="387"/>
      <c r="V213" s="241"/>
      <c r="W213" s="241"/>
      <c r="X213" s="241"/>
    </row>
    <row r="214" spans="1:26" s="18" customFormat="1">
      <c r="A214" s="374"/>
      <c r="B214" s="605"/>
      <c r="C214" s="383"/>
      <c r="D214" s="383"/>
      <c r="E214" s="383"/>
      <c r="F214" s="383"/>
      <c r="G214" s="383"/>
      <c r="H214" s="383"/>
      <c r="I214" s="383"/>
      <c r="J214" s="383"/>
      <c r="K214" s="383"/>
      <c r="L214" s="384"/>
      <c r="M214" s="383"/>
      <c r="N214" s="383"/>
      <c r="O214" s="383"/>
      <c r="P214" s="384"/>
      <c r="Q214" s="383"/>
      <c r="R214" s="386"/>
      <c r="S214" s="383"/>
      <c r="T214" s="384"/>
      <c r="U214" s="387"/>
      <c r="V214" s="241"/>
      <c r="W214" s="241"/>
      <c r="X214" s="241"/>
    </row>
    <row r="215" spans="1:26" s="18" customFormat="1">
      <c r="A215" s="374"/>
      <c r="B215" s="605"/>
      <c r="C215" s="383"/>
      <c r="D215" s="383"/>
      <c r="E215" s="383"/>
      <c r="F215" s="383"/>
      <c r="G215" s="383"/>
      <c r="H215" s="383"/>
      <c r="I215" s="383"/>
      <c r="J215" s="383"/>
      <c r="K215" s="383"/>
      <c r="L215" s="384"/>
      <c r="M215" s="383"/>
      <c r="N215" s="383"/>
      <c r="O215" s="383"/>
      <c r="P215" s="384"/>
      <c r="Q215" s="383"/>
      <c r="R215" s="386"/>
      <c r="S215" s="383"/>
      <c r="T215" s="384"/>
      <c r="U215" s="387"/>
      <c r="V215" s="241"/>
      <c r="W215" s="241"/>
      <c r="X215" s="241"/>
    </row>
    <row r="216" spans="1:26" s="18" customFormat="1">
      <c r="A216" s="374"/>
      <c r="B216" s="605"/>
      <c r="C216" s="383"/>
      <c r="D216" s="383"/>
      <c r="E216" s="383"/>
      <c r="F216" s="383"/>
      <c r="G216" s="383"/>
      <c r="H216" s="383"/>
      <c r="I216" s="383"/>
      <c r="J216" s="383"/>
      <c r="K216" s="383"/>
      <c r="L216" s="384"/>
      <c r="M216" s="383"/>
      <c r="N216" s="383"/>
      <c r="O216" s="383"/>
      <c r="P216" s="384"/>
      <c r="Q216" s="383"/>
      <c r="R216" s="386"/>
      <c r="S216" s="383"/>
      <c r="T216" s="384"/>
      <c r="U216" s="387"/>
      <c r="V216" s="241"/>
      <c r="W216" s="241"/>
      <c r="X216" s="241"/>
    </row>
    <row r="217" spans="1:26" s="18" customFormat="1">
      <c r="A217" s="374"/>
      <c r="B217" s="605"/>
      <c r="C217" s="383"/>
      <c r="D217" s="383"/>
      <c r="E217" s="383"/>
      <c r="F217" s="383"/>
      <c r="G217" s="383"/>
      <c r="H217" s="383"/>
      <c r="I217" s="383"/>
      <c r="J217" s="383"/>
      <c r="K217" s="383"/>
      <c r="L217" s="384"/>
      <c r="M217" s="383"/>
      <c r="N217" s="383"/>
      <c r="O217" s="383"/>
      <c r="P217" s="384"/>
      <c r="Q217" s="383"/>
      <c r="R217" s="386"/>
      <c r="S217" s="383"/>
      <c r="T217" s="384"/>
      <c r="U217" s="387"/>
      <c r="V217" s="241"/>
      <c r="W217" s="241"/>
      <c r="X217" s="241"/>
    </row>
    <row r="218" spans="1:26" s="18" customFormat="1">
      <c r="A218" s="374"/>
      <c r="B218" s="605"/>
      <c r="C218" s="383"/>
      <c r="D218" s="383"/>
      <c r="E218" s="383"/>
      <c r="F218" s="383"/>
      <c r="G218" s="383"/>
      <c r="H218" s="383"/>
      <c r="I218" s="383"/>
      <c r="J218" s="383"/>
      <c r="K218" s="383"/>
      <c r="L218" s="384"/>
      <c r="M218" s="383"/>
      <c r="N218" s="383"/>
      <c r="O218" s="383"/>
      <c r="P218" s="384"/>
      <c r="Q218" s="383"/>
      <c r="R218" s="386"/>
      <c r="S218" s="383"/>
      <c r="T218" s="384"/>
      <c r="U218" s="387"/>
      <c r="V218" s="241"/>
      <c r="W218" s="241"/>
      <c r="X218" s="241"/>
    </row>
    <row r="219" spans="1:26" s="18" customFormat="1">
      <c r="A219" s="374"/>
      <c r="B219" s="605"/>
      <c r="C219" s="383"/>
      <c r="D219" s="383"/>
      <c r="E219" s="383"/>
      <c r="F219" s="383"/>
      <c r="G219" s="383"/>
      <c r="H219" s="383"/>
      <c r="I219" s="383"/>
      <c r="J219" s="383"/>
      <c r="K219" s="383"/>
      <c r="L219" s="384"/>
      <c r="M219" s="383"/>
      <c r="N219" s="383"/>
      <c r="O219" s="383"/>
      <c r="P219" s="384"/>
      <c r="Q219" s="383"/>
      <c r="R219" s="386"/>
      <c r="S219" s="383"/>
      <c r="T219" s="384"/>
      <c r="U219" s="387"/>
      <c r="V219" s="241"/>
      <c r="W219" s="241"/>
      <c r="X219" s="241"/>
    </row>
    <row r="220" spans="1:26" s="18" customFormat="1">
      <c r="A220" s="374"/>
      <c r="B220" s="605"/>
      <c r="C220" s="383"/>
      <c r="D220" s="383"/>
      <c r="E220" s="383"/>
      <c r="F220" s="383"/>
      <c r="G220" s="383"/>
      <c r="H220" s="383"/>
      <c r="I220" s="383"/>
      <c r="J220" s="383"/>
      <c r="K220" s="383"/>
      <c r="L220" s="384"/>
      <c r="M220" s="383"/>
      <c r="N220" s="383"/>
      <c r="O220" s="383"/>
      <c r="P220" s="384"/>
      <c r="Q220" s="383"/>
      <c r="R220" s="386"/>
      <c r="S220" s="383"/>
      <c r="T220" s="384"/>
      <c r="U220" s="387"/>
      <c r="V220" s="241"/>
      <c r="W220" s="241"/>
      <c r="X220" s="241"/>
    </row>
    <row r="221" spans="1:26" s="18" customFormat="1">
      <c r="A221" s="374"/>
      <c r="B221" s="605"/>
      <c r="C221" s="383"/>
      <c r="D221" s="383"/>
      <c r="E221" s="383"/>
      <c r="F221" s="383"/>
      <c r="G221" s="383"/>
      <c r="H221" s="383"/>
      <c r="I221" s="383"/>
      <c r="J221" s="383"/>
      <c r="K221" s="383"/>
      <c r="L221" s="384"/>
      <c r="M221" s="383"/>
      <c r="N221" s="383"/>
      <c r="O221" s="383"/>
      <c r="P221" s="384"/>
      <c r="Q221" s="383"/>
      <c r="R221" s="386"/>
      <c r="S221" s="383"/>
      <c r="T221" s="384"/>
      <c r="U221" s="387"/>
      <c r="V221" s="241"/>
      <c r="W221" s="241"/>
      <c r="X221" s="241"/>
    </row>
    <row r="222" spans="1:26" ht="18.75" customHeight="1">
      <c r="A222" s="166"/>
      <c r="B222" s="180" t="s">
        <v>94</v>
      </c>
      <c r="C222" s="177">
        <f>C223+C224+C225+C226+C227+C228+C229+C230+C231</f>
        <v>26467626</v>
      </c>
      <c r="D222" s="177">
        <f t="shared" ref="D222:U222" si="7">D223+D224+D225+D226+D227+D228+D229+D230+D231</f>
        <v>9623823</v>
      </c>
      <c r="E222" s="177">
        <f t="shared" si="7"/>
        <v>0</v>
      </c>
      <c r="F222" s="177">
        <f t="shared" si="7"/>
        <v>9623823</v>
      </c>
      <c r="G222" s="177">
        <f t="shared" si="7"/>
        <v>0</v>
      </c>
      <c r="H222" s="177">
        <f t="shared" si="7"/>
        <v>0</v>
      </c>
      <c r="I222" s="177">
        <f t="shared" si="7"/>
        <v>0</v>
      </c>
      <c r="J222" s="177">
        <f t="shared" si="7"/>
        <v>0</v>
      </c>
      <c r="K222" s="177">
        <f t="shared" si="7"/>
        <v>0</v>
      </c>
      <c r="L222" s="177">
        <f t="shared" si="7"/>
        <v>0</v>
      </c>
      <c r="M222" s="177">
        <f t="shared" si="7"/>
        <v>0</v>
      </c>
      <c r="N222" s="177">
        <f t="shared" si="7"/>
        <v>6095.2999999999993</v>
      </c>
      <c r="O222" s="177">
        <f t="shared" si="7"/>
        <v>16843803</v>
      </c>
      <c r="P222" s="177">
        <f t="shared" si="7"/>
        <v>0</v>
      </c>
      <c r="Q222" s="177">
        <f t="shared" si="7"/>
        <v>0</v>
      </c>
      <c r="R222" s="177">
        <f t="shared" si="7"/>
        <v>0</v>
      </c>
      <c r="S222" s="177">
        <f t="shared" si="7"/>
        <v>0</v>
      </c>
      <c r="T222" s="177">
        <f t="shared" si="7"/>
        <v>0</v>
      </c>
      <c r="U222" s="177">
        <f t="shared" si="7"/>
        <v>0</v>
      </c>
      <c r="V222" s="241"/>
      <c r="W222" s="241"/>
      <c r="X222" s="241"/>
    </row>
    <row r="223" spans="1:26" s="4" customFormat="1">
      <c r="A223" s="374">
        <v>203</v>
      </c>
      <c r="B223" s="390" t="s">
        <v>561</v>
      </c>
      <c r="C223" s="385">
        <f>'часть 1'!L232</f>
        <v>3993146</v>
      </c>
      <c r="D223" s="385">
        <f>E223+F223+G223+H223+I223+J223+K223</f>
        <v>0</v>
      </c>
      <c r="E223" s="385">
        <v>0</v>
      </c>
      <c r="F223" s="385">
        <v>0</v>
      </c>
      <c r="G223" s="385">
        <v>0</v>
      </c>
      <c r="H223" s="385">
        <v>0</v>
      </c>
      <c r="I223" s="385">
        <v>0</v>
      </c>
      <c r="J223" s="385">
        <v>0</v>
      </c>
      <c r="K223" s="385">
        <v>0</v>
      </c>
      <c r="L223" s="422">
        <v>0</v>
      </c>
      <c r="M223" s="385">
        <v>0</v>
      </c>
      <c r="N223" s="385">
        <v>1276.5999999999999</v>
      </c>
      <c r="O223" s="385">
        <v>3993146</v>
      </c>
      <c r="P223" s="422">
        <v>0</v>
      </c>
      <c r="Q223" s="385">
        <v>0</v>
      </c>
      <c r="R223" s="423">
        <v>0</v>
      </c>
      <c r="S223" s="424">
        <v>0</v>
      </c>
      <c r="T223" s="425">
        <v>0</v>
      </c>
      <c r="U223" s="426">
        <v>0</v>
      </c>
      <c r="V223" s="241"/>
      <c r="W223" s="241">
        <f>O223/N223</f>
        <v>3127.953940153533</v>
      </c>
      <c r="X223" s="241"/>
      <c r="Y223" s="19"/>
      <c r="Z223" s="19"/>
    </row>
    <row r="224" spans="1:26" s="4" customFormat="1">
      <c r="A224" s="374">
        <v>204</v>
      </c>
      <c r="B224" s="390" t="s">
        <v>562</v>
      </c>
      <c r="C224" s="385">
        <f>'часть 1'!L233</f>
        <v>2211975</v>
      </c>
      <c r="D224" s="385">
        <f t="shared" ref="D224:D231" si="8">E224+F224+G224+H224+I224+J224+K224</f>
        <v>0</v>
      </c>
      <c r="E224" s="385">
        <v>0</v>
      </c>
      <c r="F224" s="385">
        <v>0</v>
      </c>
      <c r="G224" s="385">
        <v>0</v>
      </c>
      <c r="H224" s="385">
        <v>0</v>
      </c>
      <c r="I224" s="385">
        <v>0</v>
      </c>
      <c r="J224" s="385">
        <v>0</v>
      </c>
      <c r="K224" s="385">
        <v>0</v>
      </c>
      <c r="L224" s="422">
        <v>0</v>
      </c>
      <c r="M224" s="385">
        <v>0</v>
      </c>
      <c r="N224" s="385">
        <v>893.8</v>
      </c>
      <c r="O224" s="385">
        <v>2211975</v>
      </c>
      <c r="P224" s="422">
        <v>0</v>
      </c>
      <c r="Q224" s="385">
        <v>0</v>
      </c>
      <c r="R224" s="423">
        <v>0</v>
      </c>
      <c r="S224" s="424">
        <v>0</v>
      </c>
      <c r="T224" s="425">
        <v>0</v>
      </c>
      <c r="U224" s="426">
        <v>0</v>
      </c>
      <c r="V224" s="241"/>
      <c r="W224" s="241">
        <f t="shared" ref="W224:W231" si="9">O224/N224</f>
        <v>2474.7986126650258</v>
      </c>
      <c r="X224" s="241"/>
      <c r="Y224" s="19"/>
      <c r="Z224" s="19"/>
    </row>
    <row r="225" spans="1:30" s="4" customFormat="1">
      <c r="A225" s="374">
        <v>205</v>
      </c>
      <c r="B225" s="390" t="s">
        <v>563</v>
      </c>
      <c r="C225" s="385">
        <f>'часть 1'!L234</f>
        <v>4161815</v>
      </c>
      <c r="D225" s="385">
        <f t="shared" si="8"/>
        <v>4161815</v>
      </c>
      <c r="E225" s="385">
        <v>0</v>
      </c>
      <c r="F225" s="385">
        <v>4161815</v>
      </c>
      <c r="G225" s="385">
        <v>0</v>
      </c>
      <c r="H225" s="385">
        <v>0</v>
      </c>
      <c r="I225" s="385">
        <v>0</v>
      </c>
      <c r="J225" s="385">
        <v>0</v>
      </c>
      <c r="K225" s="385">
        <v>0</v>
      </c>
      <c r="L225" s="422">
        <v>0</v>
      </c>
      <c r="M225" s="385">
        <v>0</v>
      </c>
      <c r="N225" s="385">
        <v>0</v>
      </c>
      <c r="O225" s="385">
        <v>0</v>
      </c>
      <c r="P225" s="422">
        <v>0</v>
      </c>
      <c r="Q225" s="385">
        <v>0</v>
      </c>
      <c r="R225" s="423">
        <v>0</v>
      </c>
      <c r="S225" s="424">
        <v>0</v>
      </c>
      <c r="T225" s="425">
        <v>0</v>
      </c>
      <c r="U225" s="426">
        <v>0</v>
      </c>
      <c r="V225" s="241"/>
      <c r="W225" s="241"/>
      <c r="X225" s="241"/>
      <c r="Y225" s="19"/>
      <c r="Z225" s="19"/>
      <c r="AA225" s="4">
        <f>F225/'часть 1'!I234</f>
        <v>961.55792246199348</v>
      </c>
    </row>
    <row r="226" spans="1:30" s="4" customFormat="1">
      <c r="A226" s="374">
        <v>206</v>
      </c>
      <c r="B226" s="391" t="s">
        <v>564</v>
      </c>
      <c r="C226" s="385">
        <f>'часть 1'!L235</f>
        <v>2678707</v>
      </c>
      <c r="D226" s="385">
        <f t="shared" si="8"/>
        <v>2678707</v>
      </c>
      <c r="E226" s="385">
        <v>0</v>
      </c>
      <c r="F226" s="385">
        <v>2678707</v>
      </c>
      <c r="G226" s="385">
        <v>0</v>
      </c>
      <c r="H226" s="385">
        <v>0</v>
      </c>
      <c r="I226" s="385">
        <v>0</v>
      </c>
      <c r="J226" s="385">
        <v>0</v>
      </c>
      <c r="K226" s="385">
        <v>0</v>
      </c>
      <c r="L226" s="422">
        <v>0</v>
      </c>
      <c r="M226" s="385">
        <v>0</v>
      </c>
      <c r="N226" s="385">
        <v>0</v>
      </c>
      <c r="O226" s="385">
        <v>0</v>
      </c>
      <c r="P226" s="422">
        <v>0</v>
      </c>
      <c r="Q226" s="385">
        <v>0</v>
      </c>
      <c r="R226" s="423">
        <v>0</v>
      </c>
      <c r="S226" s="424">
        <v>0</v>
      </c>
      <c r="T226" s="425">
        <v>0</v>
      </c>
      <c r="U226" s="426">
        <v>0</v>
      </c>
      <c r="V226" s="241"/>
      <c r="W226" s="241"/>
      <c r="X226" s="241"/>
      <c r="Y226" s="19"/>
      <c r="Z226" s="19"/>
      <c r="AA226" s="4">
        <f>F226/'часть 1'!I235</f>
        <v>993.40144631930275</v>
      </c>
    </row>
    <row r="227" spans="1:30" s="4" customFormat="1">
      <c r="A227" s="374">
        <v>207</v>
      </c>
      <c r="B227" s="390" t="s">
        <v>560</v>
      </c>
      <c r="C227" s="385">
        <f>'часть 1'!L236</f>
        <v>2783301</v>
      </c>
      <c r="D227" s="385">
        <f t="shared" si="8"/>
        <v>2783301</v>
      </c>
      <c r="E227" s="385">
        <v>0</v>
      </c>
      <c r="F227" s="385">
        <v>2783301</v>
      </c>
      <c r="G227" s="385">
        <v>0</v>
      </c>
      <c r="H227" s="385">
        <v>0</v>
      </c>
      <c r="I227" s="385">
        <v>0</v>
      </c>
      <c r="J227" s="385">
        <v>0</v>
      </c>
      <c r="K227" s="385">
        <v>0</v>
      </c>
      <c r="L227" s="422">
        <v>0</v>
      </c>
      <c r="M227" s="385">
        <v>0</v>
      </c>
      <c r="N227" s="383">
        <v>0</v>
      </c>
      <c r="O227" s="385">
        <v>0</v>
      </c>
      <c r="P227" s="422">
        <v>0</v>
      </c>
      <c r="Q227" s="385">
        <v>0</v>
      </c>
      <c r="R227" s="423">
        <v>0</v>
      </c>
      <c r="S227" s="424">
        <v>0</v>
      </c>
      <c r="T227" s="425">
        <v>0</v>
      </c>
      <c r="U227" s="426">
        <v>0</v>
      </c>
      <c r="V227" s="241"/>
      <c r="W227" s="241"/>
      <c r="X227" s="241"/>
      <c r="Y227" s="19"/>
      <c r="Z227" s="19"/>
      <c r="AA227" s="4">
        <f>F227/'часть 1'!I236</f>
        <v>988.49344745533972</v>
      </c>
    </row>
    <row r="228" spans="1:30" s="4" customFormat="1">
      <c r="A228" s="374">
        <v>208</v>
      </c>
      <c r="B228" s="390" t="s">
        <v>565</v>
      </c>
      <c r="C228" s="385">
        <f>'часть 1'!L237</f>
        <v>3450795</v>
      </c>
      <c r="D228" s="385">
        <f t="shared" si="8"/>
        <v>0</v>
      </c>
      <c r="E228" s="385">
        <v>0</v>
      </c>
      <c r="F228" s="385">
        <v>0</v>
      </c>
      <c r="G228" s="385">
        <v>0</v>
      </c>
      <c r="H228" s="385">
        <v>0</v>
      </c>
      <c r="I228" s="385">
        <v>0</v>
      </c>
      <c r="J228" s="385">
        <v>0</v>
      </c>
      <c r="K228" s="385">
        <v>0</v>
      </c>
      <c r="L228" s="422">
        <v>0</v>
      </c>
      <c r="M228" s="385">
        <v>0</v>
      </c>
      <c r="N228" s="385">
        <v>1097.9000000000001</v>
      </c>
      <c r="O228" s="385">
        <v>3450795</v>
      </c>
      <c r="P228" s="422">
        <v>0</v>
      </c>
      <c r="Q228" s="385">
        <v>0</v>
      </c>
      <c r="R228" s="423">
        <v>0</v>
      </c>
      <c r="S228" s="424">
        <v>0</v>
      </c>
      <c r="T228" s="425">
        <v>0</v>
      </c>
      <c r="U228" s="426">
        <v>0</v>
      </c>
      <c r="V228" s="241"/>
      <c r="W228" s="241">
        <f t="shared" si="9"/>
        <v>3143.0868020766916</v>
      </c>
      <c r="X228" s="241"/>
      <c r="Y228" s="19"/>
      <c r="Z228" s="19"/>
    </row>
    <row r="229" spans="1:30" s="4" customFormat="1">
      <c r="A229" s="374">
        <v>209</v>
      </c>
      <c r="B229" s="390" t="s">
        <v>566</v>
      </c>
      <c r="C229" s="385">
        <f>'часть 1'!L238</f>
        <v>919216</v>
      </c>
      <c r="D229" s="385">
        <f t="shared" si="8"/>
        <v>0</v>
      </c>
      <c r="E229" s="385">
        <v>0</v>
      </c>
      <c r="F229" s="385">
        <v>0</v>
      </c>
      <c r="G229" s="385">
        <v>0</v>
      </c>
      <c r="H229" s="385">
        <v>0</v>
      </c>
      <c r="I229" s="385">
        <v>0</v>
      </c>
      <c r="J229" s="385">
        <v>0</v>
      </c>
      <c r="K229" s="385">
        <v>0</v>
      </c>
      <c r="L229" s="422">
        <v>0</v>
      </c>
      <c r="M229" s="385">
        <v>0</v>
      </c>
      <c r="N229" s="385">
        <v>288</v>
      </c>
      <c r="O229" s="385">
        <v>919216</v>
      </c>
      <c r="P229" s="422">
        <v>0</v>
      </c>
      <c r="Q229" s="385">
        <v>0</v>
      </c>
      <c r="R229" s="423">
        <v>0</v>
      </c>
      <c r="S229" s="424">
        <v>0</v>
      </c>
      <c r="T229" s="425">
        <v>0</v>
      </c>
      <c r="U229" s="426">
        <v>0</v>
      </c>
      <c r="V229" s="241"/>
      <c r="W229" s="241">
        <f t="shared" si="9"/>
        <v>3191.7222222222222</v>
      </c>
      <c r="X229" s="241"/>
      <c r="Y229" s="19"/>
      <c r="Z229" s="19"/>
    </row>
    <row r="230" spans="1:30" s="4" customFormat="1">
      <c r="A230" s="374">
        <v>210</v>
      </c>
      <c r="B230" s="390" t="s">
        <v>567</v>
      </c>
      <c r="C230" s="385">
        <f>'часть 1'!L239</f>
        <v>2376610</v>
      </c>
      <c r="D230" s="385">
        <f t="shared" si="8"/>
        <v>0</v>
      </c>
      <c r="E230" s="385">
        <v>0</v>
      </c>
      <c r="F230" s="385">
        <v>0</v>
      </c>
      <c r="G230" s="385">
        <v>0</v>
      </c>
      <c r="H230" s="385">
        <v>0</v>
      </c>
      <c r="I230" s="385">
        <v>0</v>
      </c>
      <c r="J230" s="385">
        <v>0</v>
      </c>
      <c r="K230" s="385">
        <v>0</v>
      </c>
      <c r="L230" s="422">
        <v>0</v>
      </c>
      <c r="M230" s="385">
        <v>0</v>
      </c>
      <c r="N230" s="385">
        <v>960</v>
      </c>
      <c r="O230" s="385">
        <v>2376610</v>
      </c>
      <c r="P230" s="422">
        <v>0</v>
      </c>
      <c r="Q230" s="385">
        <v>0</v>
      </c>
      <c r="R230" s="423">
        <v>0</v>
      </c>
      <c r="S230" s="424">
        <v>0</v>
      </c>
      <c r="T230" s="425">
        <v>0</v>
      </c>
      <c r="U230" s="426">
        <v>0</v>
      </c>
      <c r="V230" s="241"/>
      <c r="W230" s="241">
        <f t="shared" si="9"/>
        <v>2475.6354166666665</v>
      </c>
      <c r="X230" s="241"/>
      <c r="Y230" s="19"/>
      <c r="Z230" s="19"/>
    </row>
    <row r="231" spans="1:30" s="4" customFormat="1">
      <c r="A231" s="374">
        <v>211</v>
      </c>
      <c r="B231" s="390" t="s">
        <v>568</v>
      </c>
      <c r="C231" s="385">
        <f>'часть 1'!L240</f>
        <v>3892061</v>
      </c>
      <c r="D231" s="385">
        <f t="shared" si="8"/>
        <v>0</v>
      </c>
      <c r="E231" s="385">
        <v>0</v>
      </c>
      <c r="F231" s="385">
        <v>0</v>
      </c>
      <c r="G231" s="385">
        <v>0</v>
      </c>
      <c r="H231" s="385">
        <v>0</v>
      </c>
      <c r="I231" s="385">
        <v>0</v>
      </c>
      <c r="J231" s="385">
        <v>0</v>
      </c>
      <c r="K231" s="385">
        <v>0</v>
      </c>
      <c r="L231" s="422">
        <v>0</v>
      </c>
      <c r="M231" s="385">
        <v>0</v>
      </c>
      <c r="N231" s="385">
        <v>1579</v>
      </c>
      <c r="O231" s="385">
        <v>3892061</v>
      </c>
      <c r="P231" s="422">
        <v>0</v>
      </c>
      <c r="Q231" s="385">
        <v>0</v>
      </c>
      <c r="R231" s="423">
        <v>0</v>
      </c>
      <c r="S231" s="424">
        <v>0</v>
      </c>
      <c r="T231" s="425">
        <v>0</v>
      </c>
      <c r="U231" s="426">
        <v>0</v>
      </c>
      <c r="V231" s="241"/>
      <c r="W231" s="241">
        <f t="shared" si="9"/>
        <v>2464.8898036732107</v>
      </c>
      <c r="X231" s="241"/>
      <c r="Y231" s="5"/>
      <c r="Z231" s="5"/>
      <c r="AA231" s="6"/>
      <c r="AB231" s="6"/>
    </row>
    <row r="232" spans="1:30" s="4" customFormat="1">
      <c r="A232" s="374"/>
      <c r="B232" s="382"/>
      <c r="C232" s="385"/>
      <c r="D232" s="385"/>
      <c r="E232" s="385"/>
      <c r="F232" s="385"/>
      <c r="G232" s="385"/>
      <c r="H232" s="385"/>
      <c r="I232" s="385"/>
      <c r="J232" s="385"/>
      <c r="K232" s="385"/>
      <c r="L232" s="422"/>
      <c r="M232" s="385"/>
      <c r="N232" s="385"/>
      <c r="O232" s="385"/>
      <c r="P232" s="422"/>
      <c r="Q232" s="385"/>
      <c r="R232" s="423"/>
      <c r="S232" s="424"/>
      <c r="T232" s="425"/>
      <c r="U232" s="426"/>
      <c r="V232" s="241"/>
      <c r="W232" s="241"/>
      <c r="X232" s="241"/>
      <c r="Y232" s="19"/>
      <c r="Z232" s="19"/>
    </row>
    <row r="233" spans="1:30" s="4" customFormat="1">
      <c r="A233" s="374"/>
      <c r="B233" s="382"/>
      <c r="C233" s="385"/>
      <c r="D233" s="385"/>
      <c r="E233" s="385"/>
      <c r="F233" s="385"/>
      <c r="G233" s="385"/>
      <c r="H233" s="385"/>
      <c r="I233" s="385"/>
      <c r="J233" s="385"/>
      <c r="K233" s="385"/>
      <c r="L233" s="422"/>
      <c r="M233" s="385"/>
      <c r="N233" s="385"/>
      <c r="O233" s="385"/>
      <c r="P233" s="422"/>
      <c r="Q233" s="385"/>
      <c r="R233" s="423"/>
      <c r="S233" s="424"/>
      <c r="T233" s="425"/>
      <c r="U233" s="426"/>
      <c r="V233" s="241"/>
      <c r="W233" s="241"/>
      <c r="X233" s="241"/>
      <c r="Y233" s="19"/>
      <c r="Z233" s="19"/>
    </row>
    <row r="234" spans="1:30" s="4" customFormat="1">
      <c r="A234" s="374"/>
      <c r="B234" s="392"/>
      <c r="C234" s="385"/>
      <c r="D234" s="385"/>
      <c r="E234" s="385"/>
      <c r="F234" s="385"/>
      <c r="G234" s="385"/>
      <c r="H234" s="385"/>
      <c r="I234" s="385"/>
      <c r="J234" s="385"/>
      <c r="K234" s="385"/>
      <c r="L234" s="422"/>
      <c r="M234" s="385"/>
      <c r="N234" s="385"/>
      <c r="O234" s="385"/>
      <c r="P234" s="422"/>
      <c r="Q234" s="385"/>
      <c r="R234" s="423"/>
      <c r="S234" s="424"/>
      <c r="T234" s="425"/>
      <c r="U234" s="426"/>
      <c r="V234" s="241"/>
      <c r="W234" s="241"/>
      <c r="X234" s="241"/>
      <c r="Y234" s="19"/>
      <c r="Z234" s="19"/>
    </row>
    <row r="235" spans="1:30" ht="18.75" customHeight="1">
      <c r="A235" s="374"/>
      <c r="B235" s="375" t="s">
        <v>123</v>
      </c>
      <c r="C235" s="376">
        <f>C236+C237+C238+C239+C240</f>
        <v>11767484</v>
      </c>
      <c r="D235" s="376">
        <f t="shared" ref="D235:V235" si="10">D236+D237+D238+D239+D240</f>
        <v>3530005</v>
      </c>
      <c r="E235" s="376">
        <f t="shared" si="10"/>
        <v>0</v>
      </c>
      <c r="F235" s="376">
        <f t="shared" si="10"/>
        <v>0</v>
      </c>
      <c r="G235" s="376">
        <f t="shared" si="10"/>
        <v>0</v>
      </c>
      <c r="H235" s="376">
        <f t="shared" si="10"/>
        <v>0</v>
      </c>
      <c r="I235" s="376">
        <f t="shared" si="10"/>
        <v>0</v>
      </c>
      <c r="J235" s="376">
        <f t="shared" si="10"/>
        <v>3530005</v>
      </c>
      <c r="K235" s="376">
        <f t="shared" si="10"/>
        <v>0</v>
      </c>
      <c r="L235" s="376">
        <f t="shared" si="10"/>
        <v>0</v>
      </c>
      <c r="M235" s="376">
        <f t="shared" si="10"/>
        <v>0</v>
      </c>
      <c r="N235" s="376">
        <f t="shared" si="10"/>
        <v>3330.7000000000003</v>
      </c>
      <c r="O235" s="376">
        <f t="shared" si="10"/>
        <v>8237479</v>
      </c>
      <c r="P235" s="376">
        <f t="shared" si="10"/>
        <v>0</v>
      </c>
      <c r="Q235" s="376">
        <f t="shared" si="10"/>
        <v>0</v>
      </c>
      <c r="R235" s="376">
        <f t="shared" si="10"/>
        <v>0</v>
      </c>
      <c r="S235" s="376">
        <f t="shared" si="10"/>
        <v>0</v>
      </c>
      <c r="T235" s="376">
        <f t="shared" si="10"/>
        <v>0</v>
      </c>
      <c r="U235" s="376">
        <f t="shared" si="10"/>
        <v>0</v>
      </c>
      <c r="V235" s="376">
        <f t="shared" si="10"/>
        <v>0</v>
      </c>
      <c r="W235" s="241"/>
      <c r="X235" s="241"/>
    </row>
    <row r="236" spans="1:30">
      <c r="A236" s="374">
        <v>215</v>
      </c>
      <c r="B236" s="405" t="s">
        <v>732</v>
      </c>
      <c r="C236" s="376">
        <f>'часть 1'!L245</f>
        <v>3438972</v>
      </c>
      <c r="D236" s="376">
        <f>E236+F236+G236+H236+I236+J236+K236</f>
        <v>0</v>
      </c>
      <c r="E236" s="376">
        <v>0</v>
      </c>
      <c r="F236" s="376">
        <v>0</v>
      </c>
      <c r="G236" s="376">
        <v>0</v>
      </c>
      <c r="H236" s="376">
        <v>0</v>
      </c>
      <c r="I236" s="376">
        <v>0</v>
      </c>
      <c r="J236" s="376">
        <v>0</v>
      </c>
      <c r="K236" s="489">
        <v>0</v>
      </c>
      <c r="L236" s="570">
        <v>0</v>
      </c>
      <c r="M236" s="379">
        <v>0</v>
      </c>
      <c r="N236" s="379">
        <v>1392.8</v>
      </c>
      <c r="O236" s="379">
        <v>3438972</v>
      </c>
      <c r="P236" s="570">
        <v>0</v>
      </c>
      <c r="Q236" s="379">
        <v>0</v>
      </c>
      <c r="R236" s="571">
        <v>0</v>
      </c>
      <c r="S236" s="379">
        <v>0</v>
      </c>
      <c r="T236" s="570">
        <v>0</v>
      </c>
      <c r="U236" s="426">
        <v>0</v>
      </c>
      <c r="V236" s="241"/>
      <c r="W236" s="241">
        <f>O236/N236</f>
        <v>2469.1068351522113</v>
      </c>
      <c r="X236" s="241"/>
    </row>
    <row r="237" spans="1:30">
      <c r="A237" s="374">
        <v>216</v>
      </c>
      <c r="B237" s="405" t="s">
        <v>363</v>
      </c>
      <c r="C237" s="376">
        <f>'часть 1'!L246</f>
        <v>2804575</v>
      </c>
      <c r="D237" s="376">
        <f>E237+F237+G237+H237+I237+J237+K237</f>
        <v>0</v>
      </c>
      <c r="E237" s="376">
        <v>0</v>
      </c>
      <c r="F237" s="376">
        <v>0</v>
      </c>
      <c r="G237" s="376">
        <v>0</v>
      </c>
      <c r="H237" s="376">
        <v>0</v>
      </c>
      <c r="I237" s="376">
        <v>0</v>
      </c>
      <c r="J237" s="376">
        <v>0</v>
      </c>
      <c r="K237" s="489">
        <v>0</v>
      </c>
      <c r="L237" s="570">
        <v>0</v>
      </c>
      <c r="M237" s="379">
        <v>0</v>
      </c>
      <c r="N237" s="379">
        <v>1134</v>
      </c>
      <c r="O237" s="379">
        <v>2804575</v>
      </c>
      <c r="P237" s="570">
        <v>0</v>
      </c>
      <c r="Q237" s="379">
        <v>0</v>
      </c>
      <c r="R237" s="571">
        <v>0</v>
      </c>
      <c r="S237" s="379">
        <v>0</v>
      </c>
      <c r="T237" s="570">
        <v>0</v>
      </c>
      <c r="U237" s="426">
        <v>0</v>
      </c>
      <c r="V237" s="241"/>
      <c r="W237" s="241">
        <f>O237/N237</f>
        <v>2473.1701940035273</v>
      </c>
      <c r="X237" s="241"/>
    </row>
    <row r="238" spans="1:30">
      <c r="A238" s="374">
        <v>217</v>
      </c>
      <c r="B238" s="405" t="s">
        <v>733</v>
      </c>
      <c r="C238" s="376">
        <f>'часть 1'!L247</f>
        <v>1993932</v>
      </c>
      <c r="D238" s="376">
        <f>E238+F238+G238+H238+I238+J238+K238</f>
        <v>0</v>
      </c>
      <c r="E238" s="376">
        <v>0</v>
      </c>
      <c r="F238" s="376">
        <v>0</v>
      </c>
      <c r="G238" s="376">
        <v>0</v>
      </c>
      <c r="H238" s="376">
        <v>0</v>
      </c>
      <c r="I238" s="376">
        <v>0</v>
      </c>
      <c r="J238" s="376">
        <v>0</v>
      </c>
      <c r="K238" s="376">
        <v>0</v>
      </c>
      <c r="L238" s="570">
        <v>0</v>
      </c>
      <c r="M238" s="379">
        <v>0</v>
      </c>
      <c r="N238" s="379">
        <v>803.9</v>
      </c>
      <c r="O238" s="379">
        <v>1993932</v>
      </c>
      <c r="P238" s="570">
        <v>0</v>
      </c>
      <c r="Q238" s="379">
        <v>0</v>
      </c>
      <c r="R238" s="571">
        <v>0</v>
      </c>
      <c r="S238" s="379">
        <v>0</v>
      </c>
      <c r="T238" s="570">
        <v>0</v>
      </c>
      <c r="U238" s="426">
        <v>0</v>
      </c>
      <c r="V238" s="241"/>
      <c r="W238" s="241">
        <f>O238/N238</f>
        <v>2480.3234233113571</v>
      </c>
      <c r="X238" s="241"/>
    </row>
    <row r="239" spans="1:30">
      <c r="A239" s="374">
        <v>218</v>
      </c>
      <c r="B239" s="405" t="s">
        <v>942</v>
      </c>
      <c r="C239" s="376">
        <f>'часть 1'!L248</f>
        <v>1656223</v>
      </c>
      <c r="D239" s="376">
        <f>E239+F239+G239+H239+I239+J239+K239</f>
        <v>1656223</v>
      </c>
      <c r="E239" s="376">
        <v>0</v>
      </c>
      <c r="F239" s="376">
        <v>0</v>
      </c>
      <c r="G239" s="376">
        <v>0</v>
      </c>
      <c r="H239" s="376">
        <v>0</v>
      </c>
      <c r="I239" s="376">
        <v>0</v>
      </c>
      <c r="J239" s="376">
        <v>1656223</v>
      </c>
      <c r="K239" s="489">
        <v>0</v>
      </c>
      <c r="L239" s="570">
        <v>0</v>
      </c>
      <c r="M239" s="379">
        <v>0</v>
      </c>
      <c r="N239" s="379">
        <v>0</v>
      </c>
      <c r="O239" s="379">
        <v>0</v>
      </c>
      <c r="P239" s="570">
        <v>0</v>
      </c>
      <c r="Q239" s="379">
        <v>0</v>
      </c>
      <c r="R239" s="571">
        <v>0</v>
      </c>
      <c r="S239" s="379">
        <v>0</v>
      </c>
      <c r="T239" s="570">
        <v>0</v>
      </c>
      <c r="U239" s="426">
        <v>0</v>
      </c>
      <c r="V239" s="241"/>
      <c r="W239" s="241"/>
      <c r="X239" s="241"/>
      <c r="AD239" s="1">
        <f>J239/'часть 1'!I248</f>
        <v>464.30517787558523</v>
      </c>
    </row>
    <row r="240" spans="1:30">
      <c r="A240" s="374">
        <v>219</v>
      </c>
      <c r="B240" s="405" t="s">
        <v>357</v>
      </c>
      <c r="C240" s="376">
        <f>'часть 1'!L249</f>
        <v>1873782</v>
      </c>
      <c r="D240" s="376">
        <f>E240+F240+G240+H240+I240+J240+K240</f>
        <v>1873782</v>
      </c>
      <c r="E240" s="376">
        <v>0</v>
      </c>
      <c r="F240" s="376">
        <v>0</v>
      </c>
      <c r="G240" s="376">
        <v>0</v>
      </c>
      <c r="H240" s="376">
        <v>0</v>
      </c>
      <c r="I240" s="376">
        <v>0</v>
      </c>
      <c r="J240" s="376">
        <v>1873782</v>
      </c>
      <c r="K240" s="376">
        <v>0</v>
      </c>
      <c r="L240" s="570">
        <v>0</v>
      </c>
      <c r="M240" s="379">
        <v>0</v>
      </c>
      <c r="N240" s="379">
        <v>0</v>
      </c>
      <c r="O240" s="379">
        <v>0</v>
      </c>
      <c r="P240" s="570">
        <v>0</v>
      </c>
      <c r="Q240" s="379">
        <v>0</v>
      </c>
      <c r="R240" s="571">
        <v>0</v>
      </c>
      <c r="S240" s="379">
        <v>0</v>
      </c>
      <c r="T240" s="570">
        <v>0</v>
      </c>
      <c r="U240" s="426">
        <v>0</v>
      </c>
      <c r="V240" s="241"/>
      <c r="W240" s="241"/>
      <c r="X240" s="241"/>
      <c r="AD240" s="1">
        <f>J240/'часть 1'!I249</f>
        <v>556.51381051381054</v>
      </c>
    </row>
    <row r="241" spans="1:25">
      <c r="A241" s="374"/>
      <c r="B241" s="405"/>
      <c r="C241" s="376"/>
      <c r="D241" s="376"/>
      <c r="E241" s="376"/>
      <c r="F241" s="376"/>
      <c r="G241" s="376"/>
      <c r="H241" s="376"/>
      <c r="I241" s="376"/>
      <c r="J241" s="376"/>
      <c r="K241" s="489"/>
      <c r="L241" s="570"/>
      <c r="M241" s="379"/>
      <c r="N241" s="379"/>
      <c r="O241" s="379"/>
      <c r="P241" s="570"/>
      <c r="Q241" s="379"/>
      <c r="R241" s="571"/>
      <c r="S241" s="379"/>
      <c r="T241" s="570"/>
      <c r="U241" s="426"/>
      <c r="V241" s="241"/>
      <c r="W241" s="241"/>
      <c r="X241" s="241"/>
    </row>
    <row r="242" spans="1:25">
      <c r="A242" s="374"/>
      <c r="B242" s="405"/>
      <c r="C242" s="376"/>
      <c r="D242" s="376"/>
      <c r="E242" s="376"/>
      <c r="F242" s="376"/>
      <c r="G242" s="376"/>
      <c r="H242" s="376"/>
      <c r="I242" s="376"/>
      <c r="J242" s="376"/>
      <c r="K242" s="376"/>
      <c r="L242" s="570"/>
      <c r="M242" s="379"/>
      <c r="N242" s="379"/>
      <c r="O242" s="379"/>
      <c r="P242" s="570"/>
      <c r="Q242" s="379"/>
      <c r="R242" s="571"/>
      <c r="S242" s="379"/>
      <c r="T242" s="570"/>
      <c r="U242" s="426"/>
      <c r="V242" s="241"/>
      <c r="W242" s="241"/>
      <c r="X242" s="241"/>
    </row>
    <row r="243" spans="1:25">
      <c r="A243" s="374"/>
      <c r="B243" s="405"/>
      <c r="C243" s="376"/>
      <c r="D243" s="376"/>
      <c r="E243" s="376"/>
      <c r="F243" s="376"/>
      <c r="G243" s="376"/>
      <c r="H243" s="376"/>
      <c r="I243" s="376"/>
      <c r="J243" s="376"/>
      <c r="K243" s="376"/>
      <c r="L243" s="570"/>
      <c r="M243" s="379"/>
      <c r="N243" s="379"/>
      <c r="O243" s="379"/>
      <c r="P243" s="570"/>
      <c r="Q243" s="379"/>
      <c r="R243" s="571"/>
      <c r="S243" s="379"/>
      <c r="T243" s="570"/>
      <c r="U243" s="426"/>
      <c r="V243" s="241"/>
      <c r="W243" s="241"/>
      <c r="X243" s="241"/>
    </row>
    <row r="244" spans="1:25">
      <c r="A244" s="374"/>
      <c r="B244" s="405"/>
      <c r="C244" s="376"/>
      <c r="D244" s="376"/>
      <c r="E244" s="376"/>
      <c r="F244" s="376"/>
      <c r="G244" s="376"/>
      <c r="H244" s="376"/>
      <c r="I244" s="376"/>
      <c r="J244" s="376"/>
      <c r="K244" s="489"/>
      <c r="L244" s="570"/>
      <c r="M244" s="379"/>
      <c r="N244" s="379"/>
      <c r="O244" s="379"/>
      <c r="P244" s="570"/>
      <c r="Q244" s="379"/>
      <c r="R244" s="571"/>
      <c r="S244" s="379"/>
      <c r="T244" s="570"/>
      <c r="U244" s="426"/>
      <c r="V244" s="241"/>
      <c r="W244" s="241"/>
      <c r="X244" s="241"/>
    </row>
    <row r="245" spans="1:25">
      <c r="A245" s="374"/>
      <c r="B245" s="405"/>
      <c r="C245" s="376"/>
      <c r="D245" s="376"/>
      <c r="E245" s="376"/>
      <c r="F245" s="376"/>
      <c r="G245" s="376"/>
      <c r="H245" s="376"/>
      <c r="I245" s="376"/>
      <c r="J245" s="376"/>
      <c r="K245" s="489"/>
      <c r="L245" s="570"/>
      <c r="M245" s="379"/>
      <c r="N245" s="379"/>
      <c r="O245" s="379"/>
      <c r="P245" s="570"/>
      <c r="Q245" s="379"/>
      <c r="R245" s="571"/>
      <c r="S245" s="379"/>
      <c r="T245" s="570"/>
      <c r="U245" s="426"/>
      <c r="V245" s="241"/>
      <c r="W245" s="241"/>
      <c r="X245" s="241"/>
    </row>
    <row r="246" spans="1:25">
      <c r="A246" s="374"/>
      <c r="B246" s="405"/>
      <c r="C246" s="376"/>
      <c r="D246" s="376"/>
      <c r="E246" s="376"/>
      <c r="F246" s="376"/>
      <c r="G246" s="376"/>
      <c r="H246" s="376"/>
      <c r="I246" s="376"/>
      <c r="J246" s="376"/>
      <c r="K246" s="489"/>
      <c r="L246" s="570"/>
      <c r="M246" s="379"/>
      <c r="N246" s="379"/>
      <c r="O246" s="379"/>
      <c r="P246" s="570"/>
      <c r="Q246" s="379"/>
      <c r="R246" s="571"/>
      <c r="S246" s="379"/>
      <c r="T246" s="570"/>
      <c r="U246" s="426"/>
      <c r="V246" s="241"/>
      <c r="W246" s="241"/>
      <c r="X246" s="241"/>
    </row>
    <row r="247" spans="1:25">
      <c r="A247" s="374"/>
      <c r="B247" s="405"/>
      <c r="C247" s="376"/>
      <c r="D247" s="376"/>
      <c r="E247" s="376"/>
      <c r="F247" s="376"/>
      <c r="G247" s="376"/>
      <c r="H247" s="376"/>
      <c r="I247" s="376"/>
      <c r="J247" s="376"/>
      <c r="K247" s="489"/>
      <c r="L247" s="570"/>
      <c r="M247" s="379"/>
      <c r="N247" s="379"/>
      <c r="O247" s="379"/>
      <c r="P247" s="570"/>
      <c r="Q247" s="379"/>
      <c r="R247" s="571"/>
      <c r="S247" s="379"/>
      <c r="T247" s="570"/>
      <c r="U247" s="426"/>
      <c r="V247" s="241"/>
      <c r="W247" s="241"/>
      <c r="X247" s="241"/>
    </row>
    <row r="248" spans="1:25" ht="21.6" customHeight="1">
      <c r="A248" s="374"/>
      <c r="B248" s="405" t="s">
        <v>864</v>
      </c>
      <c r="C248" s="376">
        <f>C249+C250</f>
        <v>2812692</v>
      </c>
      <c r="D248" s="376">
        <f t="shared" ref="D248:V248" si="11">D249+D250</f>
        <v>1007609</v>
      </c>
      <c r="E248" s="376">
        <f t="shared" si="11"/>
        <v>1007609</v>
      </c>
      <c r="F248" s="376">
        <f t="shared" si="11"/>
        <v>0</v>
      </c>
      <c r="G248" s="376">
        <f t="shared" si="11"/>
        <v>0</v>
      </c>
      <c r="H248" s="376">
        <f t="shared" si="11"/>
        <v>0</v>
      </c>
      <c r="I248" s="376">
        <f t="shared" si="11"/>
        <v>0</v>
      </c>
      <c r="J248" s="376">
        <f t="shared" si="11"/>
        <v>0</v>
      </c>
      <c r="K248" s="376">
        <f t="shared" si="11"/>
        <v>0</v>
      </c>
      <c r="L248" s="376">
        <f t="shared" si="11"/>
        <v>0</v>
      </c>
      <c r="M248" s="376">
        <f t="shared" si="11"/>
        <v>0</v>
      </c>
      <c r="N248" s="376">
        <f t="shared" si="11"/>
        <v>0</v>
      </c>
      <c r="O248" s="376">
        <f t="shared" si="11"/>
        <v>0</v>
      </c>
      <c r="P248" s="376">
        <f t="shared" si="11"/>
        <v>0</v>
      </c>
      <c r="Q248" s="376">
        <f t="shared" si="11"/>
        <v>0</v>
      </c>
      <c r="R248" s="376">
        <f t="shared" si="11"/>
        <v>1180.3</v>
      </c>
      <c r="S248" s="376">
        <f t="shared" si="11"/>
        <v>1805083</v>
      </c>
      <c r="T248" s="376">
        <f t="shared" si="11"/>
        <v>0</v>
      </c>
      <c r="U248" s="376">
        <f t="shared" si="11"/>
        <v>0</v>
      </c>
      <c r="V248" s="164">
        <f t="shared" si="11"/>
        <v>0</v>
      </c>
      <c r="W248" s="241"/>
      <c r="X248" s="241"/>
    </row>
    <row r="249" spans="1:25" ht="24" customHeight="1">
      <c r="A249" s="374"/>
      <c r="B249" s="405" t="s">
        <v>865</v>
      </c>
      <c r="C249" s="376">
        <f>'часть 1'!L258</f>
        <v>1914360</v>
      </c>
      <c r="D249" s="376">
        <f>E249+F249+G249+H249+I249+J249+K249</f>
        <v>1007609</v>
      </c>
      <c r="E249" s="376">
        <v>1007609</v>
      </c>
      <c r="F249" s="376">
        <v>0</v>
      </c>
      <c r="G249" s="376">
        <v>0</v>
      </c>
      <c r="H249" s="376">
        <v>0</v>
      </c>
      <c r="I249" s="376">
        <v>0</v>
      </c>
      <c r="J249" s="376">
        <v>0</v>
      </c>
      <c r="K249" s="489">
        <v>0</v>
      </c>
      <c r="L249" s="570">
        <v>0</v>
      </c>
      <c r="M249" s="379">
        <v>0</v>
      </c>
      <c r="N249" s="489">
        <v>0</v>
      </c>
      <c r="O249" s="489">
        <v>0</v>
      </c>
      <c r="P249" s="570">
        <v>0</v>
      </c>
      <c r="Q249" s="379">
        <v>0</v>
      </c>
      <c r="R249" s="807">
        <v>593</v>
      </c>
      <c r="S249" s="379">
        <v>906751</v>
      </c>
      <c r="T249" s="570">
        <v>0</v>
      </c>
      <c r="U249" s="426">
        <v>0</v>
      </c>
      <c r="V249" s="241"/>
      <c r="W249" s="241"/>
      <c r="X249" s="241">
        <f>S249/R249</f>
        <v>1529.0910623946038</v>
      </c>
      <c r="Y249" s="14">
        <f>E249/'часть 1'!I258</f>
        <v>666.18776859504135</v>
      </c>
    </row>
    <row r="250" spans="1:25" ht="18.600000000000001" customHeight="1">
      <c r="A250" s="374"/>
      <c r="B250" s="405" t="s">
        <v>866</v>
      </c>
      <c r="C250" s="376">
        <f>'часть 1'!L259</f>
        <v>898332</v>
      </c>
      <c r="D250" s="376">
        <f>E250+F250+G250+H250+I250+J250+K250</f>
        <v>0</v>
      </c>
      <c r="E250" s="376">
        <v>0</v>
      </c>
      <c r="F250" s="376">
        <v>0</v>
      </c>
      <c r="G250" s="376">
        <v>0</v>
      </c>
      <c r="H250" s="376">
        <v>0</v>
      </c>
      <c r="I250" s="376">
        <v>0</v>
      </c>
      <c r="J250" s="376">
        <v>0</v>
      </c>
      <c r="K250" s="489">
        <v>0</v>
      </c>
      <c r="L250" s="570">
        <v>0</v>
      </c>
      <c r="M250" s="379">
        <v>0</v>
      </c>
      <c r="N250" s="489">
        <v>0</v>
      </c>
      <c r="O250" s="489">
        <v>0</v>
      </c>
      <c r="P250" s="570">
        <v>0</v>
      </c>
      <c r="Q250" s="379">
        <v>0</v>
      </c>
      <c r="R250" s="807">
        <v>587.29999999999995</v>
      </c>
      <c r="S250" s="379">
        <v>898332</v>
      </c>
      <c r="T250" s="570">
        <v>0</v>
      </c>
      <c r="U250" s="426">
        <v>0</v>
      </c>
      <c r="V250" s="241"/>
      <c r="W250" s="241"/>
      <c r="X250" s="241">
        <f>S250/R250</f>
        <v>1529.5964583688065</v>
      </c>
    </row>
    <row r="251" spans="1:25" ht="18.75" customHeight="1">
      <c r="A251" s="374"/>
      <c r="B251" s="382" t="s">
        <v>72</v>
      </c>
      <c r="C251" s="376">
        <f>C252</f>
        <v>5868972</v>
      </c>
      <c r="D251" s="376">
        <f t="shared" ref="D251:U251" si="12">D252</f>
        <v>0</v>
      </c>
      <c r="E251" s="376">
        <f t="shared" si="12"/>
        <v>0</v>
      </c>
      <c r="F251" s="376">
        <f t="shared" si="12"/>
        <v>0</v>
      </c>
      <c r="G251" s="376">
        <f t="shared" si="12"/>
        <v>0</v>
      </c>
      <c r="H251" s="376">
        <f t="shared" si="12"/>
        <v>0</v>
      </c>
      <c r="I251" s="376">
        <f t="shared" si="12"/>
        <v>0</v>
      </c>
      <c r="J251" s="376">
        <f t="shared" si="12"/>
        <v>0</v>
      </c>
      <c r="K251" s="376">
        <f t="shared" si="12"/>
        <v>0</v>
      </c>
      <c r="L251" s="376">
        <f t="shared" si="12"/>
        <v>0</v>
      </c>
      <c r="M251" s="376">
        <f t="shared" si="12"/>
        <v>0</v>
      </c>
      <c r="N251" s="376">
        <f t="shared" si="12"/>
        <v>480</v>
      </c>
      <c r="O251" s="376">
        <f t="shared" si="12"/>
        <v>1516786</v>
      </c>
      <c r="P251" s="376">
        <f t="shared" si="12"/>
        <v>0</v>
      </c>
      <c r="Q251" s="376">
        <f t="shared" si="12"/>
        <v>0</v>
      </c>
      <c r="R251" s="376">
        <f t="shared" si="12"/>
        <v>2861</v>
      </c>
      <c r="S251" s="376">
        <f t="shared" si="12"/>
        <v>4352186</v>
      </c>
      <c r="T251" s="376">
        <f t="shared" si="12"/>
        <v>0</v>
      </c>
      <c r="U251" s="376">
        <f t="shared" si="12"/>
        <v>0</v>
      </c>
      <c r="V251" s="241"/>
      <c r="W251" s="241"/>
      <c r="X251" s="241"/>
    </row>
    <row r="252" spans="1:25" ht="30.75" customHeight="1">
      <c r="A252" s="374"/>
      <c r="B252" s="382" t="s">
        <v>95</v>
      </c>
      <c r="C252" s="376">
        <f>C253+C254+C255+C256+C257+C258+C259</f>
        <v>5868972</v>
      </c>
      <c r="D252" s="376">
        <f t="shared" ref="D252:V252" si="13">D253+D254+D255+D256+D257+D258+D259</f>
        <v>0</v>
      </c>
      <c r="E252" s="376">
        <f t="shared" si="13"/>
        <v>0</v>
      </c>
      <c r="F252" s="376">
        <f t="shared" si="13"/>
        <v>0</v>
      </c>
      <c r="G252" s="376">
        <f t="shared" si="13"/>
        <v>0</v>
      </c>
      <c r="H252" s="376">
        <f t="shared" si="13"/>
        <v>0</v>
      </c>
      <c r="I252" s="376">
        <f t="shared" si="13"/>
        <v>0</v>
      </c>
      <c r="J252" s="376">
        <f t="shared" si="13"/>
        <v>0</v>
      </c>
      <c r="K252" s="376">
        <f t="shared" si="13"/>
        <v>0</v>
      </c>
      <c r="L252" s="376">
        <f t="shared" si="13"/>
        <v>0</v>
      </c>
      <c r="M252" s="376">
        <f t="shared" si="13"/>
        <v>0</v>
      </c>
      <c r="N252" s="376">
        <f t="shared" si="13"/>
        <v>480</v>
      </c>
      <c r="O252" s="376">
        <f t="shared" si="13"/>
        <v>1516786</v>
      </c>
      <c r="P252" s="376">
        <f t="shared" si="13"/>
        <v>0</v>
      </c>
      <c r="Q252" s="376">
        <f t="shared" si="13"/>
        <v>0</v>
      </c>
      <c r="R252" s="376">
        <f t="shared" si="13"/>
        <v>2861</v>
      </c>
      <c r="S252" s="376">
        <f t="shared" si="13"/>
        <v>4352186</v>
      </c>
      <c r="T252" s="376">
        <f t="shared" si="13"/>
        <v>0</v>
      </c>
      <c r="U252" s="376">
        <f t="shared" si="13"/>
        <v>0</v>
      </c>
      <c r="V252" s="164">
        <f t="shared" si="13"/>
        <v>0</v>
      </c>
      <c r="W252" s="241"/>
      <c r="X252" s="241"/>
    </row>
    <row r="253" spans="1:25">
      <c r="A253" s="374">
        <v>1</v>
      </c>
      <c r="B253" s="407" t="s">
        <v>619</v>
      </c>
      <c r="C253" s="376">
        <f>'часть 1'!L262</f>
        <v>620394</v>
      </c>
      <c r="D253" s="376">
        <v>0</v>
      </c>
      <c r="E253" s="376">
        <v>0</v>
      </c>
      <c r="F253" s="376">
        <v>0</v>
      </c>
      <c r="G253" s="376">
        <v>0</v>
      </c>
      <c r="H253" s="376">
        <v>0</v>
      </c>
      <c r="I253" s="376">
        <v>0</v>
      </c>
      <c r="J253" s="376">
        <v>0</v>
      </c>
      <c r="K253" s="376">
        <v>0</v>
      </c>
      <c r="L253" s="374">
        <v>0</v>
      </c>
      <c r="M253" s="736">
        <v>0</v>
      </c>
      <c r="N253" s="385">
        <v>0</v>
      </c>
      <c r="O253" s="376">
        <v>0</v>
      </c>
      <c r="P253" s="374">
        <v>0</v>
      </c>
      <c r="Q253" s="376">
        <v>0</v>
      </c>
      <c r="R253" s="377">
        <v>408</v>
      </c>
      <c r="S253" s="376">
        <v>620394</v>
      </c>
      <c r="T253" s="374">
        <v>0</v>
      </c>
      <c r="U253" s="737">
        <v>0</v>
      </c>
      <c r="V253" s="241"/>
      <c r="W253" s="241"/>
      <c r="X253" s="241">
        <f>S253/R253</f>
        <v>1520.5735294117646</v>
      </c>
    </row>
    <row r="254" spans="1:25">
      <c r="A254" s="374">
        <v>2</v>
      </c>
      <c r="B254" s="407" t="s">
        <v>620</v>
      </c>
      <c r="C254" s="376">
        <f>'часть 1'!L263</f>
        <v>620324</v>
      </c>
      <c r="D254" s="376">
        <v>0</v>
      </c>
      <c r="E254" s="376">
        <v>0</v>
      </c>
      <c r="F254" s="376">
        <v>0</v>
      </c>
      <c r="G254" s="376">
        <v>0</v>
      </c>
      <c r="H254" s="376">
        <v>0</v>
      </c>
      <c r="I254" s="376">
        <v>0</v>
      </c>
      <c r="J254" s="376">
        <v>0</v>
      </c>
      <c r="K254" s="376">
        <v>0</v>
      </c>
      <c r="L254" s="374">
        <v>0</v>
      </c>
      <c r="M254" s="736">
        <v>0</v>
      </c>
      <c r="N254" s="385">
        <v>0</v>
      </c>
      <c r="O254" s="376">
        <v>0</v>
      </c>
      <c r="P254" s="374">
        <v>0</v>
      </c>
      <c r="Q254" s="376">
        <v>0</v>
      </c>
      <c r="R254" s="377">
        <v>408</v>
      </c>
      <c r="S254" s="376">
        <v>620324</v>
      </c>
      <c r="T254" s="374">
        <v>0</v>
      </c>
      <c r="U254" s="737">
        <v>0</v>
      </c>
      <c r="V254" s="241"/>
      <c r="W254" s="241"/>
      <c r="X254" s="241">
        <f t="shared" ref="X254:X259" si="14">S254/R254</f>
        <v>1520.4019607843138</v>
      </c>
    </row>
    <row r="255" spans="1:25">
      <c r="A255" s="374">
        <v>3</v>
      </c>
      <c r="B255" s="407" t="s">
        <v>621</v>
      </c>
      <c r="C255" s="376">
        <f>'часть 1'!L264</f>
        <v>626838</v>
      </c>
      <c r="D255" s="376">
        <v>0</v>
      </c>
      <c r="E255" s="376">
        <v>0</v>
      </c>
      <c r="F255" s="376">
        <v>0</v>
      </c>
      <c r="G255" s="376">
        <v>0</v>
      </c>
      <c r="H255" s="376">
        <v>0</v>
      </c>
      <c r="I255" s="376">
        <v>0</v>
      </c>
      <c r="J255" s="376">
        <v>0</v>
      </c>
      <c r="K255" s="376">
        <v>0</v>
      </c>
      <c r="L255" s="374">
        <v>0</v>
      </c>
      <c r="M255" s="736">
        <v>0</v>
      </c>
      <c r="N255" s="385">
        <v>0</v>
      </c>
      <c r="O255" s="376">
        <v>0</v>
      </c>
      <c r="P255" s="374">
        <v>0</v>
      </c>
      <c r="Q255" s="376">
        <v>0</v>
      </c>
      <c r="R255" s="377">
        <v>412</v>
      </c>
      <c r="S255" s="376">
        <v>626838</v>
      </c>
      <c r="T255" s="374">
        <v>0</v>
      </c>
      <c r="U255" s="737">
        <v>0</v>
      </c>
      <c r="V255" s="241"/>
      <c r="W255" s="241"/>
      <c r="X255" s="241">
        <f t="shared" si="14"/>
        <v>1521.4514563106795</v>
      </c>
    </row>
    <row r="256" spans="1:25">
      <c r="A256" s="374">
        <v>4</v>
      </c>
      <c r="B256" s="407" t="s">
        <v>622</v>
      </c>
      <c r="C256" s="376">
        <f>'часть 1'!L265</f>
        <v>2055193</v>
      </c>
      <c r="D256" s="376">
        <v>0</v>
      </c>
      <c r="E256" s="376">
        <v>0</v>
      </c>
      <c r="F256" s="376">
        <v>0</v>
      </c>
      <c r="G256" s="376">
        <v>0</v>
      </c>
      <c r="H256" s="376">
        <v>0</v>
      </c>
      <c r="I256" s="376">
        <v>0</v>
      </c>
      <c r="J256" s="376">
        <v>0</v>
      </c>
      <c r="K256" s="376">
        <v>0</v>
      </c>
      <c r="L256" s="374">
        <v>0</v>
      </c>
      <c r="M256" s="736">
        <v>0</v>
      </c>
      <c r="N256" s="385">
        <v>480</v>
      </c>
      <c r="O256" s="376">
        <v>1516786</v>
      </c>
      <c r="P256" s="374">
        <v>0</v>
      </c>
      <c r="Q256" s="376">
        <v>0</v>
      </c>
      <c r="R256" s="377">
        <v>352</v>
      </c>
      <c r="S256" s="376">
        <v>538407</v>
      </c>
      <c r="T256" s="374">
        <v>0</v>
      </c>
      <c r="U256" s="737">
        <v>0</v>
      </c>
      <c r="V256" s="241"/>
      <c r="W256" s="241">
        <f>O256/N256</f>
        <v>3159.9708333333333</v>
      </c>
      <c r="X256" s="241">
        <f t="shared" si="14"/>
        <v>1529.565340909091</v>
      </c>
    </row>
    <row r="257" spans="1:30">
      <c r="A257" s="374">
        <v>5</v>
      </c>
      <c r="B257" s="407" t="s">
        <v>392</v>
      </c>
      <c r="C257" s="376">
        <f>'часть 1'!L266</f>
        <v>626290</v>
      </c>
      <c r="D257" s="376">
        <v>0</v>
      </c>
      <c r="E257" s="376">
        <v>0</v>
      </c>
      <c r="F257" s="376">
        <v>0</v>
      </c>
      <c r="G257" s="376">
        <v>0</v>
      </c>
      <c r="H257" s="376">
        <v>0</v>
      </c>
      <c r="I257" s="376">
        <v>0</v>
      </c>
      <c r="J257" s="376">
        <v>0</v>
      </c>
      <c r="K257" s="376">
        <v>0</v>
      </c>
      <c r="L257" s="374">
        <v>0</v>
      </c>
      <c r="M257" s="736">
        <v>0</v>
      </c>
      <c r="N257" s="385">
        <v>0</v>
      </c>
      <c r="O257" s="376">
        <v>0</v>
      </c>
      <c r="P257" s="374">
        <v>0</v>
      </c>
      <c r="Q257" s="376">
        <v>0</v>
      </c>
      <c r="R257" s="377">
        <v>412</v>
      </c>
      <c r="S257" s="376">
        <v>626290</v>
      </c>
      <c r="T257" s="374">
        <v>0</v>
      </c>
      <c r="U257" s="737">
        <v>0</v>
      </c>
      <c r="V257" s="241"/>
      <c r="W257" s="241"/>
      <c r="X257" s="241">
        <f t="shared" si="14"/>
        <v>1520.1213592233009</v>
      </c>
    </row>
    <row r="258" spans="1:30">
      <c r="A258" s="374">
        <v>6</v>
      </c>
      <c r="B258" s="407" t="s">
        <v>623</v>
      </c>
      <c r="C258" s="376">
        <f>'часть 1'!L267</f>
        <v>555216</v>
      </c>
      <c r="D258" s="376">
        <v>0</v>
      </c>
      <c r="E258" s="376">
        <v>0</v>
      </c>
      <c r="F258" s="376">
        <v>0</v>
      </c>
      <c r="G258" s="376">
        <v>0</v>
      </c>
      <c r="H258" s="376">
        <v>0</v>
      </c>
      <c r="I258" s="376">
        <v>0</v>
      </c>
      <c r="J258" s="376">
        <v>0</v>
      </c>
      <c r="K258" s="376">
        <v>0</v>
      </c>
      <c r="L258" s="374">
        <v>0</v>
      </c>
      <c r="M258" s="736">
        <v>0</v>
      </c>
      <c r="N258" s="385">
        <v>0</v>
      </c>
      <c r="O258" s="376">
        <v>0</v>
      </c>
      <c r="P258" s="374">
        <v>0</v>
      </c>
      <c r="Q258" s="376">
        <v>0</v>
      </c>
      <c r="R258" s="377">
        <v>364</v>
      </c>
      <c r="S258" s="376">
        <v>555216</v>
      </c>
      <c r="T258" s="374">
        <v>0</v>
      </c>
      <c r="U258" s="737">
        <v>0</v>
      </c>
      <c r="V258" s="241"/>
      <c r="W258" s="241"/>
      <c r="X258" s="241">
        <f t="shared" si="14"/>
        <v>1525.3186813186812</v>
      </c>
    </row>
    <row r="259" spans="1:30">
      <c r="A259" s="374">
        <v>7</v>
      </c>
      <c r="B259" s="382" t="s">
        <v>628</v>
      </c>
      <c r="C259" s="376">
        <f>'часть 1'!L268</f>
        <v>764717</v>
      </c>
      <c r="D259" s="376">
        <v>0</v>
      </c>
      <c r="E259" s="376">
        <v>0</v>
      </c>
      <c r="F259" s="376">
        <v>0</v>
      </c>
      <c r="G259" s="376">
        <v>0</v>
      </c>
      <c r="H259" s="376">
        <v>0</v>
      </c>
      <c r="I259" s="376">
        <v>0</v>
      </c>
      <c r="J259" s="376">
        <v>0</v>
      </c>
      <c r="K259" s="376">
        <v>0</v>
      </c>
      <c r="L259" s="374">
        <v>0</v>
      </c>
      <c r="M259" s="736">
        <v>0</v>
      </c>
      <c r="N259" s="385">
        <v>0</v>
      </c>
      <c r="O259" s="376">
        <v>0</v>
      </c>
      <c r="P259" s="374">
        <v>0</v>
      </c>
      <c r="Q259" s="376">
        <v>0</v>
      </c>
      <c r="R259" s="377">
        <v>505</v>
      </c>
      <c r="S259" s="376">
        <v>764717</v>
      </c>
      <c r="T259" s="374"/>
      <c r="U259" s="737"/>
      <c r="V259" s="241"/>
      <c r="W259" s="241"/>
      <c r="X259" s="241">
        <f t="shared" si="14"/>
        <v>1514.2910891089109</v>
      </c>
    </row>
    <row r="260" spans="1:30">
      <c r="A260" s="166"/>
      <c r="B260" s="183" t="s">
        <v>41</v>
      </c>
      <c r="C260" s="160">
        <v>12161074</v>
      </c>
      <c r="D260" s="160"/>
      <c r="E260" s="160"/>
      <c r="F260" s="160"/>
      <c r="G260" s="160"/>
      <c r="H260" s="160"/>
      <c r="I260" s="160"/>
      <c r="J260" s="160"/>
      <c r="K260" s="160">
        <v>297717</v>
      </c>
      <c r="L260" s="172">
        <v>3</v>
      </c>
      <c r="M260" s="160">
        <v>5600526</v>
      </c>
      <c r="N260" s="160">
        <f>N261</f>
        <v>5180.68</v>
      </c>
      <c r="O260" s="160">
        <v>6262831</v>
      </c>
      <c r="P260" s="172">
        <v>0</v>
      </c>
      <c r="Q260" s="160">
        <v>0</v>
      </c>
      <c r="R260" s="161">
        <v>0</v>
      </c>
      <c r="S260" s="160">
        <v>0</v>
      </c>
      <c r="T260" s="172">
        <v>0</v>
      </c>
      <c r="U260" s="245">
        <v>0</v>
      </c>
      <c r="V260" s="241"/>
      <c r="W260" s="241"/>
      <c r="X260" s="241"/>
    </row>
    <row r="261" spans="1:30" ht="30">
      <c r="A261" s="166"/>
      <c r="B261" s="163" t="s">
        <v>96</v>
      </c>
      <c r="C261" s="164">
        <f>C262+C263+C264+C265+C266+C267+C268+C269+C270+C271</f>
        <v>22562280</v>
      </c>
      <c r="D261" s="164">
        <f t="shared" ref="D261:V261" si="15">D262+D263+D264+D265+D266+D267+D268+D269+D270+D271</f>
        <v>4389647</v>
      </c>
      <c r="E261" s="164">
        <f t="shared" si="15"/>
        <v>2047085</v>
      </c>
      <c r="F261" s="164">
        <f t="shared" si="15"/>
        <v>0</v>
      </c>
      <c r="G261" s="164">
        <f t="shared" si="15"/>
        <v>0</v>
      </c>
      <c r="H261" s="164">
        <f t="shared" si="15"/>
        <v>1420247</v>
      </c>
      <c r="I261" s="164">
        <f t="shared" si="15"/>
        <v>0</v>
      </c>
      <c r="J261" s="164">
        <f t="shared" si="15"/>
        <v>922315</v>
      </c>
      <c r="K261" s="164">
        <f t="shared" si="15"/>
        <v>0</v>
      </c>
      <c r="L261" s="164">
        <f t="shared" si="15"/>
        <v>0</v>
      </c>
      <c r="M261" s="164">
        <f t="shared" si="15"/>
        <v>0</v>
      </c>
      <c r="N261" s="164">
        <f t="shared" si="15"/>
        <v>5180.68</v>
      </c>
      <c r="O261" s="164">
        <f t="shared" si="15"/>
        <v>14270951</v>
      </c>
      <c r="P261" s="164">
        <f t="shared" si="15"/>
        <v>0</v>
      </c>
      <c r="Q261" s="164">
        <f t="shared" si="15"/>
        <v>0</v>
      </c>
      <c r="R261" s="164">
        <f t="shared" si="15"/>
        <v>2585.2599999999998</v>
      </c>
      <c r="S261" s="164">
        <f t="shared" si="15"/>
        <v>3901682</v>
      </c>
      <c r="T261" s="164">
        <f t="shared" si="15"/>
        <v>0</v>
      </c>
      <c r="U261" s="164">
        <f t="shared" si="15"/>
        <v>0</v>
      </c>
      <c r="V261" s="164">
        <f t="shared" si="15"/>
        <v>0</v>
      </c>
      <c r="W261" s="241"/>
      <c r="X261" s="241"/>
    </row>
    <row r="262" spans="1:30" ht="30">
      <c r="A262" s="166">
        <v>1</v>
      </c>
      <c r="B262" s="680" t="s">
        <v>813</v>
      </c>
      <c r="C262" s="164">
        <f>'часть 1'!L271</f>
        <v>2342562</v>
      </c>
      <c r="D262" s="164">
        <f>E262+F262+G262+H262+I262+J262+K262</f>
        <v>2342562</v>
      </c>
      <c r="E262" s="164">
        <v>0</v>
      </c>
      <c r="F262" s="164">
        <v>0</v>
      </c>
      <c r="G262" s="164">
        <v>0</v>
      </c>
      <c r="H262" s="164">
        <v>1420247</v>
      </c>
      <c r="I262" s="164">
        <v>0</v>
      </c>
      <c r="J262" s="164">
        <v>922315</v>
      </c>
      <c r="K262" s="164">
        <v>0</v>
      </c>
      <c r="L262" s="162">
        <v>0</v>
      </c>
      <c r="M262" s="167">
        <v>0</v>
      </c>
      <c r="N262" s="167">
        <v>0</v>
      </c>
      <c r="O262" s="164">
        <v>0</v>
      </c>
      <c r="P262" s="161">
        <v>0</v>
      </c>
      <c r="Q262" s="160">
        <v>0</v>
      </c>
      <c r="R262" s="161">
        <v>0</v>
      </c>
      <c r="S262" s="160">
        <v>0</v>
      </c>
      <c r="T262" s="172">
        <v>0</v>
      </c>
      <c r="U262" s="245">
        <v>0</v>
      </c>
      <c r="V262" s="241"/>
      <c r="W262" s="241"/>
      <c r="X262" s="241"/>
      <c r="AB262" s="1">
        <f>H262/'часть 1'!I271</f>
        <v>883.62284576619174</v>
      </c>
      <c r="AD262" s="1">
        <f>J262/'часть 1'!I271</f>
        <v>573.8287811858396</v>
      </c>
    </row>
    <row r="263" spans="1:30" ht="30">
      <c r="A263" s="166">
        <v>2</v>
      </c>
      <c r="B263" s="680" t="s">
        <v>814</v>
      </c>
      <c r="C263" s="164">
        <f>'часть 1'!L272</f>
        <v>2815415</v>
      </c>
      <c r="D263" s="164">
        <f t="shared" ref="D263:D271" si="16">E263+F263+G263+H263+I263+J263+K263</f>
        <v>0</v>
      </c>
      <c r="E263" s="164">
        <v>0</v>
      </c>
      <c r="F263" s="164">
        <v>0</v>
      </c>
      <c r="G263" s="164">
        <v>0</v>
      </c>
      <c r="H263" s="164">
        <v>0</v>
      </c>
      <c r="I263" s="164">
        <v>0</v>
      </c>
      <c r="J263" s="164">
        <v>0</v>
      </c>
      <c r="K263" s="164">
        <v>0</v>
      </c>
      <c r="L263" s="162">
        <v>0</v>
      </c>
      <c r="M263" s="167">
        <v>0</v>
      </c>
      <c r="N263" s="167">
        <v>892.68</v>
      </c>
      <c r="O263" s="164">
        <v>2815415</v>
      </c>
      <c r="P263" s="161">
        <v>0</v>
      </c>
      <c r="Q263" s="160">
        <v>0</v>
      </c>
      <c r="R263" s="161">
        <v>0</v>
      </c>
      <c r="S263" s="160">
        <v>0</v>
      </c>
      <c r="T263" s="172">
        <v>0</v>
      </c>
      <c r="U263" s="245">
        <v>0</v>
      </c>
      <c r="V263" s="241"/>
      <c r="W263" s="241">
        <f>O263/N263</f>
        <v>3153.8905318815255</v>
      </c>
      <c r="X263" s="241"/>
    </row>
    <row r="264" spans="1:30" ht="30">
      <c r="A264" s="166">
        <v>3</v>
      </c>
      <c r="B264" s="680" t="s">
        <v>815</v>
      </c>
      <c r="C264" s="164">
        <f>'часть 1'!L273</f>
        <v>3917668</v>
      </c>
      <c r="D264" s="164">
        <f t="shared" si="16"/>
        <v>0</v>
      </c>
      <c r="E264" s="164">
        <v>0</v>
      </c>
      <c r="F264" s="164">
        <v>0</v>
      </c>
      <c r="G264" s="164">
        <v>0</v>
      </c>
      <c r="H264" s="164">
        <v>0</v>
      </c>
      <c r="I264" s="164">
        <v>0</v>
      </c>
      <c r="J264" s="164">
        <v>0</v>
      </c>
      <c r="K264" s="164">
        <v>0</v>
      </c>
      <c r="L264" s="162">
        <v>0</v>
      </c>
      <c r="M264" s="167">
        <v>0</v>
      </c>
      <c r="N264" s="167">
        <v>1235</v>
      </c>
      <c r="O264" s="164">
        <v>3917668</v>
      </c>
      <c r="P264" s="161">
        <v>0</v>
      </c>
      <c r="Q264" s="160">
        <v>0</v>
      </c>
      <c r="R264" s="161">
        <v>0</v>
      </c>
      <c r="S264" s="160">
        <v>0</v>
      </c>
      <c r="T264" s="172">
        <v>0</v>
      </c>
      <c r="U264" s="245">
        <v>0</v>
      </c>
      <c r="V264" s="241"/>
      <c r="W264" s="241">
        <f>O264/N264</f>
        <v>3172.200809716599</v>
      </c>
      <c r="X264" s="241"/>
    </row>
    <row r="265" spans="1:30">
      <c r="A265" s="166">
        <v>4</v>
      </c>
      <c r="B265" s="680" t="s">
        <v>816</v>
      </c>
      <c r="C265" s="164">
        <f>'часть 1'!L274</f>
        <v>3136577</v>
      </c>
      <c r="D265" s="164">
        <f t="shared" si="16"/>
        <v>0</v>
      </c>
      <c r="E265" s="164">
        <v>0</v>
      </c>
      <c r="F265" s="164">
        <v>0</v>
      </c>
      <c r="G265" s="164">
        <v>0</v>
      </c>
      <c r="H265" s="164">
        <v>0</v>
      </c>
      <c r="I265" s="164">
        <v>0</v>
      </c>
      <c r="J265" s="164">
        <v>0</v>
      </c>
      <c r="K265" s="164">
        <v>0</v>
      </c>
      <c r="L265" s="162">
        <v>0</v>
      </c>
      <c r="M265" s="167">
        <v>0</v>
      </c>
      <c r="N265" s="167">
        <v>1270</v>
      </c>
      <c r="O265" s="164">
        <v>3136577</v>
      </c>
      <c r="P265" s="161">
        <v>0</v>
      </c>
      <c r="Q265" s="160">
        <v>0</v>
      </c>
      <c r="R265" s="161">
        <v>0</v>
      </c>
      <c r="S265" s="160">
        <v>0</v>
      </c>
      <c r="T265" s="172">
        <v>0</v>
      </c>
      <c r="U265" s="245">
        <v>0</v>
      </c>
      <c r="V265" s="241"/>
      <c r="W265" s="241">
        <f>O265/N265</f>
        <v>2469.7456692913388</v>
      </c>
      <c r="X265" s="241"/>
    </row>
    <row r="266" spans="1:30" ht="45">
      <c r="A266" s="166">
        <v>5</v>
      </c>
      <c r="B266" s="680" t="s">
        <v>817</v>
      </c>
      <c r="C266" s="164">
        <f>'часть 1'!L275</f>
        <v>1046329</v>
      </c>
      <c r="D266" s="164">
        <f t="shared" si="16"/>
        <v>0</v>
      </c>
      <c r="E266" s="164">
        <v>0</v>
      </c>
      <c r="F266" s="164">
        <v>0</v>
      </c>
      <c r="G266" s="164">
        <v>0</v>
      </c>
      <c r="H266" s="164">
        <v>0</v>
      </c>
      <c r="I266" s="164">
        <v>0</v>
      </c>
      <c r="J266" s="164">
        <v>0</v>
      </c>
      <c r="K266" s="164">
        <v>0</v>
      </c>
      <c r="L266" s="162">
        <v>0</v>
      </c>
      <c r="M266" s="167">
        <v>0</v>
      </c>
      <c r="N266" s="167">
        <v>424</v>
      </c>
      <c r="O266" s="164">
        <v>1046329</v>
      </c>
      <c r="P266" s="161">
        <v>0</v>
      </c>
      <c r="Q266" s="160">
        <v>0</v>
      </c>
      <c r="R266" s="161">
        <v>0</v>
      </c>
      <c r="S266" s="160">
        <v>0</v>
      </c>
      <c r="T266" s="172">
        <v>0</v>
      </c>
      <c r="U266" s="245">
        <v>0</v>
      </c>
      <c r="V266" s="241"/>
      <c r="W266" s="241">
        <f>O266/N266</f>
        <v>2467.757075471698</v>
      </c>
      <c r="X266" s="241"/>
    </row>
    <row r="267" spans="1:30">
      <c r="A267" s="166">
        <v>6</v>
      </c>
      <c r="B267" s="680" t="s">
        <v>818</v>
      </c>
      <c r="C267" s="164">
        <f>'часть 1'!L276</f>
        <v>2290833</v>
      </c>
      <c r="D267" s="164">
        <f t="shared" si="16"/>
        <v>717172</v>
      </c>
      <c r="E267" s="164">
        <v>717172</v>
      </c>
      <c r="F267" s="164">
        <v>0</v>
      </c>
      <c r="G267" s="164">
        <v>0</v>
      </c>
      <c r="H267" s="164">
        <v>0</v>
      </c>
      <c r="I267" s="164">
        <v>0</v>
      </c>
      <c r="J267" s="164">
        <v>0</v>
      </c>
      <c r="K267" s="164">
        <v>0</v>
      </c>
      <c r="L267" s="162">
        <v>0</v>
      </c>
      <c r="M267" s="167">
        <v>0</v>
      </c>
      <c r="N267" s="167">
        <v>0</v>
      </c>
      <c r="O267" s="164">
        <v>0</v>
      </c>
      <c r="P267" s="161">
        <v>0</v>
      </c>
      <c r="Q267" s="160">
        <v>0</v>
      </c>
      <c r="R267" s="161">
        <v>1043.7</v>
      </c>
      <c r="S267" s="160">
        <v>1573661</v>
      </c>
      <c r="T267" s="172">
        <v>0</v>
      </c>
      <c r="U267" s="245">
        <v>0</v>
      </c>
      <c r="V267" s="241"/>
      <c r="W267" s="241"/>
      <c r="X267" s="241">
        <f>S267/R267</f>
        <v>1507.7713902462392</v>
      </c>
    </row>
    <row r="268" spans="1:30">
      <c r="A268" s="166">
        <v>7</v>
      </c>
      <c r="B268" s="680" t="s">
        <v>819</v>
      </c>
      <c r="C268" s="164">
        <f>'часть 1'!L277</f>
        <v>1932078</v>
      </c>
      <c r="D268" s="164">
        <f t="shared" si="16"/>
        <v>625139</v>
      </c>
      <c r="E268" s="164">
        <v>625139</v>
      </c>
      <c r="F268" s="164">
        <v>0</v>
      </c>
      <c r="G268" s="164">
        <v>0</v>
      </c>
      <c r="H268" s="164">
        <v>0</v>
      </c>
      <c r="I268" s="164">
        <v>0</v>
      </c>
      <c r="J268" s="164">
        <v>0</v>
      </c>
      <c r="K268" s="164">
        <v>0</v>
      </c>
      <c r="L268" s="162">
        <v>0</v>
      </c>
      <c r="M268" s="167">
        <v>0</v>
      </c>
      <c r="N268" s="167">
        <v>0</v>
      </c>
      <c r="O268" s="164">
        <v>0</v>
      </c>
      <c r="P268" s="161">
        <v>0</v>
      </c>
      <c r="Q268" s="160">
        <v>0</v>
      </c>
      <c r="R268" s="161">
        <v>864.4</v>
      </c>
      <c r="S268" s="160">
        <v>1306939</v>
      </c>
      <c r="T268" s="172">
        <v>0</v>
      </c>
      <c r="U268" s="245">
        <v>0</v>
      </c>
      <c r="V268" s="241"/>
      <c r="W268" s="241"/>
      <c r="X268" s="241">
        <f>S268/R268</f>
        <v>1511.9608977325313</v>
      </c>
    </row>
    <row r="269" spans="1:30">
      <c r="A269" s="166">
        <v>8</v>
      </c>
      <c r="B269" s="680" t="s">
        <v>820</v>
      </c>
      <c r="C269" s="164">
        <f>'часть 1'!L278</f>
        <v>3354962</v>
      </c>
      <c r="D269" s="164">
        <f t="shared" si="16"/>
        <v>0</v>
      </c>
      <c r="E269" s="164">
        <v>0</v>
      </c>
      <c r="F269" s="164">
        <v>0</v>
      </c>
      <c r="G269" s="164">
        <v>0</v>
      </c>
      <c r="H269" s="164">
        <v>0</v>
      </c>
      <c r="I269" s="164">
        <v>0</v>
      </c>
      <c r="J269" s="164">
        <v>0</v>
      </c>
      <c r="K269" s="164">
        <v>0</v>
      </c>
      <c r="L269" s="162">
        <v>0</v>
      </c>
      <c r="M269" s="167">
        <v>0</v>
      </c>
      <c r="N269" s="167">
        <v>1359</v>
      </c>
      <c r="O269" s="164">
        <v>3354962</v>
      </c>
      <c r="P269" s="161">
        <v>0</v>
      </c>
      <c r="Q269" s="160">
        <v>0</v>
      </c>
      <c r="R269" s="161">
        <v>0</v>
      </c>
      <c r="S269" s="160">
        <v>0</v>
      </c>
      <c r="T269" s="172">
        <v>0</v>
      </c>
      <c r="U269" s="245">
        <v>0</v>
      </c>
      <c r="V269" s="241"/>
      <c r="W269" s="241">
        <f>O269/N269</f>
        <v>2468.6990434142754</v>
      </c>
      <c r="X269" s="241"/>
    </row>
    <row r="270" spans="1:30" ht="30">
      <c r="A270" s="166">
        <v>9</v>
      </c>
      <c r="B270" s="680" t="s">
        <v>821</v>
      </c>
      <c r="C270" s="164">
        <f>'часть 1'!L279</f>
        <v>280050</v>
      </c>
      <c r="D270" s="164">
        <f t="shared" si="16"/>
        <v>280050</v>
      </c>
      <c r="E270" s="164">
        <v>280050</v>
      </c>
      <c r="F270" s="164">
        <v>0</v>
      </c>
      <c r="G270" s="164">
        <v>0</v>
      </c>
      <c r="H270" s="164">
        <v>0</v>
      </c>
      <c r="I270" s="164">
        <v>0</v>
      </c>
      <c r="J270" s="164">
        <v>0</v>
      </c>
      <c r="K270" s="164">
        <v>0</v>
      </c>
      <c r="L270" s="162">
        <v>0</v>
      </c>
      <c r="M270" s="167">
        <v>0</v>
      </c>
      <c r="N270" s="160">
        <v>0</v>
      </c>
      <c r="O270" s="160">
        <v>0</v>
      </c>
      <c r="P270" s="161">
        <v>0</v>
      </c>
      <c r="Q270" s="160">
        <v>0</v>
      </c>
      <c r="R270" s="161">
        <v>0</v>
      </c>
      <c r="S270" s="160">
        <v>0</v>
      </c>
      <c r="T270" s="172">
        <v>0</v>
      </c>
      <c r="U270" s="245">
        <v>0</v>
      </c>
      <c r="V270" s="241"/>
      <c r="W270" s="241"/>
      <c r="X270" s="241"/>
      <c r="Y270" s="1">
        <f>E270/'часть 1'!I279</f>
        <v>767.13416972552454</v>
      </c>
    </row>
    <row r="271" spans="1:30" ht="30">
      <c r="A271" s="166">
        <v>10</v>
      </c>
      <c r="B271" s="197" t="s">
        <v>822</v>
      </c>
      <c r="C271" s="164">
        <f>'часть 1'!L280</f>
        <v>1445806</v>
      </c>
      <c r="D271" s="164">
        <f t="shared" si="16"/>
        <v>424724</v>
      </c>
      <c r="E271" s="164">
        <v>424724</v>
      </c>
      <c r="F271" s="164">
        <v>0</v>
      </c>
      <c r="G271" s="164">
        <v>0</v>
      </c>
      <c r="H271" s="164">
        <v>0</v>
      </c>
      <c r="I271" s="164">
        <v>0</v>
      </c>
      <c r="J271" s="164">
        <v>0</v>
      </c>
      <c r="K271" s="164">
        <v>0</v>
      </c>
      <c r="L271" s="162">
        <v>0</v>
      </c>
      <c r="M271" s="167">
        <v>0</v>
      </c>
      <c r="N271" s="167">
        <v>0</v>
      </c>
      <c r="O271" s="164">
        <v>0</v>
      </c>
      <c r="P271" s="161">
        <v>0</v>
      </c>
      <c r="Q271" s="177">
        <v>0</v>
      </c>
      <c r="R271" s="179">
        <v>677.16</v>
      </c>
      <c r="S271" s="177">
        <v>1021082</v>
      </c>
      <c r="T271" s="178">
        <v>0</v>
      </c>
      <c r="U271" s="248">
        <v>0</v>
      </c>
      <c r="V271" s="241"/>
      <c r="W271" s="241"/>
      <c r="X271" s="241">
        <f>S271/R271</f>
        <v>1507.8888298186544</v>
      </c>
      <c r="Y271" s="1">
        <f>E271/'часть 1'!I280</f>
        <v>677.17474489795916</v>
      </c>
    </row>
    <row r="272" spans="1:30">
      <c r="A272" s="166"/>
      <c r="B272" s="184" t="s">
        <v>68</v>
      </c>
      <c r="C272" s="164">
        <f>C273</f>
        <v>241114</v>
      </c>
      <c r="D272" s="164">
        <f t="shared" ref="D272:U272" si="17">D273</f>
        <v>0</v>
      </c>
      <c r="E272" s="164">
        <f t="shared" si="17"/>
        <v>241114</v>
      </c>
      <c r="F272" s="164">
        <f t="shared" si="17"/>
        <v>0</v>
      </c>
      <c r="G272" s="164">
        <f t="shared" si="17"/>
        <v>0</v>
      </c>
      <c r="H272" s="164">
        <f t="shared" si="17"/>
        <v>0</v>
      </c>
      <c r="I272" s="164">
        <f t="shared" si="17"/>
        <v>0</v>
      </c>
      <c r="J272" s="164">
        <f t="shared" si="17"/>
        <v>0</v>
      </c>
      <c r="K272" s="164">
        <f t="shared" si="17"/>
        <v>0</v>
      </c>
      <c r="L272" s="164">
        <f t="shared" si="17"/>
        <v>0</v>
      </c>
      <c r="M272" s="164">
        <f t="shared" si="17"/>
        <v>0</v>
      </c>
      <c r="N272" s="164">
        <f t="shared" si="17"/>
        <v>0</v>
      </c>
      <c r="O272" s="164">
        <f t="shared" si="17"/>
        <v>0</v>
      </c>
      <c r="P272" s="164">
        <f t="shared" si="17"/>
        <v>0</v>
      </c>
      <c r="Q272" s="164">
        <f t="shared" si="17"/>
        <v>0</v>
      </c>
      <c r="R272" s="164">
        <f t="shared" si="17"/>
        <v>0</v>
      </c>
      <c r="S272" s="164">
        <f t="shared" si="17"/>
        <v>0</v>
      </c>
      <c r="T272" s="164">
        <f t="shared" si="17"/>
        <v>0</v>
      </c>
      <c r="U272" s="164">
        <f t="shared" si="17"/>
        <v>0</v>
      </c>
      <c r="V272" s="241"/>
      <c r="W272" s="241"/>
      <c r="X272" s="241"/>
    </row>
    <row r="273" spans="1:35" ht="30">
      <c r="A273" s="374"/>
      <c r="B273" s="375" t="s">
        <v>97</v>
      </c>
      <c r="C273" s="376">
        <v>241114</v>
      </c>
      <c r="D273" s="376">
        <v>0</v>
      </c>
      <c r="E273" s="376">
        <v>241114</v>
      </c>
      <c r="F273" s="376">
        <v>0</v>
      </c>
      <c r="G273" s="376">
        <v>0</v>
      </c>
      <c r="H273" s="376">
        <v>0</v>
      </c>
      <c r="I273" s="376">
        <v>0</v>
      </c>
      <c r="J273" s="376">
        <v>0</v>
      </c>
      <c r="K273" s="376">
        <v>0</v>
      </c>
      <c r="L273" s="374">
        <v>0</v>
      </c>
      <c r="M273" s="376">
        <v>0</v>
      </c>
      <c r="N273" s="376">
        <v>0</v>
      </c>
      <c r="O273" s="376">
        <v>0</v>
      </c>
      <c r="P273" s="377">
        <v>0</v>
      </c>
      <c r="Q273" s="376">
        <v>0</v>
      </c>
      <c r="R273" s="377">
        <v>0</v>
      </c>
      <c r="S273" s="376">
        <v>0</v>
      </c>
      <c r="T273" s="374">
        <v>0</v>
      </c>
      <c r="U273" s="378">
        <v>0</v>
      </c>
      <c r="V273" s="241"/>
      <c r="W273" s="241"/>
      <c r="X273" s="241"/>
    </row>
    <row r="274" spans="1:35">
      <c r="A274" s="374"/>
      <c r="B274" s="405" t="s">
        <v>505</v>
      </c>
      <c r="C274" s="383">
        <v>241114</v>
      </c>
      <c r="D274" s="383">
        <v>0</v>
      </c>
      <c r="E274" s="383">
        <v>241114</v>
      </c>
      <c r="F274" s="383">
        <v>0</v>
      </c>
      <c r="G274" s="383">
        <v>0</v>
      </c>
      <c r="H274" s="383">
        <v>0</v>
      </c>
      <c r="I274" s="383">
        <v>0</v>
      </c>
      <c r="J274" s="383">
        <v>0</v>
      </c>
      <c r="K274" s="383">
        <v>0</v>
      </c>
      <c r="L274" s="384">
        <v>0</v>
      </c>
      <c r="M274" s="383">
        <v>0</v>
      </c>
      <c r="N274" s="383">
        <v>0</v>
      </c>
      <c r="O274" s="383">
        <v>0</v>
      </c>
      <c r="P274" s="386">
        <v>0</v>
      </c>
      <c r="Q274" s="383">
        <v>0</v>
      </c>
      <c r="R274" s="386">
        <v>0</v>
      </c>
      <c r="S274" s="383">
        <v>0</v>
      </c>
      <c r="T274" s="384">
        <v>0</v>
      </c>
      <c r="U274" s="387">
        <v>0</v>
      </c>
      <c r="V274" s="241"/>
      <c r="W274" s="241"/>
      <c r="X274" s="241"/>
      <c r="Y274" s="237">
        <f>E273/'часть 1'!I283</f>
        <v>974.591754244139</v>
      </c>
    </row>
    <row r="275" spans="1:35" s="14" customFormat="1">
      <c r="A275" s="166"/>
      <c r="B275" s="182" t="s">
        <v>43</v>
      </c>
      <c r="C275" s="177">
        <v>23032470</v>
      </c>
      <c r="D275" s="177"/>
      <c r="E275" s="177"/>
      <c r="F275" s="177"/>
      <c r="G275" s="177"/>
      <c r="H275" s="177"/>
      <c r="I275" s="177"/>
      <c r="J275" s="177"/>
      <c r="K275" s="177">
        <v>0</v>
      </c>
      <c r="L275" s="179">
        <v>0</v>
      </c>
      <c r="M275" s="177">
        <v>0</v>
      </c>
      <c r="N275" s="177">
        <v>11598.699999999999</v>
      </c>
      <c r="O275" s="177">
        <v>23032470</v>
      </c>
      <c r="P275" s="179">
        <v>0</v>
      </c>
      <c r="Q275" s="177">
        <v>0</v>
      </c>
      <c r="R275" s="179">
        <v>0</v>
      </c>
      <c r="S275" s="177">
        <v>0</v>
      </c>
      <c r="T275" s="179">
        <v>0</v>
      </c>
      <c r="U275" s="248">
        <v>0</v>
      </c>
      <c r="V275" s="241"/>
      <c r="W275" s="241"/>
      <c r="X275" s="241"/>
    </row>
    <row r="276" spans="1:35" ht="30">
      <c r="A276" s="166"/>
      <c r="B276" s="180" t="s">
        <v>125</v>
      </c>
      <c r="C276" s="177">
        <v>20696312</v>
      </c>
      <c r="D276" s="177"/>
      <c r="E276" s="177"/>
      <c r="F276" s="177"/>
      <c r="G276" s="177"/>
      <c r="H276" s="177"/>
      <c r="I276" s="177"/>
      <c r="J276" s="177"/>
      <c r="K276" s="177">
        <v>0</v>
      </c>
      <c r="L276" s="178">
        <v>0</v>
      </c>
      <c r="M276" s="177">
        <v>0</v>
      </c>
      <c r="N276" s="177">
        <v>10402.699999999999</v>
      </c>
      <c r="O276" s="177">
        <v>20696312</v>
      </c>
      <c r="P276" s="179">
        <v>0</v>
      </c>
      <c r="Q276" s="177">
        <v>0</v>
      </c>
      <c r="R276" s="179">
        <v>0</v>
      </c>
      <c r="S276" s="177">
        <v>0</v>
      </c>
      <c r="T276" s="178">
        <v>0</v>
      </c>
      <c r="U276" s="248">
        <v>0</v>
      </c>
      <c r="V276" s="241"/>
      <c r="W276" s="241"/>
      <c r="X276" s="241"/>
    </row>
    <row r="277" spans="1:35" customFormat="1">
      <c r="A277" s="166">
        <v>244</v>
      </c>
      <c r="B277" s="185" t="s">
        <v>405</v>
      </c>
      <c r="C277" s="186">
        <v>2301804</v>
      </c>
      <c r="D277" s="186"/>
      <c r="E277" s="186"/>
      <c r="F277" s="186"/>
      <c r="G277" s="186"/>
      <c r="H277" s="186"/>
      <c r="I277" s="186"/>
      <c r="J277" s="186"/>
      <c r="K277" s="187">
        <v>0</v>
      </c>
      <c r="L277" s="188">
        <v>0</v>
      </c>
      <c r="M277" s="187">
        <v>0</v>
      </c>
      <c r="N277" s="189">
        <v>1167</v>
      </c>
      <c r="O277" s="190">
        <v>2301804</v>
      </c>
      <c r="P277" s="191">
        <v>0</v>
      </c>
      <c r="Q277" s="187">
        <v>0</v>
      </c>
      <c r="R277" s="191">
        <v>0</v>
      </c>
      <c r="S277" s="187">
        <v>0</v>
      </c>
      <c r="T277" s="192">
        <v>0</v>
      </c>
      <c r="U277" s="249">
        <v>0</v>
      </c>
      <c r="V277" s="241"/>
      <c r="W277" s="241"/>
      <c r="X277" s="241"/>
    </row>
    <row r="278" spans="1:35" customFormat="1">
      <c r="A278" s="166">
        <v>245</v>
      </c>
      <c r="B278" s="185" t="s">
        <v>393</v>
      </c>
      <c r="C278" s="186">
        <v>1743478</v>
      </c>
      <c r="D278" s="186"/>
      <c r="E278" s="186"/>
      <c r="F278" s="186"/>
      <c r="G278" s="186"/>
      <c r="H278" s="186"/>
      <c r="I278" s="186"/>
      <c r="J278" s="186"/>
      <c r="K278" s="193">
        <v>0</v>
      </c>
      <c r="L278" s="169">
        <v>0</v>
      </c>
      <c r="M278" s="193">
        <v>0</v>
      </c>
      <c r="N278" s="194">
        <v>880</v>
      </c>
      <c r="O278" s="190">
        <v>1743478</v>
      </c>
      <c r="P278" s="191">
        <v>0</v>
      </c>
      <c r="Q278" s="187">
        <v>0</v>
      </c>
      <c r="R278" s="191">
        <v>0</v>
      </c>
      <c r="S278" s="187">
        <v>0</v>
      </c>
      <c r="T278" s="192">
        <v>0</v>
      </c>
      <c r="U278" s="249">
        <v>0</v>
      </c>
      <c r="V278" s="241"/>
      <c r="W278" s="241"/>
      <c r="X278" s="241"/>
    </row>
    <row r="279" spans="1:35" customFormat="1">
      <c r="A279" s="166">
        <v>246</v>
      </c>
      <c r="B279" s="185" t="s">
        <v>406</v>
      </c>
      <c r="C279" s="186">
        <v>2485001</v>
      </c>
      <c r="D279" s="186"/>
      <c r="E279" s="186"/>
      <c r="F279" s="186"/>
      <c r="G279" s="186"/>
      <c r="H279" s="186"/>
      <c r="I279" s="186"/>
      <c r="J279" s="186"/>
      <c r="K279" s="187">
        <v>0</v>
      </c>
      <c r="L279" s="188">
        <v>0</v>
      </c>
      <c r="M279" s="187">
        <v>0</v>
      </c>
      <c r="N279" s="195">
        <v>1268.4000000000001</v>
      </c>
      <c r="O279" s="190">
        <v>2485001</v>
      </c>
      <c r="P279" s="191">
        <v>0</v>
      </c>
      <c r="Q279" s="187">
        <v>0</v>
      </c>
      <c r="R279" s="191">
        <v>0</v>
      </c>
      <c r="S279" s="187">
        <v>0</v>
      </c>
      <c r="T279" s="192">
        <v>0</v>
      </c>
      <c r="U279" s="249">
        <v>0</v>
      </c>
      <c r="V279" s="241"/>
      <c r="W279" s="241"/>
      <c r="X279" s="241"/>
    </row>
    <row r="280" spans="1:35" customFormat="1">
      <c r="A280" s="166">
        <v>247</v>
      </c>
      <c r="B280" s="185" t="s">
        <v>402</v>
      </c>
      <c r="C280" s="186">
        <v>1237591</v>
      </c>
      <c r="D280" s="186"/>
      <c r="E280" s="186"/>
      <c r="F280" s="186"/>
      <c r="G280" s="186"/>
      <c r="H280" s="186"/>
      <c r="I280" s="186"/>
      <c r="J280" s="186"/>
      <c r="K280" s="187">
        <v>0</v>
      </c>
      <c r="L280" s="188">
        <v>0</v>
      </c>
      <c r="M280" s="187">
        <v>0</v>
      </c>
      <c r="N280" s="189">
        <v>620</v>
      </c>
      <c r="O280" s="190">
        <v>1237591</v>
      </c>
      <c r="P280" s="191">
        <v>0</v>
      </c>
      <c r="Q280" s="187">
        <v>0</v>
      </c>
      <c r="R280" s="191">
        <v>0</v>
      </c>
      <c r="S280" s="187">
        <v>0</v>
      </c>
      <c r="T280" s="192">
        <v>0</v>
      </c>
      <c r="U280" s="249">
        <v>0</v>
      </c>
      <c r="V280" s="241"/>
      <c r="W280" s="241"/>
      <c r="X280" s="241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</row>
    <row r="281" spans="1:35" s="33" customFormat="1">
      <c r="A281" s="166">
        <v>248</v>
      </c>
      <c r="B281" s="185" t="s">
        <v>397</v>
      </c>
      <c r="C281" s="186">
        <v>1448078</v>
      </c>
      <c r="D281" s="186"/>
      <c r="E281" s="186"/>
      <c r="F281" s="186"/>
      <c r="G281" s="186"/>
      <c r="H281" s="186"/>
      <c r="I281" s="186"/>
      <c r="J281" s="186"/>
      <c r="K281" s="187">
        <v>0</v>
      </c>
      <c r="L281" s="188">
        <v>0</v>
      </c>
      <c r="M281" s="187">
        <v>0</v>
      </c>
      <c r="N281" s="195">
        <v>729</v>
      </c>
      <c r="O281" s="190">
        <v>1448078</v>
      </c>
      <c r="P281" s="191">
        <v>0</v>
      </c>
      <c r="Q281" s="187">
        <v>0</v>
      </c>
      <c r="R281" s="191">
        <v>0</v>
      </c>
      <c r="S281" s="187">
        <v>0</v>
      </c>
      <c r="T281" s="192">
        <v>0</v>
      </c>
      <c r="U281" s="249">
        <v>0</v>
      </c>
      <c r="V281" s="241"/>
      <c r="W281" s="241"/>
      <c r="X281" s="241"/>
    </row>
    <row r="282" spans="1:35" customFormat="1">
      <c r="A282" s="166">
        <v>249</v>
      </c>
      <c r="B282" s="185" t="s">
        <v>398</v>
      </c>
      <c r="C282" s="186">
        <v>1963797</v>
      </c>
      <c r="D282" s="186"/>
      <c r="E282" s="186"/>
      <c r="F282" s="186"/>
      <c r="G282" s="186"/>
      <c r="H282" s="186"/>
      <c r="I282" s="186"/>
      <c r="J282" s="186"/>
      <c r="K282" s="187">
        <v>0</v>
      </c>
      <c r="L282" s="188">
        <v>0</v>
      </c>
      <c r="M282" s="187">
        <v>0</v>
      </c>
      <c r="N282" s="189">
        <v>991.4</v>
      </c>
      <c r="O282" s="190">
        <v>1963797</v>
      </c>
      <c r="P282" s="191">
        <v>0</v>
      </c>
      <c r="Q282" s="187">
        <v>0</v>
      </c>
      <c r="R282" s="191">
        <v>0</v>
      </c>
      <c r="S282" s="187">
        <v>0</v>
      </c>
      <c r="T282" s="192">
        <v>0</v>
      </c>
      <c r="U282" s="249">
        <v>0</v>
      </c>
      <c r="V282" s="241"/>
      <c r="W282" s="241"/>
      <c r="X282" s="241"/>
    </row>
    <row r="283" spans="1:35" customFormat="1">
      <c r="A283" s="166">
        <v>250</v>
      </c>
      <c r="B283" s="185" t="s">
        <v>399</v>
      </c>
      <c r="C283" s="186">
        <v>2119530</v>
      </c>
      <c r="D283" s="186"/>
      <c r="E283" s="186"/>
      <c r="F283" s="186"/>
      <c r="G283" s="186"/>
      <c r="H283" s="186"/>
      <c r="I283" s="186"/>
      <c r="J283" s="186"/>
      <c r="K283" s="187">
        <v>0</v>
      </c>
      <c r="L283" s="188">
        <v>0</v>
      </c>
      <c r="M283" s="187">
        <v>0</v>
      </c>
      <c r="N283" s="189">
        <v>1054.5</v>
      </c>
      <c r="O283" s="190">
        <v>2119530</v>
      </c>
      <c r="P283" s="191">
        <v>0</v>
      </c>
      <c r="Q283" s="187">
        <v>0</v>
      </c>
      <c r="R283" s="191">
        <v>0</v>
      </c>
      <c r="S283" s="187">
        <v>0</v>
      </c>
      <c r="T283" s="192">
        <v>0</v>
      </c>
      <c r="U283" s="249">
        <v>0</v>
      </c>
      <c r="V283" s="241"/>
      <c r="W283" s="241"/>
      <c r="X283" s="241"/>
    </row>
    <row r="284" spans="1:35" customFormat="1">
      <c r="A284" s="166">
        <v>251</v>
      </c>
      <c r="B284" s="185" t="s">
        <v>403</v>
      </c>
      <c r="C284" s="186">
        <v>1098163</v>
      </c>
      <c r="D284" s="186"/>
      <c r="E284" s="186"/>
      <c r="F284" s="186"/>
      <c r="G284" s="186"/>
      <c r="H284" s="186"/>
      <c r="I284" s="186"/>
      <c r="J284" s="186"/>
      <c r="K284" s="187">
        <v>0</v>
      </c>
      <c r="L284" s="188">
        <v>0</v>
      </c>
      <c r="M284" s="187">
        <v>0</v>
      </c>
      <c r="N284" s="189">
        <v>548</v>
      </c>
      <c r="O284" s="190">
        <v>1098163</v>
      </c>
      <c r="P284" s="191">
        <v>0</v>
      </c>
      <c r="Q284" s="187">
        <v>0</v>
      </c>
      <c r="R284" s="191">
        <v>0</v>
      </c>
      <c r="S284" s="187">
        <v>0</v>
      </c>
      <c r="T284" s="192">
        <v>0</v>
      </c>
      <c r="U284" s="249">
        <v>0</v>
      </c>
      <c r="V284" s="241"/>
      <c r="W284" s="241"/>
      <c r="X284" s="241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</row>
    <row r="285" spans="1:35" customFormat="1">
      <c r="A285" s="166">
        <v>252</v>
      </c>
      <c r="B285" s="185" t="s">
        <v>404</v>
      </c>
      <c r="C285" s="186">
        <v>1241309</v>
      </c>
      <c r="D285" s="186"/>
      <c r="E285" s="186"/>
      <c r="F285" s="186"/>
      <c r="G285" s="186"/>
      <c r="H285" s="186"/>
      <c r="I285" s="186"/>
      <c r="J285" s="186"/>
      <c r="K285" s="187">
        <v>0</v>
      </c>
      <c r="L285" s="188">
        <v>0</v>
      </c>
      <c r="M285" s="187">
        <v>0</v>
      </c>
      <c r="N285" s="189">
        <v>622</v>
      </c>
      <c r="O285" s="190">
        <v>1241309</v>
      </c>
      <c r="P285" s="191">
        <v>0</v>
      </c>
      <c r="Q285" s="187">
        <v>0</v>
      </c>
      <c r="R285" s="191">
        <v>0</v>
      </c>
      <c r="S285" s="187">
        <v>0</v>
      </c>
      <c r="T285" s="192">
        <v>0</v>
      </c>
      <c r="U285" s="249">
        <v>0</v>
      </c>
      <c r="V285" s="241"/>
      <c r="W285" s="241"/>
      <c r="X285" s="241"/>
    </row>
    <row r="286" spans="1:35" s="34" customFormat="1">
      <c r="A286" s="166">
        <v>253</v>
      </c>
      <c r="B286" s="185" t="s">
        <v>400</v>
      </c>
      <c r="C286" s="186">
        <v>1041360</v>
      </c>
      <c r="D286" s="186"/>
      <c r="E286" s="186"/>
      <c r="F286" s="186"/>
      <c r="G286" s="186"/>
      <c r="H286" s="186"/>
      <c r="I286" s="186"/>
      <c r="J286" s="186"/>
      <c r="K286" s="187">
        <v>0</v>
      </c>
      <c r="L286" s="188">
        <v>0</v>
      </c>
      <c r="M286" s="187">
        <v>0</v>
      </c>
      <c r="N286" s="189">
        <v>520</v>
      </c>
      <c r="O286" s="190">
        <v>1041360</v>
      </c>
      <c r="P286" s="191">
        <v>0</v>
      </c>
      <c r="Q286" s="187">
        <v>0</v>
      </c>
      <c r="R286" s="191">
        <v>0</v>
      </c>
      <c r="S286" s="187">
        <v>0</v>
      </c>
      <c r="T286" s="192">
        <v>0</v>
      </c>
      <c r="U286" s="249">
        <v>0</v>
      </c>
      <c r="V286" s="241"/>
      <c r="W286" s="241"/>
      <c r="X286" s="241"/>
      <c r="Y286"/>
      <c r="Z286"/>
      <c r="AA286"/>
      <c r="AB286"/>
      <c r="AC286"/>
      <c r="AD286"/>
      <c r="AE286"/>
      <c r="AF286"/>
      <c r="AG286"/>
      <c r="AH286"/>
      <c r="AI286"/>
    </row>
    <row r="287" spans="1:35" s="34" customFormat="1">
      <c r="A287" s="166">
        <v>254</v>
      </c>
      <c r="B287" s="185" t="s">
        <v>401</v>
      </c>
      <c r="C287" s="186">
        <v>1138866</v>
      </c>
      <c r="D287" s="186"/>
      <c r="E287" s="186"/>
      <c r="F287" s="186"/>
      <c r="G287" s="186"/>
      <c r="H287" s="186"/>
      <c r="I287" s="186"/>
      <c r="J287" s="186"/>
      <c r="K287" s="187">
        <v>0</v>
      </c>
      <c r="L287" s="188">
        <v>0</v>
      </c>
      <c r="M287" s="187">
        <v>0</v>
      </c>
      <c r="N287" s="189">
        <v>570</v>
      </c>
      <c r="O287" s="190">
        <v>1138866</v>
      </c>
      <c r="P287" s="191">
        <v>0</v>
      </c>
      <c r="Q287" s="187">
        <v>0</v>
      </c>
      <c r="R287" s="191">
        <v>0</v>
      </c>
      <c r="S287" s="187">
        <v>0</v>
      </c>
      <c r="T287" s="192">
        <v>0</v>
      </c>
      <c r="U287" s="249">
        <v>0</v>
      </c>
      <c r="V287" s="241"/>
      <c r="W287" s="241"/>
      <c r="X287" s="241"/>
      <c r="Y287"/>
      <c r="Z287"/>
      <c r="AA287"/>
      <c r="AB287"/>
      <c r="AC287"/>
      <c r="AD287"/>
      <c r="AE287"/>
      <c r="AF287"/>
      <c r="AG287"/>
      <c r="AH287"/>
      <c r="AI287"/>
    </row>
    <row r="288" spans="1:35" customFormat="1">
      <c r="A288" s="166">
        <v>255</v>
      </c>
      <c r="B288" s="185" t="s">
        <v>394</v>
      </c>
      <c r="C288" s="186">
        <v>848546</v>
      </c>
      <c r="D288" s="186"/>
      <c r="E288" s="186"/>
      <c r="F288" s="186"/>
      <c r="G288" s="186"/>
      <c r="H288" s="186"/>
      <c r="I288" s="186"/>
      <c r="J288" s="186"/>
      <c r="K288" s="187">
        <v>0</v>
      </c>
      <c r="L288" s="188">
        <v>0</v>
      </c>
      <c r="M288" s="187">
        <v>0</v>
      </c>
      <c r="N288" s="195">
        <v>421.2</v>
      </c>
      <c r="O288" s="190">
        <v>848546</v>
      </c>
      <c r="P288" s="191">
        <v>0</v>
      </c>
      <c r="Q288" s="187">
        <v>0</v>
      </c>
      <c r="R288" s="191">
        <v>0</v>
      </c>
      <c r="S288" s="187">
        <v>0</v>
      </c>
      <c r="T288" s="192">
        <v>0</v>
      </c>
      <c r="U288" s="249">
        <v>0</v>
      </c>
      <c r="V288" s="241"/>
      <c r="W288" s="241"/>
      <c r="X288" s="241"/>
    </row>
    <row r="289" spans="1:35" customFormat="1">
      <c r="A289" s="166">
        <v>256</v>
      </c>
      <c r="B289" s="185" t="s">
        <v>395</v>
      </c>
      <c r="C289" s="186">
        <v>848706</v>
      </c>
      <c r="D289" s="186"/>
      <c r="E289" s="186"/>
      <c r="F289" s="186"/>
      <c r="G289" s="186"/>
      <c r="H289" s="186"/>
      <c r="I289" s="186"/>
      <c r="J289" s="186"/>
      <c r="K289" s="187">
        <v>0</v>
      </c>
      <c r="L289" s="188">
        <v>0</v>
      </c>
      <c r="M289" s="187">
        <v>0</v>
      </c>
      <c r="N289" s="195">
        <v>421.2</v>
      </c>
      <c r="O289" s="190">
        <v>848706</v>
      </c>
      <c r="P289" s="191">
        <v>0</v>
      </c>
      <c r="Q289" s="187">
        <v>0</v>
      </c>
      <c r="R289" s="191">
        <v>0</v>
      </c>
      <c r="S289" s="187">
        <v>0</v>
      </c>
      <c r="T289" s="192">
        <v>0</v>
      </c>
      <c r="U289" s="249">
        <v>0</v>
      </c>
      <c r="V289" s="241"/>
      <c r="W289" s="241"/>
      <c r="X289" s="241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</row>
    <row r="290" spans="1:35" customFormat="1">
      <c r="A290" s="166">
        <v>257</v>
      </c>
      <c r="B290" s="185" t="s">
        <v>396</v>
      </c>
      <c r="C290" s="186">
        <v>1180083</v>
      </c>
      <c r="D290" s="186"/>
      <c r="E290" s="186"/>
      <c r="F290" s="186"/>
      <c r="G290" s="186"/>
      <c r="H290" s="186"/>
      <c r="I290" s="186"/>
      <c r="J290" s="186"/>
      <c r="K290" s="187">
        <v>0</v>
      </c>
      <c r="L290" s="188">
        <v>0</v>
      </c>
      <c r="M290" s="187">
        <v>0</v>
      </c>
      <c r="N290" s="195">
        <v>590</v>
      </c>
      <c r="O290" s="190">
        <v>1180083</v>
      </c>
      <c r="P290" s="191">
        <v>0</v>
      </c>
      <c r="Q290" s="187">
        <v>0</v>
      </c>
      <c r="R290" s="191">
        <v>0</v>
      </c>
      <c r="S290" s="187">
        <v>0</v>
      </c>
      <c r="T290" s="192">
        <v>0</v>
      </c>
      <c r="U290" s="249">
        <v>0</v>
      </c>
      <c r="V290" s="241"/>
      <c r="W290" s="241"/>
      <c r="X290" s="241"/>
    </row>
    <row r="291" spans="1:35" customFormat="1" ht="30">
      <c r="A291" s="166"/>
      <c r="B291" s="180" t="s">
        <v>210</v>
      </c>
      <c r="C291" s="186">
        <v>2336158</v>
      </c>
      <c r="D291" s="186"/>
      <c r="E291" s="186"/>
      <c r="F291" s="186"/>
      <c r="G291" s="186"/>
      <c r="H291" s="186"/>
      <c r="I291" s="186"/>
      <c r="J291" s="186"/>
      <c r="K291" s="186">
        <v>0</v>
      </c>
      <c r="L291" s="188">
        <v>0</v>
      </c>
      <c r="M291" s="186">
        <v>0</v>
      </c>
      <c r="N291" s="186">
        <v>1196</v>
      </c>
      <c r="O291" s="186">
        <v>2336158</v>
      </c>
      <c r="P291" s="196">
        <v>0</v>
      </c>
      <c r="Q291" s="186">
        <v>0</v>
      </c>
      <c r="R291" s="196">
        <v>0</v>
      </c>
      <c r="S291" s="186">
        <v>0</v>
      </c>
      <c r="T291" s="188">
        <v>0</v>
      </c>
      <c r="U291" s="250">
        <v>0</v>
      </c>
      <c r="V291" s="241"/>
      <c r="W291" s="241"/>
      <c r="X291" s="241"/>
    </row>
    <row r="292" spans="1:35" customFormat="1" ht="30">
      <c r="A292" s="166">
        <v>258</v>
      </c>
      <c r="B292" s="197" t="s">
        <v>407</v>
      </c>
      <c r="C292" s="186">
        <v>1168079</v>
      </c>
      <c r="D292" s="186"/>
      <c r="E292" s="186"/>
      <c r="F292" s="186"/>
      <c r="G292" s="186"/>
      <c r="H292" s="186"/>
      <c r="I292" s="186"/>
      <c r="J292" s="186"/>
      <c r="K292" s="187">
        <v>0</v>
      </c>
      <c r="L292" s="188">
        <v>0</v>
      </c>
      <c r="M292" s="187">
        <v>0</v>
      </c>
      <c r="N292" s="195">
        <v>598</v>
      </c>
      <c r="O292" s="190">
        <v>1168079</v>
      </c>
      <c r="P292" s="196">
        <v>0</v>
      </c>
      <c r="Q292" s="187">
        <v>0</v>
      </c>
      <c r="R292" s="196">
        <v>0</v>
      </c>
      <c r="S292" s="187">
        <v>0</v>
      </c>
      <c r="T292" s="188">
        <v>0</v>
      </c>
      <c r="U292" s="249">
        <v>0</v>
      </c>
      <c r="V292" s="241"/>
      <c r="W292" s="241"/>
      <c r="X292" s="241"/>
    </row>
    <row r="293" spans="1:35" customFormat="1" ht="30">
      <c r="A293" s="166">
        <v>259</v>
      </c>
      <c r="B293" s="197" t="s">
        <v>408</v>
      </c>
      <c r="C293" s="186">
        <v>1168079</v>
      </c>
      <c r="D293" s="186"/>
      <c r="E293" s="186"/>
      <c r="F293" s="186"/>
      <c r="G293" s="186"/>
      <c r="H293" s="186"/>
      <c r="I293" s="186"/>
      <c r="J293" s="186"/>
      <c r="K293" s="187">
        <v>0</v>
      </c>
      <c r="L293" s="188">
        <v>0</v>
      </c>
      <c r="M293" s="187">
        <v>0</v>
      </c>
      <c r="N293" s="195">
        <v>598</v>
      </c>
      <c r="O293" s="190">
        <v>1168079</v>
      </c>
      <c r="P293" s="196">
        <v>0</v>
      </c>
      <c r="Q293" s="187">
        <v>0</v>
      </c>
      <c r="R293" s="196">
        <v>0</v>
      </c>
      <c r="S293" s="187">
        <v>0</v>
      </c>
      <c r="T293" s="188">
        <v>0</v>
      </c>
      <c r="U293" s="249">
        <v>0</v>
      </c>
      <c r="V293" s="241"/>
      <c r="W293" s="241"/>
      <c r="X293" s="241"/>
    </row>
    <row r="294" spans="1:35" s="14" customFormat="1">
      <c r="A294" s="166"/>
      <c r="B294" s="182" t="s">
        <v>44</v>
      </c>
      <c r="C294" s="177">
        <v>4547180</v>
      </c>
      <c r="D294" s="177"/>
      <c r="E294" s="177"/>
      <c r="F294" s="177"/>
      <c r="G294" s="177"/>
      <c r="H294" s="177"/>
      <c r="I294" s="177"/>
      <c r="J294" s="177"/>
      <c r="K294" s="177">
        <v>0</v>
      </c>
      <c r="L294" s="178">
        <v>0</v>
      </c>
      <c r="M294" s="177">
        <v>0</v>
      </c>
      <c r="N294" s="177">
        <v>2270</v>
      </c>
      <c r="O294" s="177">
        <v>4547180</v>
      </c>
      <c r="P294" s="179">
        <v>0</v>
      </c>
      <c r="Q294" s="177">
        <v>0</v>
      </c>
      <c r="R294" s="179">
        <v>0</v>
      </c>
      <c r="S294" s="177">
        <v>0</v>
      </c>
      <c r="T294" s="178">
        <v>0</v>
      </c>
      <c r="U294" s="248">
        <v>0</v>
      </c>
      <c r="V294" s="241"/>
      <c r="W294" s="241"/>
      <c r="X294" s="241"/>
    </row>
    <row r="295" spans="1:35" ht="30">
      <c r="A295" s="166"/>
      <c r="B295" s="180" t="s">
        <v>435</v>
      </c>
      <c r="C295" s="177">
        <f>C296+C297</f>
        <v>2561132</v>
      </c>
      <c r="D295" s="177">
        <f t="shared" ref="D295:V295" si="18">D296+D297</f>
        <v>0</v>
      </c>
      <c r="E295" s="177">
        <f t="shared" si="18"/>
        <v>0</v>
      </c>
      <c r="F295" s="177">
        <f t="shared" si="18"/>
        <v>0</v>
      </c>
      <c r="G295" s="177">
        <f t="shared" si="18"/>
        <v>0</v>
      </c>
      <c r="H295" s="177">
        <f t="shared" si="18"/>
        <v>0</v>
      </c>
      <c r="I295" s="177">
        <f t="shared" si="18"/>
        <v>0</v>
      </c>
      <c r="J295" s="177">
        <f t="shared" si="18"/>
        <v>0</v>
      </c>
      <c r="K295" s="177">
        <f t="shared" si="18"/>
        <v>0</v>
      </c>
      <c r="L295" s="177">
        <f t="shared" si="18"/>
        <v>0</v>
      </c>
      <c r="M295" s="177">
        <f t="shared" si="18"/>
        <v>0</v>
      </c>
      <c r="N295" s="177">
        <f t="shared" si="18"/>
        <v>823.2</v>
      </c>
      <c r="O295" s="177">
        <f t="shared" si="18"/>
        <v>2219234</v>
      </c>
      <c r="P295" s="177">
        <f t="shared" si="18"/>
        <v>0</v>
      </c>
      <c r="Q295" s="177">
        <f t="shared" si="18"/>
        <v>0</v>
      </c>
      <c r="R295" s="177">
        <f t="shared" si="18"/>
        <v>220</v>
      </c>
      <c r="S295" s="177">
        <f t="shared" si="18"/>
        <v>341898</v>
      </c>
      <c r="T295" s="177">
        <f t="shared" si="18"/>
        <v>0</v>
      </c>
      <c r="U295" s="177">
        <f t="shared" si="18"/>
        <v>0</v>
      </c>
      <c r="V295" s="177">
        <f t="shared" si="18"/>
        <v>0</v>
      </c>
      <c r="W295" s="177"/>
      <c r="X295" s="177"/>
      <c r="Y295" s="177"/>
      <c r="Z295" s="177"/>
      <c r="AA295" s="177"/>
      <c r="AB295" s="177"/>
      <c r="AC295" s="177"/>
      <c r="AD295" s="177"/>
      <c r="AE295" s="177"/>
      <c r="AF295" s="177"/>
      <c r="AG295" s="177"/>
      <c r="AH295" s="177"/>
      <c r="AI295" s="177"/>
    </row>
    <row r="296" spans="1:35">
      <c r="A296" s="374">
        <v>260</v>
      </c>
      <c r="B296" s="382" t="s">
        <v>503</v>
      </c>
      <c r="C296" s="383">
        <v>1416533</v>
      </c>
      <c r="D296" s="383">
        <v>0</v>
      </c>
      <c r="E296" s="383">
        <v>0</v>
      </c>
      <c r="F296" s="383">
        <v>0</v>
      </c>
      <c r="G296" s="383">
        <v>0</v>
      </c>
      <c r="H296" s="383">
        <v>0</v>
      </c>
      <c r="I296" s="383">
        <v>0</v>
      </c>
      <c r="J296" s="383">
        <v>0</v>
      </c>
      <c r="K296" s="383">
        <v>0</v>
      </c>
      <c r="L296" s="384">
        <v>0</v>
      </c>
      <c r="M296" s="383">
        <v>0</v>
      </c>
      <c r="N296" s="385">
        <v>573.20000000000005</v>
      </c>
      <c r="O296" s="383">
        <v>1416533</v>
      </c>
      <c r="P296" s="386">
        <v>0</v>
      </c>
      <c r="Q296" s="383">
        <v>0</v>
      </c>
      <c r="R296" s="386">
        <v>0</v>
      </c>
      <c r="S296" s="383">
        <v>0</v>
      </c>
      <c r="T296" s="384">
        <v>0</v>
      </c>
      <c r="U296" s="387">
        <v>0</v>
      </c>
      <c r="V296" s="241"/>
      <c r="W296" s="241">
        <f>O296/N296</f>
        <v>2471.2718073970691</v>
      </c>
      <c r="X296" s="241"/>
    </row>
    <row r="297" spans="1:35">
      <c r="A297" s="374">
        <v>261</v>
      </c>
      <c r="B297" s="382" t="s">
        <v>504</v>
      </c>
      <c r="C297" s="383">
        <v>1144599</v>
      </c>
      <c r="D297" s="383">
        <v>0</v>
      </c>
      <c r="E297" s="383">
        <v>0</v>
      </c>
      <c r="F297" s="383">
        <v>0</v>
      </c>
      <c r="G297" s="383">
        <v>0</v>
      </c>
      <c r="H297" s="383">
        <v>0</v>
      </c>
      <c r="I297" s="383">
        <v>0</v>
      </c>
      <c r="J297" s="383">
        <v>0</v>
      </c>
      <c r="K297" s="383">
        <v>0</v>
      </c>
      <c r="L297" s="384">
        <v>0</v>
      </c>
      <c r="M297" s="383">
        <v>0</v>
      </c>
      <c r="N297" s="385">
        <v>250</v>
      </c>
      <c r="O297" s="383">
        <v>802701</v>
      </c>
      <c r="P297" s="386">
        <v>0</v>
      </c>
      <c r="Q297" s="383">
        <v>0</v>
      </c>
      <c r="R297" s="386">
        <v>220</v>
      </c>
      <c r="S297" s="383">
        <v>341898</v>
      </c>
      <c r="T297" s="384">
        <v>0</v>
      </c>
      <c r="U297" s="387">
        <v>0</v>
      </c>
      <c r="V297" s="241"/>
      <c r="W297" s="241">
        <f>O297/N297</f>
        <v>3210.8040000000001</v>
      </c>
      <c r="X297" s="241">
        <f>S297/R297</f>
        <v>1554.0818181818181</v>
      </c>
    </row>
    <row r="298" spans="1:35" ht="18.600000000000001" customHeight="1">
      <c r="A298" s="166"/>
      <c r="B298" s="182" t="s">
        <v>45</v>
      </c>
      <c r="C298" s="177">
        <f>C299+C301+C303+C305+C307+C308+C309</f>
        <v>9578601</v>
      </c>
      <c r="D298" s="177">
        <f t="shared" ref="D298:V298" si="19">D299+D301+D303+D305+D307+D308+D309</f>
        <v>0</v>
      </c>
      <c r="E298" s="177">
        <f t="shared" si="19"/>
        <v>0</v>
      </c>
      <c r="F298" s="177">
        <f t="shared" si="19"/>
        <v>0</v>
      </c>
      <c r="G298" s="177">
        <f t="shared" si="19"/>
        <v>0</v>
      </c>
      <c r="H298" s="177">
        <f t="shared" si="19"/>
        <v>0</v>
      </c>
      <c r="I298" s="177">
        <f t="shared" si="19"/>
        <v>0</v>
      </c>
      <c r="J298" s="177">
        <f t="shared" si="19"/>
        <v>0</v>
      </c>
      <c r="K298" s="177">
        <f t="shared" si="19"/>
        <v>0</v>
      </c>
      <c r="L298" s="177">
        <f t="shared" si="19"/>
        <v>0</v>
      </c>
      <c r="M298" s="177">
        <f t="shared" si="19"/>
        <v>0</v>
      </c>
      <c r="N298" s="177">
        <f t="shared" si="19"/>
        <v>3657.1600000000003</v>
      </c>
      <c r="O298" s="177">
        <f t="shared" si="19"/>
        <v>9578601</v>
      </c>
      <c r="P298" s="177">
        <f t="shared" si="19"/>
        <v>0</v>
      </c>
      <c r="Q298" s="177">
        <f t="shared" si="19"/>
        <v>0</v>
      </c>
      <c r="R298" s="177">
        <f t="shared" si="19"/>
        <v>0</v>
      </c>
      <c r="S298" s="177">
        <f t="shared" si="19"/>
        <v>0</v>
      </c>
      <c r="T298" s="177">
        <f t="shared" si="19"/>
        <v>0</v>
      </c>
      <c r="U298" s="177">
        <f t="shared" si="19"/>
        <v>0</v>
      </c>
      <c r="V298" s="177">
        <f t="shared" si="19"/>
        <v>0</v>
      </c>
      <c r="W298" s="241"/>
      <c r="X298" s="241"/>
    </row>
    <row r="299" spans="1:35" ht="30">
      <c r="A299" s="374"/>
      <c r="B299" s="382" t="s">
        <v>98</v>
      </c>
      <c r="C299" s="383">
        <f>C300</f>
        <v>2256851</v>
      </c>
      <c r="D299" s="383">
        <f t="shared" ref="D299:U299" si="20">D300</f>
        <v>0</v>
      </c>
      <c r="E299" s="383">
        <f t="shared" si="20"/>
        <v>0</v>
      </c>
      <c r="F299" s="383">
        <f t="shared" si="20"/>
        <v>0</v>
      </c>
      <c r="G299" s="383">
        <f t="shared" si="20"/>
        <v>0</v>
      </c>
      <c r="H299" s="383">
        <f t="shared" si="20"/>
        <v>0</v>
      </c>
      <c r="I299" s="383">
        <f t="shared" si="20"/>
        <v>0</v>
      </c>
      <c r="J299" s="383">
        <f t="shared" si="20"/>
        <v>0</v>
      </c>
      <c r="K299" s="383">
        <f t="shared" si="20"/>
        <v>0</v>
      </c>
      <c r="L299" s="383">
        <f t="shared" si="20"/>
        <v>0</v>
      </c>
      <c r="M299" s="383">
        <f t="shared" si="20"/>
        <v>0</v>
      </c>
      <c r="N299" s="383">
        <f t="shared" si="20"/>
        <v>911.86</v>
      </c>
      <c r="O299" s="383">
        <f t="shared" si="20"/>
        <v>2256851</v>
      </c>
      <c r="P299" s="383">
        <f t="shared" si="20"/>
        <v>0</v>
      </c>
      <c r="Q299" s="383">
        <f t="shared" si="20"/>
        <v>0</v>
      </c>
      <c r="R299" s="383">
        <f t="shared" si="20"/>
        <v>0</v>
      </c>
      <c r="S299" s="383">
        <f t="shared" si="20"/>
        <v>0</v>
      </c>
      <c r="T299" s="383">
        <f t="shared" si="20"/>
        <v>0</v>
      </c>
      <c r="U299" s="383">
        <f t="shared" si="20"/>
        <v>0</v>
      </c>
      <c r="V299" s="241"/>
      <c r="W299" s="241">
        <f>O299/N299</f>
        <v>2474.9972583510626</v>
      </c>
      <c r="X299" s="241"/>
    </row>
    <row r="300" spans="1:35">
      <c r="A300" s="374">
        <v>262</v>
      </c>
      <c r="B300" s="382" t="s">
        <v>794</v>
      </c>
      <c r="C300" s="383">
        <f>'часть 1'!L309</f>
        <v>2256851</v>
      </c>
      <c r="D300" s="383">
        <v>0</v>
      </c>
      <c r="E300" s="383">
        <v>0</v>
      </c>
      <c r="F300" s="383">
        <v>0</v>
      </c>
      <c r="G300" s="383">
        <v>0</v>
      </c>
      <c r="H300" s="383">
        <v>0</v>
      </c>
      <c r="I300" s="383">
        <v>0</v>
      </c>
      <c r="J300" s="383">
        <v>0</v>
      </c>
      <c r="K300" s="383">
        <v>0</v>
      </c>
      <c r="L300" s="384">
        <v>0</v>
      </c>
      <c r="M300" s="383">
        <v>0</v>
      </c>
      <c r="N300" s="385">
        <v>911.86</v>
      </c>
      <c r="O300" s="383">
        <v>2256851</v>
      </c>
      <c r="P300" s="386">
        <v>0</v>
      </c>
      <c r="Q300" s="383">
        <v>0</v>
      </c>
      <c r="R300" s="386">
        <v>0</v>
      </c>
      <c r="S300" s="383">
        <v>0</v>
      </c>
      <c r="T300" s="384">
        <v>0</v>
      </c>
      <c r="U300" s="387">
        <v>0</v>
      </c>
      <c r="V300" s="241"/>
      <c r="W300" s="241">
        <f t="shared" ref="W300:W310" si="21">O300/N300</f>
        <v>2474.9972583510626</v>
      </c>
      <c r="X300" s="241"/>
    </row>
    <row r="301" spans="1:35" ht="30">
      <c r="A301" s="374"/>
      <c r="B301" s="382" t="s">
        <v>688</v>
      </c>
      <c r="C301" s="383">
        <f>C302</f>
        <v>1826091</v>
      </c>
      <c r="D301" s="383">
        <f t="shared" ref="D301:V301" si="22">D302</f>
        <v>0</v>
      </c>
      <c r="E301" s="383">
        <f t="shared" si="22"/>
        <v>0</v>
      </c>
      <c r="F301" s="383">
        <f t="shared" si="22"/>
        <v>0</v>
      </c>
      <c r="G301" s="383">
        <f t="shared" si="22"/>
        <v>0</v>
      </c>
      <c r="H301" s="383">
        <f t="shared" si="22"/>
        <v>0</v>
      </c>
      <c r="I301" s="383">
        <f t="shared" si="22"/>
        <v>0</v>
      </c>
      <c r="J301" s="383">
        <f t="shared" si="22"/>
        <v>0</v>
      </c>
      <c r="K301" s="383">
        <f t="shared" si="22"/>
        <v>0</v>
      </c>
      <c r="L301" s="383">
        <f t="shared" si="22"/>
        <v>0</v>
      </c>
      <c r="M301" s="383">
        <f t="shared" si="22"/>
        <v>0</v>
      </c>
      <c r="N301" s="383">
        <f t="shared" si="22"/>
        <v>741</v>
      </c>
      <c r="O301" s="383">
        <f t="shared" si="22"/>
        <v>1826091</v>
      </c>
      <c r="P301" s="383">
        <f t="shared" si="22"/>
        <v>0</v>
      </c>
      <c r="Q301" s="383">
        <f t="shared" si="22"/>
        <v>0</v>
      </c>
      <c r="R301" s="383">
        <f t="shared" si="22"/>
        <v>0</v>
      </c>
      <c r="S301" s="383">
        <f t="shared" si="22"/>
        <v>0</v>
      </c>
      <c r="T301" s="383">
        <f t="shared" si="22"/>
        <v>0</v>
      </c>
      <c r="U301" s="383">
        <f t="shared" si="22"/>
        <v>0</v>
      </c>
      <c r="V301" s="383">
        <f t="shared" si="22"/>
        <v>0</v>
      </c>
      <c r="W301" s="241">
        <f t="shared" si="21"/>
        <v>2464.3603238866399</v>
      </c>
      <c r="X301" s="241"/>
    </row>
    <row r="302" spans="1:35" ht="30">
      <c r="A302" s="374"/>
      <c r="B302" s="382" t="s">
        <v>689</v>
      </c>
      <c r="C302" s="383">
        <f>'часть 1'!L311</f>
        <v>1826091</v>
      </c>
      <c r="D302" s="383">
        <v>0</v>
      </c>
      <c r="E302" s="383">
        <v>0</v>
      </c>
      <c r="F302" s="383">
        <v>0</v>
      </c>
      <c r="G302" s="383">
        <v>0</v>
      </c>
      <c r="H302" s="383">
        <v>0</v>
      </c>
      <c r="I302" s="383">
        <v>0</v>
      </c>
      <c r="J302" s="383">
        <v>0</v>
      </c>
      <c r="K302" s="383">
        <v>0</v>
      </c>
      <c r="L302" s="384">
        <v>0</v>
      </c>
      <c r="M302" s="383">
        <v>0</v>
      </c>
      <c r="N302" s="385">
        <v>741</v>
      </c>
      <c r="O302" s="383">
        <v>1826091</v>
      </c>
      <c r="P302" s="386">
        <v>0</v>
      </c>
      <c r="Q302" s="383">
        <v>0</v>
      </c>
      <c r="R302" s="386">
        <v>0</v>
      </c>
      <c r="S302" s="383">
        <v>0</v>
      </c>
      <c r="T302" s="384">
        <v>0</v>
      </c>
      <c r="U302" s="387">
        <v>0</v>
      </c>
      <c r="V302" s="241"/>
      <c r="W302" s="241">
        <f t="shared" si="21"/>
        <v>2464.3603238866399</v>
      </c>
      <c r="X302" s="241"/>
    </row>
    <row r="303" spans="1:35" ht="30">
      <c r="A303" s="374"/>
      <c r="B303" s="382" t="s">
        <v>99</v>
      </c>
      <c r="C303" s="383">
        <f>C304</f>
        <v>1602324</v>
      </c>
      <c r="D303" s="383">
        <f t="shared" ref="D303:V303" si="23">D304</f>
        <v>0</v>
      </c>
      <c r="E303" s="383">
        <f t="shared" si="23"/>
        <v>0</v>
      </c>
      <c r="F303" s="383">
        <f t="shared" si="23"/>
        <v>0</v>
      </c>
      <c r="G303" s="383">
        <f t="shared" si="23"/>
        <v>0</v>
      </c>
      <c r="H303" s="383">
        <f t="shared" si="23"/>
        <v>0</v>
      </c>
      <c r="I303" s="383">
        <f t="shared" si="23"/>
        <v>0</v>
      </c>
      <c r="J303" s="383">
        <f t="shared" si="23"/>
        <v>0</v>
      </c>
      <c r="K303" s="383">
        <f t="shared" si="23"/>
        <v>0</v>
      </c>
      <c r="L303" s="383">
        <f t="shared" si="23"/>
        <v>0</v>
      </c>
      <c r="M303" s="383">
        <f t="shared" si="23"/>
        <v>0</v>
      </c>
      <c r="N303" s="383">
        <f t="shared" si="23"/>
        <v>506.8</v>
      </c>
      <c r="O303" s="383">
        <f t="shared" si="23"/>
        <v>1602324</v>
      </c>
      <c r="P303" s="383">
        <f t="shared" si="23"/>
        <v>0</v>
      </c>
      <c r="Q303" s="383">
        <f t="shared" si="23"/>
        <v>0</v>
      </c>
      <c r="R303" s="383">
        <f t="shared" si="23"/>
        <v>0</v>
      </c>
      <c r="S303" s="383">
        <f t="shared" si="23"/>
        <v>0</v>
      </c>
      <c r="T303" s="383">
        <f t="shared" si="23"/>
        <v>0</v>
      </c>
      <c r="U303" s="383">
        <f t="shared" si="23"/>
        <v>0</v>
      </c>
      <c r="V303" s="177">
        <f t="shared" si="23"/>
        <v>0</v>
      </c>
      <c r="W303" s="241">
        <f t="shared" si="21"/>
        <v>3161.6495659037096</v>
      </c>
      <c r="X303" s="241"/>
    </row>
    <row r="304" spans="1:35" ht="30">
      <c r="A304" s="374">
        <v>265</v>
      </c>
      <c r="B304" s="382" t="s">
        <v>806</v>
      </c>
      <c r="C304" s="383">
        <f>'часть 1'!L313</f>
        <v>1602324</v>
      </c>
      <c r="D304" s="383">
        <v>0</v>
      </c>
      <c r="E304" s="383">
        <v>0</v>
      </c>
      <c r="F304" s="383">
        <v>0</v>
      </c>
      <c r="G304" s="383">
        <v>0</v>
      </c>
      <c r="H304" s="383">
        <v>0</v>
      </c>
      <c r="I304" s="383">
        <v>0</v>
      </c>
      <c r="J304" s="383">
        <v>0</v>
      </c>
      <c r="K304" s="383">
        <v>0</v>
      </c>
      <c r="L304" s="384">
        <v>0</v>
      </c>
      <c r="M304" s="383">
        <v>0</v>
      </c>
      <c r="N304" s="489">
        <v>506.8</v>
      </c>
      <c r="O304" s="383">
        <v>1602324</v>
      </c>
      <c r="P304" s="386">
        <v>0</v>
      </c>
      <c r="Q304" s="383">
        <v>0</v>
      </c>
      <c r="R304" s="386">
        <v>0</v>
      </c>
      <c r="S304" s="383">
        <v>0</v>
      </c>
      <c r="T304" s="384">
        <v>0</v>
      </c>
      <c r="U304" s="387">
        <v>0</v>
      </c>
      <c r="V304" s="241"/>
      <c r="W304" s="241">
        <f t="shared" si="21"/>
        <v>3161.6495659037096</v>
      </c>
      <c r="X304" s="241"/>
    </row>
    <row r="305" spans="1:24" ht="30">
      <c r="A305" s="374"/>
      <c r="B305" s="382" t="s">
        <v>100</v>
      </c>
      <c r="C305" s="383">
        <f>C306</f>
        <v>1986648</v>
      </c>
      <c r="D305" s="383">
        <f t="shared" ref="D305:V305" si="24">D306</f>
        <v>0</v>
      </c>
      <c r="E305" s="383">
        <f t="shared" si="24"/>
        <v>0</v>
      </c>
      <c r="F305" s="383">
        <f t="shared" si="24"/>
        <v>0</v>
      </c>
      <c r="G305" s="383">
        <f t="shared" si="24"/>
        <v>0</v>
      </c>
      <c r="H305" s="383">
        <f t="shared" si="24"/>
        <v>0</v>
      </c>
      <c r="I305" s="383">
        <f t="shared" si="24"/>
        <v>0</v>
      </c>
      <c r="J305" s="383">
        <f t="shared" si="24"/>
        <v>0</v>
      </c>
      <c r="K305" s="383">
        <f t="shared" si="24"/>
        <v>0</v>
      </c>
      <c r="L305" s="383">
        <f t="shared" si="24"/>
        <v>0</v>
      </c>
      <c r="M305" s="383">
        <f t="shared" si="24"/>
        <v>0</v>
      </c>
      <c r="N305" s="383">
        <f t="shared" si="24"/>
        <v>801</v>
      </c>
      <c r="O305" s="383">
        <f t="shared" si="24"/>
        <v>1986648</v>
      </c>
      <c r="P305" s="383">
        <f t="shared" si="24"/>
        <v>0</v>
      </c>
      <c r="Q305" s="383">
        <f t="shared" si="24"/>
        <v>0</v>
      </c>
      <c r="R305" s="383">
        <f t="shared" si="24"/>
        <v>0</v>
      </c>
      <c r="S305" s="383">
        <f t="shared" si="24"/>
        <v>0</v>
      </c>
      <c r="T305" s="383">
        <f t="shared" si="24"/>
        <v>0</v>
      </c>
      <c r="U305" s="383">
        <f t="shared" si="24"/>
        <v>0</v>
      </c>
      <c r="V305" s="383">
        <f t="shared" si="24"/>
        <v>0</v>
      </c>
      <c r="W305" s="241">
        <f t="shared" si="21"/>
        <v>2480.2097378277153</v>
      </c>
      <c r="X305" s="241"/>
    </row>
    <row r="306" spans="1:24" ht="30">
      <c r="A306" s="374">
        <v>267</v>
      </c>
      <c r="B306" s="382" t="s">
        <v>695</v>
      </c>
      <c r="C306" s="383">
        <v>1986648</v>
      </c>
      <c r="D306" s="383">
        <v>0</v>
      </c>
      <c r="E306" s="383">
        <v>0</v>
      </c>
      <c r="F306" s="383">
        <v>0</v>
      </c>
      <c r="G306" s="383">
        <v>0</v>
      </c>
      <c r="H306" s="383">
        <v>0</v>
      </c>
      <c r="I306" s="383">
        <v>0</v>
      </c>
      <c r="J306" s="383">
        <v>0</v>
      </c>
      <c r="K306" s="383">
        <v>0</v>
      </c>
      <c r="L306" s="384">
        <v>0</v>
      </c>
      <c r="M306" s="383">
        <v>0</v>
      </c>
      <c r="N306" s="385">
        <v>801</v>
      </c>
      <c r="O306" s="383">
        <v>1986648</v>
      </c>
      <c r="P306" s="386">
        <v>0</v>
      </c>
      <c r="Q306" s="383">
        <v>0</v>
      </c>
      <c r="R306" s="386">
        <v>0</v>
      </c>
      <c r="S306" s="383">
        <v>0</v>
      </c>
      <c r="T306" s="384">
        <v>0</v>
      </c>
      <c r="U306" s="387">
        <v>0</v>
      </c>
      <c r="V306" s="241"/>
      <c r="W306" s="241">
        <f t="shared" si="21"/>
        <v>2480.2097378277153</v>
      </c>
      <c r="X306" s="241"/>
    </row>
    <row r="307" spans="1:24" ht="30">
      <c r="A307" s="374"/>
      <c r="B307" s="382" t="s">
        <v>101</v>
      </c>
      <c r="C307" s="383">
        <v>0</v>
      </c>
      <c r="D307" s="383">
        <v>0</v>
      </c>
      <c r="E307" s="383">
        <v>0</v>
      </c>
      <c r="F307" s="383">
        <v>0</v>
      </c>
      <c r="G307" s="383">
        <v>0</v>
      </c>
      <c r="H307" s="383">
        <v>0</v>
      </c>
      <c r="I307" s="383">
        <v>0</v>
      </c>
      <c r="J307" s="383">
        <v>0</v>
      </c>
      <c r="K307" s="383">
        <v>0</v>
      </c>
      <c r="L307" s="384">
        <v>0</v>
      </c>
      <c r="M307" s="383">
        <v>0</v>
      </c>
      <c r="N307" s="383">
        <v>0</v>
      </c>
      <c r="O307" s="383">
        <v>0</v>
      </c>
      <c r="P307" s="386">
        <v>0</v>
      </c>
      <c r="Q307" s="383">
        <v>0</v>
      </c>
      <c r="R307" s="386">
        <v>0</v>
      </c>
      <c r="S307" s="383">
        <v>0</v>
      </c>
      <c r="T307" s="384">
        <v>0</v>
      </c>
      <c r="U307" s="387">
        <v>0</v>
      </c>
      <c r="V307" s="241"/>
      <c r="W307" s="241"/>
      <c r="X307" s="241"/>
    </row>
    <row r="308" spans="1:24" ht="30">
      <c r="A308" s="374"/>
      <c r="B308" s="382" t="s">
        <v>126</v>
      </c>
      <c r="C308" s="383">
        <v>0</v>
      </c>
      <c r="D308" s="383">
        <v>0</v>
      </c>
      <c r="E308" s="383">
        <v>0</v>
      </c>
      <c r="F308" s="383">
        <v>0</v>
      </c>
      <c r="G308" s="383">
        <v>0</v>
      </c>
      <c r="H308" s="383">
        <v>0</v>
      </c>
      <c r="I308" s="383">
        <v>0</v>
      </c>
      <c r="J308" s="383">
        <v>0</v>
      </c>
      <c r="K308" s="383">
        <v>0</v>
      </c>
      <c r="L308" s="383">
        <v>0</v>
      </c>
      <c r="M308" s="383">
        <v>0</v>
      </c>
      <c r="N308" s="383">
        <v>0</v>
      </c>
      <c r="O308" s="383">
        <v>0</v>
      </c>
      <c r="P308" s="383">
        <v>0</v>
      </c>
      <c r="Q308" s="383">
        <v>0</v>
      </c>
      <c r="R308" s="383">
        <v>0</v>
      </c>
      <c r="S308" s="383">
        <v>0</v>
      </c>
      <c r="T308" s="383">
        <v>0</v>
      </c>
      <c r="U308" s="383">
        <v>0</v>
      </c>
      <c r="V308" s="241"/>
      <c r="W308" s="241"/>
      <c r="X308" s="241"/>
    </row>
    <row r="309" spans="1:24" ht="37.15" customHeight="1">
      <c r="A309" s="374"/>
      <c r="B309" s="382" t="s">
        <v>861</v>
      </c>
      <c r="C309" s="383">
        <f>C310</f>
        <v>1906687</v>
      </c>
      <c r="D309" s="383">
        <f t="shared" ref="D309:U309" si="25">D310</f>
        <v>0</v>
      </c>
      <c r="E309" s="383">
        <f t="shared" si="25"/>
        <v>0</v>
      </c>
      <c r="F309" s="383">
        <f t="shared" si="25"/>
        <v>0</v>
      </c>
      <c r="G309" s="383">
        <f t="shared" si="25"/>
        <v>0</v>
      </c>
      <c r="H309" s="383">
        <f t="shared" si="25"/>
        <v>0</v>
      </c>
      <c r="I309" s="383">
        <f t="shared" si="25"/>
        <v>0</v>
      </c>
      <c r="J309" s="383">
        <f t="shared" si="25"/>
        <v>0</v>
      </c>
      <c r="K309" s="383">
        <f t="shared" si="25"/>
        <v>0</v>
      </c>
      <c r="L309" s="383">
        <f t="shared" si="25"/>
        <v>0</v>
      </c>
      <c r="M309" s="383">
        <f t="shared" si="25"/>
        <v>0</v>
      </c>
      <c r="N309" s="383">
        <f t="shared" si="25"/>
        <v>696.5</v>
      </c>
      <c r="O309" s="383">
        <f t="shared" si="25"/>
        <v>1906687</v>
      </c>
      <c r="P309" s="383">
        <f t="shared" si="25"/>
        <v>0</v>
      </c>
      <c r="Q309" s="383">
        <f t="shared" si="25"/>
        <v>0</v>
      </c>
      <c r="R309" s="383">
        <f t="shared" si="25"/>
        <v>0</v>
      </c>
      <c r="S309" s="383">
        <f t="shared" si="25"/>
        <v>0</v>
      </c>
      <c r="T309" s="383">
        <f t="shared" si="25"/>
        <v>0</v>
      </c>
      <c r="U309" s="383">
        <f t="shared" si="25"/>
        <v>0</v>
      </c>
      <c r="V309" s="241"/>
      <c r="W309" s="241">
        <f t="shared" si="21"/>
        <v>2737.5262024407753</v>
      </c>
      <c r="X309" s="241"/>
    </row>
    <row r="310" spans="1:24" ht="25.9" customHeight="1">
      <c r="A310" s="374"/>
      <c r="B310" s="382" t="s">
        <v>862</v>
      </c>
      <c r="C310" s="383">
        <f>'часть 1'!L319</f>
        <v>1906687</v>
      </c>
      <c r="D310" s="383">
        <v>0</v>
      </c>
      <c r="E310" s="383">
        <v>0</v>
      </c>
      <c r="F310" s="383">
        <v>0</v>
      </c>
      <c r="G310" s="383">
        <v>0</v>
      </c>
      <c r="H310" s="383">
        <v>0</v>
      </c>
      <c r="I310" s="383">
        <v>0</v>
      </c>
      <c r="J310" s="383">
        <v>0</v>
      </c>
      <c r="K310" s="383">
        <v>0</v>
      </c>
      <c r="L310" s="384">
        <v>0</v>
      </c>
      <c r="M310" s="383">
        <v>0</v>
      </c>
      <c r="N310" s="383">
        <v>696.5</v>
      </c>
      <c r="O310" s="383">
        <v>1906687</v>
      </c>
      <c r="P310" s="386">
        <v>0</v>
      </c>
      <c r="Q310" s="383">
        <v>0</v>
      </c>
      <c r="R310" s="386">
        <v>0</v>
      </c>
      <c r="S310" s="383">
        <v>0</v>
      </c>
      <c r="T310" s="384">
        <v>0</v>
      </c>
      <c r="U310" s="387">
        <v>0</v>
      </c>
      <c r="V310" s="241"/>
      <c r="W310" s="241">
        <f t="shared" si="21"/>
        <v>2737.5262024407753</v>
      </c>
      <c r="X310" s="241"/>
    </row>
    <row r="311" spans="1:24">
      <c r="A311" s="166"/>
      <c r="B311" s="182" t="s">
        <v>46</v>
      </c>
      <c r="C311" s="177">
        <f>C312</f>
        <v>1415265</v>
      </c>
      <c r="D311" s="177">
        <f t="shared" ref="D311:U311" si="26">D312</f>
        <v>0</v>
      </c>
      <c r="E311" s="177">
        <f t="shared" si="26"/>
        <v>0</v>
      </c>
      <c r="F311" s="177">
        <f t="shared" si="26"/>
        <v>0</v>
      </c>
      <c r="G311" s="177">
        <f t="shared" si="26"/>
        <v>0</v>
      </c>
      <c r="H311" s="177">
        <f t="shared" si="26"/>
        <v>0</v>
      </c>
      <c r="I311" s="177">
        <f t="shared" si="26"/>
        <v>0</v>
      </c>
      <c r="J311" s="177">
        <f t="shared" si="26"/>
        <v>0</v>
      </c>
      <c r="K311" s="177">
        <f t="shared" si="26"/>
        <v>0</v>
      </c>
      <c r="L311" s="177">
        <f t="shared" si="26"/>
        <v>0</v>
      </c>
      <c r="M311" s="177">
        <f t="shared" si="26"/>
        <v>0</v>
      </c>
      <c r="N311" s="177">
        <f t="shared" si="26"/>
        <v>457</v>
      </c>
      <c r="O311" s="177">
        <f t="shared" si="26"/>
        <v>1415265</v>
      </c>
      <c r="P311" s="177">
        <f t="shared" si="26"/>
        <v>0</v>
      </c>
      <c r="Q311" s="177">
        <f t="shared" si="26"/>
        <v>0</v>
      </c>
      <c r="R311" s="177">
        <f t="shared" si="26"/>
        <v>0</v>
      </c>
      <c r="S311" s="177">
        <f t="shared" si="26"/>
        <v>0</v>
      </c>
      <c r="T311" s="177">
        <f t="shared" si="26"/>
        <v>0</v>
      </c>
      <c r="U311" s="177">
        <f t="shared" si="26"/>
        <v>0</v>
      </c>
      <c r="V311" s="241"/>
      <c r="W311" s="241"/>
      <c r="X311" s="241"/>
    </row>
    <row r="312" spans="1:24" ht="30">
      <c r="A312" s="162"/>
      <c r="B312" s="180" t="s">
        <v>102</v>
      </c>
      <c r="C312" s="177">
        <f>C313</f>
        <v>1415265</v>
      </c>
      <c r="D312" s="177">
        <f t="shared" ref="D312:U312" si="27">D313</f>
        <v>0</v>
      </c>
      <c r="E312" s="177">
        <f t="shared" si="27"/>
        <v>0</v>
      </c>
      <c r="F312" s="177">
        <f t="shared" si="27"/>
        <v>0</v>
      </c>
      <c r="G312" s="177">
        <f t="shared" si="27"/>
        <v>0</v>
      </c>
      <c r="H312" s="177">
        <f t="shared" si="27"/>
        <v>0</v>
      </c>
      <c r="I312" s="177">
        <f t="shared" si="27"/>
        <v>0</v>
      </c>
      <c r="J312" s="177">
        <f t="shared" si="27"/>
        <v>0</v>
      </c>
      <c r="K312" s="177">
        <f t="shared" si="27"/>
        <v>0</v>
      </c>
      <c r="L312" s="177">
        <f t="shared" si="27"/>
        <v>0</v>
      </c>
      <c r="M312" s="177">
        <f t="shared" si="27"/>
        <v>0</v>
      </c>
      <c r="N312" s="177">
        <f t="shared" si="27"/>
        <v>457</v>
      </c>
      <c r="O312" s="177">
        <f t="shared" si="27"/>
        <v>1415265</v>
      </c>
      <c r="P312" s="177">
        <f t="shared" si="27"/>
        <v>0</v>
      </c>
      <c r="Q312" s="177">
        <f t="shared" si="27"/>
        <v>0</v>
      </c>
      <c r="R312" s="177">
        <f t="shared" si="27"/>
        <v>0</v>
      </c>
      <c r="S312" s="177">
        <f t="shared" si="27"/>
        <v>0</v>
      </c>
      <c r="T312" s="177">
        <f t="shared" si="27"/>
        <v>0</v>
      </c>
      <c r="U312" s="177">
        <f t="shared" si="27"/>
        <v>0</v>
      </c>
      <c r="V312" s="241"/>
      <c r="W312" s="241"/>
      <c r="X312" s="241"/>
    </row>
    <row r="313" spans="1:24">
      <c r="A313" s="374">
        <v>271</v>
      </c>
      <c r="B313" s="382" t="s">
        <v>485</v>
      </c>
      <c r="C313" s="383">
        <v>1415265</v>
      </c>
      <c r="D313" s="383">
        <v>0</v>
      </c>
      <c r="E313" s="383">
        <v>0</v>
      </c>
      <c r="F313" s="383">
        <v>0</v>
      </c>
      <c r="G313" s="383">
        <v>0</v>
      </c>
      <c r="H313" s="383">
        <v>0</v>
      </c>
      <c r="I313" s="383">
        <v>0</v>
      </c>
      <c r="J313" s="383">
        <v>0</v>
      </c>
      <c r="K313" s="383">
        <v>0</v>
      </c>
      <c r="L313" s="384">
        <v>0</v>
      </c>
      <c r="M313" s="383">
        <v>0</v>
      </c>
      <c r="N313" s="376">
        <v>457</v>
      </c>
      <c r="O313" s="383">
        <v>1415265</v>
      </c>
      <c r="P313" s="386">
        <v>0</v>
      </c>
      <c r="Q313" s="383">
        <v>0</v>
      </c>
      <c r="R313" s="386">
        <v>0</v>
      </c>
      <c r="S313" s="383">
        <v>0</v>
      </c>
      <c r="T313" s="384">
        <v>0</v>
      </c>
      <c r="U313" s="387">
        <v>0</v>
      </c>
      <c r="V313" s="241"/>
      <c r="W313" s="241">
        <f>O313/N313</f>
        <v>3096.8599562363238</v>
      </c>
      <c r="X313" s="241"/>
    </row>
    <row r="314" spans="1:24">
      <c r="A314" s="374"/>
      <c r="B314" s="382"/>
      <c r="C314" s="383"/>
      <c r="D314" s="383"/>
      <c r="E314" s="383"/>
      <c r="F314" s="383"/>
      <c r="G314" s="383"/>
      <c r="H314" s="383"/>
      <c r="I314" s="383"/>
      <c r="J314" s="383"/>
      <c r="K314" s="383"/>
      <c r="L314" s="384"/>
      <c r="M314" s="383"/>
      <c r="N314" s="383"/>
      <c r="O314" s="383"/>
      <c r="P314" s="386"/>
      <c r="Q314" s="383"/>
      <c r="R314" s="386"/>
      <c r="S314" s="383"/>
      <c r="T314" s="384"/>
      <c r="U314" s="387"/>
      <c r="V314" s="241"/>
      <c r="W314" s="241"/>
      <c r="X314" s="241"/>
    </row>
    <row r="315" spans="1:24" s="14" customFormat="1" ht="28.15" customHeight="1">
      <c r="A315" s="166"/>
      <c r="B315" s="182" t="s">
        <v>47</v>
      </c>
      <c r="C315" s="177">
        <f>C316</f>
        <v>6592116</v>
      </c>
      <c r="D315" s="177">
        <f t="shared" ref="D315:U315" si="28">D316</f>
        <v>0</v>
      </c>
      <c r="E315" s="177">
        <f t="shared" si="28"/>
        <v>0</v>
      </c>
      <c r="F315" s="177">
        <f t="shared" si="28"/>
        <v>0</v>
      </c>
      <c r="G315" s="177">
        <f t="shared" si="28"/>
        <v>0</v>
      </c>
      <c r="H315" s="177">
        <f t="shared" si="28"/>
        <v>0</v>
      </c>
      <c r="I315" s="177">
        <f t="shared" si="28"/>
        <v>0</v>
      </c>
      <c r="J315" s="177">
        <f t="shared" si="28"/>
        <v>0</v>
      </c>
      <c r="K315" s="177">
        <f t="shared" si="28"/>
        <v>0</v>
      </c>
      <c r="L315" s="177">
        <f t="shared" si="28"/>
        <v>0</v>
      </c>
      <c r="M315" s="177">
        <f t="shared" si="28"/>
        <v>0</v>
      </c>
      <c r="N315" s="177">
        <f t="shared" si="28"/>
        <v>2228.25</v>
      </c>
      <c r="O315" s="177">
        <f t="shared" si="28"/>
        <v>6592116</v>
      </c>
      <c r="P315" s="177">
        <f t="shared" si="28"/>
        <v>0</v>
      </c>
      <c r="Q315" s="177">
        <f t="shared" si="28"/>
        <v>0</v>
      </c>
      <c r="R315" s="177">
        <f t="shared" si="28"/>
        <v>0</v>
      </c>
      <c r="S315" s="177">
        <f t="shared" si="28"/>
        <v>0</v>
      </c>
      <c r="T315" s="177">
        <f t="shared" si="28"/>
        <v>0</v>
      </c>
      <c r="U315" s="177">
        <f t="shared" si="28"/>
        <v>0</v>
      </c>
      <c r="V315" s="241"/>
      <c r="W315" s="241"/>
      <c r="X315" s="241"/>
    </row>
    <row r="316" spans="1:24" ht="30">
      <c r="A316" s="374"/>
      <c r="B316" s="382" t="s">
        <v>103</v>
      </c>
      <c r="C316" s="383">
        <f>C317+C318+C319+C320+C321</f>
        <v>6592116</v>
      </c>
      <c r="D316" s="383">
        <f t="shared" ref="D316:U316" si="29">D317+D318+D319+D320+D321</f>
        <v>0</v>
      </c>
      <c r="E316" s="383">
        <f t="shared" si="29"/>
        <v>0</v>
      </c>
      <c r="F316" s="383">
        <f t="shared" si="29"/>
        <v>0</v>
      </c>
      <c r="G316" s="383">
        <f t="shared" si="29"/>
        <v>0</v>
      </c>
      <c r="H316" s="383">
        <f t="shared" si="29"/>
        <v>0</v>
      </c>
      <c r="I316" s="383">
        <f t="shared" si="29"/>
        <v>0</v>
      </c>
      <c r="J316" s="383">
        <f t="shared" si="29"/>
        <v>0</v>
      </c>
      <c r="K316" s="383">
        <f t="shared" si="29"/>
        <v>0</v>
      </c>
      <c r="L316" s="383">
        <f t="shared" si="29"/>
        <v>0</v>
      </c>
      <c r="M316" s="383">
        <f t="shared" si="29"/>
        <v>0</v>
      </c>
      <c r="N316" s="383">
        <f t="shared" si="29"/>
        <v>2228.25</v>
      </c>
      <c r="O316" s="383">
        <f t="shared" si="29"/>
        <v>6592116</v>
      </c>
      <c r="P316" s="383">
        <f t="shared" si="29"/>
        <v>0</v>
      </c>
      <c r="Q316" s="383">
        <f t="shared" si="29"/>
        <v>0</v>
      </c>
      <c r="R316" s="383">
        <f t="shared" si="29"/>
        <v>0</v>
      </c>
      <c r="S316" s="383">
        <f t="shared" si="29"/>
        <v>0</v>
      </c>
      <c r="T316" s="383">
        <f t="shared" si="29"/>
        <v>0</v>
      </c>
      <c r="U316" s="383">
        <f t="shared" si="29"/>
        <v>0</v>
      </c>
      <c r="V316" s="241"/>
      <c r="W316" s="241"/>
      <c r="X316" s="241"/>
    </row>
    <row r="317" spans="1:24" ht="15.75">
      <c r="A317" s="374">
        <v>273</v>
      </c>
      <c r="B317" s="287" t="s">
        <v>723</v>
      </c>
      <c r="C317" s="383">
        <f>'часть 1'!L326</f>
        <v>1682684</v>
      </c>
      <c r="D317" s="383">
        <v>0</v>
      </c>
      <c r="E317" s="383">
        <v>0</v>
      </c>
      <c r="F317" s="383">
        <v>0</v>
      </c>
      <c r="G317" s="383">
        <v>0</v>
      </c>
      <c r="H317" s="383">
        <v>0</v>
      </c>
      <c r="I317" s="383">
        <v>0</v>
      </c>
      <c r="J317" s="383">
        <v>0</v>
      </c>
      <c r="K317" s="383">
        <v>0</v>
      </c>
      <c r="L317" s="384">
        <v>0</v>
      </c>
      <c r="M317" s="383">
        <v>0</v>
      </c>
      <c r="N317" s="383">
        <v>680</v>
      </c>
      <c r="O317" s="383">
        <v>1682684</v>
      </c>
      <c r="P317" s="386">
        <v>0</v>
      </c>
      <c r="Q317" s="383">
        <v>0</v>
      </c>
      <c r="R317" s="386">
        <v>0</v>
      </c>
      <c r="S317" s="383">
        <v>0</v>
      </c>
      <c r="T317" s="384">
        <v>0</v>
      </c>
      <c r="U317" s="387">
        <v>0</v>
      </c>
      <c r="V317" s="241"/>
      <c r="W317" s="241">
        <f>O317/N317</f>
        <v>2474.535294117647</v>
      </c>
      <c r="X317" s="241"/>
    </row>
    <row r="318" spans="1:24" ht="15.75">
      <c r="A318" s="374">
        <v>274</v>
      </c>
      <c r="B318" s="287" t="s">
        <v>870</v>
      </c>
      <c r="C318" s="383">
        <f>'часть 1'!L327</f>
        <v>1227835</v>
      </c>
      <c r="D318" s="383">
        <v>0</v>
      </c>
      <c r="E318" s="383">
        <v>0</v>
      </c>
      <c r="F318" s="383">
        <v>0</v>
      </c>
      <c r="G318" s="383">
        <v>0</v>
      </c>
      <c r="H318" s="383">
        <v>0</v>
      </c>
      <c r="I318" s="383">
        <v>0</v>
      </c>
      <c r="J318" s="383">
        <v>0</v>
      </c>
      <c r="K318" s="383">
        <v>0</v>
      </c>
      <c r="L318" s="384">
        <v>0</v>
      </c>
      <c r="M318" s="383">
        <v>0</v>
      </c>
      <c r="N318" s="383">
        <v>387.2</v>
      </c>
      <c r="O318" s="383">
        <v>1227835</v>
      </c>
      <c r="P318" s="386">
        <v>0</v>
      </c>
      <c r="Q318" s="383">
        <v>0</v>
      </c>
      <c r="R318" s="386">
        <v>0</v>
      </c>
      <c r="S318" s="383">
        <v>0</v>
      </c>
      <c r="T318" s="384">
        <v>0</v>
      </c>
      <c r="U318" s="387">
        <v>0</v>
      </c>
      <c r="V318" s="241"/>
      <c r="W318" s="241">
        <f>O318/N318</f>
        <v>3171.0614669421489</v>
      </c>
      <c r="X318" s="241"/>
    </row>
    <row r="319" spans="1:24" ht="15.75">
      <c r="A319" s="374">
        <v>275</v>
      </c>
      <c r="B319" s="287" t="s">
        <v>871</v>
      </c>
      <c r="C319" s="383">
        <f>'часть 1'!L328</f>
        <v>1562951</v>
      </c>
      <c r="D319" s="383">
        <v>0</v>
      </c>
      <c r="E319" s="383">
        <v>0</v>
      </c>
      <c r="F319" s="383">
        <v>0</v>
      </c>
      <c r="G319" s="383">
        <v>0</v>
      </c>
      <c r="H319" s="383">
        <v>0</v>
      </c>
      <c r="I319" s="383">
        <v>0</v>
      </c>
      <c r="J319" s="383">
        <v>0</v>
      </c>
      <c r="K319" s="383">
        <v>0</v>
      </c>
      <c r="L319" s="384">
        <v>0</v>
      </c>
      <c r="M319" s="383">
        <v>0</v>
      </c>
      <c r="N319" s="383">
        <v>495.05</v>
      </c>
      <c r="O319" s="383">
        <v>1562951</v>
      </c>
      <c r="P319" s="386">
        <v>0</v>
      </c>
      <c r="Q319" s="383">
        <v>0</v>
      </c>
      <c r="R319" s="386">
        <v>0</v>
      </c>
      <c r="S319" s="383">
        <v>0</v>
      </c>
      <c r="T319" s="384">
        <v>0</v>
      </c>
      <c r="U319" s="387">
        <v>0</v>
      </c>
      <c r="V319" s="241"/>
      <c r="W319" s="241">
        <f>O319/N319</f>
        <v>3157.1578628421371</v>
      </c>
      <c r="X319" s="241"/>
    </row>
    <row r="320" spans="1:24" ht="15.75">
      <c r="A320" s="374">
        <v>276</v>
      </c>
      <c r="B320" s="287" t="s">
        <v>872</v>
      </c>
      <c r="C320" s="383">
        <f>'часть 1'!L329</f>
        <v>974952</v>
      </c>
      <c r="D320" s="383">
        <v>0</v>
      </c>
      <c r="E320" s="383">
        <v>0</v>
      </c>
      <c r="F320" s="383">
        <v>0</v>
      </c>
      <c r="G320" s="383">
        <v>0</v>
      </c>
      <c r="H320" s="383">
        <v>0</v>
      </c>
      <c r="I320" s="383">
        <v>0</v>
      </c>
      <c r="J320" s="383">
        <v>0</v>
      </c>
      <c r="K320" s="383">
        <v>0</v>
      </c>
      <c r="L320" s="384">
        <v>0</v>
      </c>
      <c r="M320" s="383">
        <v>0</v>
      </c>
      <c r="N320" s="383">
        <v>306</v>
      </c>
      <c r="O320" s="383">
        <v>974952</v>
      </c>
      <c r="P320" s="386">
        <v>0</v>
      </c>
      <c r="Q320" s="383">
        <v>0</v>
      </c>
      <c r="R320" s="386">
        <v>0</v>
      </c>
      <c r="S320" s="383">
        <v>0</v>
      </c>
      <c r="T320" s="384">
        <v>0</v>
      </c>
      <c r="U320" s="387">
        <v>0</v>
      </c>
      <c r="V320" s="241"/>
      <c r="W320" s="241">
        <f>O320/N320</f>
        <v>3186.1176470588234</v>
      </c>
      <c r="X320" s="241"/>
    </row>
    <row r="321" spans="1:26" ht="15.75">
      <c r="A321" s="374">
        <v>276</v>
      </c>
      <c r="B321" s="287" t="s">
        <v>873</v>
      </c>
      <c r="C321" s="383">
        <f>'часть 1'!L330</f>
        <v>1143694</v>
      </c>
      <c r="D321" s="383">
        <v>0</v>
      </c>
      <c r="E321" s="383">
        <v>0</v>
      </c>
      <c r="F321" s="383">
        <v>0</v>
      </c>
      <c r="G321" s="383">
        <v>0</v>
      </c>
      <c r="H321" s="383">
        <v>0</v>
      </c>
      <c r="I321" s="383">
        <v>0</v>
      </c>
      <c r="J321" s="383">
        <v>0</v>
      </c>
      <c r="K321" s="383">
        <v>0</v>
      </c>
      <c r="L321" s="384">
        <v>0</v>
      </c>
      <c r="M321" s="383">
        <v>0</v>
      </c>
      <c r="N321" s="383">
        <v>360</v>
      </c>
      <c r="O321" s="383">
        <v>1143694</v>
      </c>
      <c r="P321" s="386">
        <v>0</v>
      </c>
      <c r="Q321" s="383">
        <v>0</v>
      </c>
      <c r="R321" s="386">
        <v>0</v>
      </c>
      <c r="S321" s="383">
        <v>0</v>
      </c>
      <c r="T321" s="384">
        <v>0</v>
      </c>
      <c r="U321" s="387">
        <v>0</v>
      </c>
      <c r="V321" s="241"/>
      <c r="W321" s="241">
        <f>O321/N321</f>
        <v>3176.9277777777779</v>
      </c>
      <c r="X321" s="241"/>
    </row>
    <row r="322" spans="1:26" s="72" customFormat="1">
      <c r="A322" s="166"/>
      <c r="B322" s="182" t="s">
        <v>48</v>
      </c>
      <c r="C322" s="177">
        <v>3947863</v>
      </c>
      <c r="D322" s="177"/>
      <c r="E322" s="177"/>
      <c r="F322" s="177"/>
      <c r="G322" s="177"/>
      <c r="H322" s="177"/>
      <c r="I322" s="177"/>
      <c r="J322" s="177"/>
      <c r="K322" s="177">
        <v>163315</v>
      </c>
      <c r="L322" s="178">
        <v>0</v>
      </c>
      <c r="M322" s="177">
        <v>0</v>
      </c>
      <c r="N322" s="177">
        <v>1314.93</v>
      </c>
      <c r="O322" s="177">
        <v>2673179</v>
      </c>
      <c r="P322" s="179">
        <v>0</v>
      </c>
      <c r="Q322" s="177">
        <v>0</v>
      </c>
      <c r="R322" s="177">
        <v>759.4</v>
      </c>
      <c r="S322" s="177">
        <v>1111369</v>
      </c>
      <c r="T322" s="178">
        <v>0</v>
      </c>
      <c r="U322" s="248">
        <v>0</v>
      </c>
      <c r="V322" s="241"/>
      <c r="W322" s="241"/>
      <c r="X322" s="241"/>
    </row>
    <row r="323" spans="1:26" ht="30">
      <c r="A323" s="374"/>
      <c r="B323" s="382" t="s">
        <v>107</v>
      </c>
      <c r="C323" s="383">
        <f>C324+C325</f>
        <v>3145909</v>
      </c>
      <c r="D323" s="383">
        <f t="shared" ref="D323:V323" si="30">D324+D325</f>
        <v>0</v>
      </c>
      <c r="E323" s="383">
        <f t="shared" si="30"/>
        <v>0</v>
      </c>
      <c r="F323" s="383">
        <f t="shared" si="30"/>
        <v>0</v>
      </c>
      <c r="G323" s="383">
        <f t="shared" si="30"/>
        <v>0</v>
      </c>
      <c r="H323" s="383">
        <f t="shared" si="30"/>
        <v>0</v>
      </c>
      <c r="I323" s="383">
        <f t="shared" si="30"/>
        <v>0</v>
      </c>
      <c r="J323" s="383">
        <f t="shared" si="30"/>
        <v>0</v>
      </c>
      <c r="K323" s="383">
        <f t="shared" si="30"/>
        <v>0</v>
      </c>
      <c r="L323" s="383">
        <f t="shared" si="30"/>
        <v>0</v>
      </c>
      <c r="M323" s="383">
        <f t="shared" si="30"/>
        <v>0</v>
      </c>
      <c r="N323" s="383">
        <f t="shared" si="30"/>
        <v>997.02</v>
      </c>
      <c r="O323" s="383">
        <f t="shared" si="30"/>
        <v>3145909</v>
      </c>
      <c r="P323" s="383">
        <f t="shared" si="30"/>
        <v>0</v>
      </c>
      <c r="Q323" s="383">
        <f t="shared" si="30"/>
        <v>0</v>
      </c>
      <c r="R323" s="383">
        <f t="shared" si="30"/>
        <v>0</v>
      </c>
      <c r="S323" s="383">
        <f t="shared" si="30"/>
        <v>0</v>
      </c>
      <c r="T323" s="383">
        <f t="shared" si="30"/>
        <v>0</v>
      </c>
      <c r="U323" s="383">
        <f t="shared" si="30"/>
        <v>0</v>
      </c>
      <c r="V323" s="383">
        <f t="shared" si="30"/>
        <v>0</v>
      </c>
      <c r="W323" s="241"/>
      <c r="X323" s="241"/>
    </row>
    <row r="324" spans="1:26">
      <c r="A324" s="374">
        <v>277</v>
      </c>
      <c r="B324" s="382" t="s">
        <v>770</v>
      </c>
      <c r="C324" s="383">
        <f>'часть 1'!L333</f>
        <v>1590271</v>
      </c>
      <c r="D324" s="383">
        <v>0</v>
      </c>
      <c r="E324" s="383">
        <v>0</v>
      </c>
      <c r="F324" s="383">
        <v>0</v>
      </c>
      <c r="G324" s="383">
        <v>0</v>
      </c>
      <c r="H324" s="383">
        <v>0</v>
      </c>
      <c r="I324" s="383">
        <v>0</v>
      </c>
      <c r="J324" s="383">
        <v>0</v>
      </c>
      <c r="K324" s="379">
        <v>0</v>
      </c>
      <c r="L324" s="425">
        <v>0</v>
      </c>
      <c r="M324" s="379">
        <v>0</v>
      </c>
      <c r="N324" s="379">
        <v>504</v>
      </c>
      <c r="O324" s="408">
        <v>1590271</v>
      </c>
      <c r="P324" s="502">
        <v>0</v>
      </c>
      <c r="Q324" s="379">
        <v>0</v>
      </c>
      <c r="R324" s="379">
        <v>0</v>
      </c>
      <c r="S324" s="379">
        <v>0</v>
      </c>
      <c r="T324" s="425">
        <v>0</v>
      </c>
      <c r="U324" s="426">
        <v>0</v>
      </c>
      <c r="V324" s="241"/>
      <c r="W324" s="241">
        <f>O324/N324</f>
        <v>3155.2996031746034</v>
      </c>
      <c r="X324" s="241"/>
      <c r="Y324" s="20"/>
      <c r="Z324" s="20"/>
    </row>
    <row r="325" spans="1:26">
      <c r="A325" s="374">
        <v>278</v>
      </c>
      <c r="B325" s="382" t="s">
        <v>771</v>
      </c>
      <c r="C325" s="383">
        <f>'часть 1'!L334</f>
        <v>1555638</v>
      </c>
      <c r="D325" s="383">
        <v>0</v>
      </c>
      <c r="E325" s="383">
        <v>0</v>
      </c>
      <c r="F325" s="383">
        <v>0</v>
      </c>
      <c r="G325" s="383">
        <v>0</v>
      </c>
      <c r="H325" s="383">
        <v>0</v>
      </c>
      <c r="I325" s="383">
        <v>0</v>
      </c>
      <c r="J325" s="383">
        <v>0</v>
      </c>
      <c r="K325" s="379">
        <v>0</v>
      </c>
      <c r="L325" s="384">
        <v>0</v>
      </c>
      <c r="M325" s="383">
        <v>0</v>
      </c>
      <c r="N325" s="379">
        <v>493.02</v>
      </c>
      <c r="O325" s="408">
        <v>1555638</v>
      </c>
      <c r="P325" s="386">
        <v>0</v>
      </c>
      <c r="Q325" s="383">
        <v>0</v>
      </c>
      <c r="R325" s="379">
        <v>0</v>
      </c>
      <c r="S325" s="379">
        <v>0</v>
      </c>
      <c r="T325" s="384">
        <v>0</v>
      </c>
      <c r="U325" s="387">
        <v>0</v>
      </c>
      <c r="V325" s="241"/>
      <c r="W325" s="241">
        <f>O325/N325</f>
        <v>3155.3243276134845</v>
      </c>
      <c r="X325" s="241"/>
      <c r="Y325" s="20"/>
      <c r="Z325" s="20"/>
    </row>
    <row r="326" spans="1:26" ht="30">
      <c r="A326" s="166"/>
      <c r="B326" s="180" t="s">
        <v>104</v>
      </c>
      <c r="C326" s="177">
        <v>553839</v>
      </c>
      <c r="D326" s="177"/>
      <c r="E326" s="177"/>
      <c r="F326" s="177"/>
      <c r="G326" s="177"/>
      <c r="H326" s="177"/>
      <c r="I326" s="177"/>
      <c r="J326" s="177"/>
      <c r="K326" s="177">
        <v>0</v>
      </c>
      <c r="L326" s="178">
        <v>0</v>
      </c>
      <c r="M326" s="177">
        <v>0</v>
      </c>
      <c r="N326" s="177">
        <v>270.93</v>
      </c>
      <c r="O326" s="177">
        <v>553839</v>
      </c>
      <c r="P326" s="179">
        <v>0</v>
      </c>
      <c r="Q326" s="177">
        <v>0</v>
      </c>
      <c r="R326" s="179">
        <v>0</v>
      </c>
      <c r="S326" s="177">
        <v>0</v>
      </c>
      <c r="T326" s="178">
        <v>0</v>
      </c>
      <c r="U326" s="248">
        <v>0</v>
      </c>
      <c r="V326" s="241"/>
      <c r="W326" s="241"/>
      <c r="X326" s="241"/>
    </row>
    <row r="327" spans="1:26" ht="30">
      <c r="A327" s="166">
        <v>280</v>
      </c>
      <c r="B327" s="180" t="s">
        <v>452</v>
      </c>
      <c r="C327" s="177">
        <v>553839</v>
      </c>
      <c r="D327" s="177"/>
      <c r="E327" s="177"/>
      <c r="F327" s="177"/>
      <c r="G327" s="177"/>
      <c r="H327" s="177"/>
      <c r="I327" s="177"/>
      <c r="J327" s="177"/>
      <c r="K327" s="177">
        <v>0</v>
      </c>
      <c r="L327" s="178">
        <v>0</v>
      </c>
      <c r="M327" s="177">
        <v>0</v>
      </c>
      <c r="N327" s="167">
        <v>270.93</v>
      </c>
      <c r="O327" s="177">
        <v>553839</v>
      </c>
      <c r="P327" s="179">
        <v>0</v>
      </c>
      <c r="Q327" s="177">
        <v>0</v>
      </c>
      <c r="R327" s="179">
        <v>0</v>
      </c>
      <c r="S327" s="177">
        <v>0</v>
      </c>
      <c r="T327" s="178">
        <v>0</v>
      </c>
      <c r="U327" s="248">
        <v>0</v>
      </c>
      <c r="V327" s="241"/>
      <c r="W327" s="241"/>
      <c r="X327" s="241"/>
    </row>
    <row r="328" spans="1:26">
      <c r="A328" s="166"/>
      <c r="B328" s="182" t="s">
        <v>49</v>
      </c>
      <c r="C328" s="177">
        <v>8949722</v>
      </c>
      <c r="D328" s="177"/>
      <c r="E328" s="177"/>
      <c r="F328" s="177"/>
      <c r="G328" s="177"/>
      <c r="H328" s="177"/>
      <c r="I328" s="177"/>
      <c r="J328" s="177"/>
      <c r="K328" s="177">
        <v>0</v>
      </c>
      <c r="L328" s="178">
        <v>0</v>
      </c>
      <c r="M328" s="177">
        <v>0</v>
      </c>
      <c r="N328" s="177">
        <v>3313.5</v>
      </c>
      <c r="O328" s="177">
        <v>6652861</v>
      </c>
      <c r="P328" s="179">
        <v>0</v>
      </c>
      <c r="Q328" s="177">
        <v>0</v>
      </c>
      <c r="R328" s="177">
        <v>1589</v>
      </c>
      <c r="S328" s="177">
        <v>2296861</v>
      </c>
      <c r="T328" s="178">
        <v>0</v>
      </c>
      <c r="U328" s="248">
        <v>0</v>
      </c>
      <c r="V328" s="241"/>
      <c r="W328" s="241"/>
      <c r="X328" s="241"/>
    </row>
    <row r="329" spans="1:26" ht="30">
      <c r="A329" s="166"/>
      <c r="B329" s="180" t="s">
        <v>105</v>
      </c>
      <c r="C329" s="177">
        <f>C330</f>
        <v>1505603</v>
      </c>
      <c r="D329" s="177">
        <f t="shared" ref="D329:U329" si="31">D330</f>
        <v>0</v>
      </c>
      <c r="E329" s="177">
        <f t="shared" si="31"/>
        <v>0</v>
      </c>
      <c r="F329" s="177">
        <f t="shared" si="31"/>
        <v>0</v>
      </c>
      <c r="G329" s="177">
        <f t="shared" si="31"/>
        <v>0</v>
      </c>
      <c r="H329" s="177">
        <f t="shared" si="31"/>
        <v>0</v>
      </c>
      <c r="I329" s="177">
        <f t="shared" si="31"/>
        <v>0</v>
      </c>
      <c r="J329" s="177">
        <f t="shared" si="31"/>
        <v>0</v>
      </c>
      <c r="K329" s="177">
        <f t="shared" si="31"/>
        <v>0</v>
      </c>
      <c r="L329" s="177">
        <f t="shared" si="31"/>
        <v>0</v>
      </c>
      <c r="M329" s="177">
        <f t="shared" si="31"/>
        <v>0</v>
      </c>
      <c r="N329" s="177">
        <f t="shared" si="31"/>
        <v>476.3</v>
      </c>
      <c r="O329" s="177">
        <f t="shared" si="31"/>
        <v>1505603</v>
      </c>
      <c r="P329" s="177">
        <f t="shared" si="31"/>
        <v>0</v>
      </c>
      <c r="Q329" s="177">
        <f t="shared" si="31"/>
        <v>0</v>
      </c>
      <c r="R329" s="177">
        <f t="shared" si="31"/>
        <v>0</v>
      </c>
      <c r="S329" s="177">
        <f t="shared" si="31"/>
        <v>0</v>
      </c>
      <c r="T329" s="177">
        <f t="shared" si="31"/>
        <v>0</v>
      </c>
      <c r="U329" s="177">
        <f t="shared" si="31"/>
        <v>0</v>
      </c>
      <c r="V329" s="241"/>
      <c r="W329" s="241"/>
      <c r="X329" s="241"/>
    </row>
    <row r="330" spans="1:26" s="14" customFormat="1">
      <c r="A330" s="374">
        <v>281</v>
      </c>
      <c r="B330" s="405" t="s">
        <v>481</v>
      </c>
      <c r="C330" s="383">
        <v>1505603</v>
      </c>
      <c r="D330" s="383">
        <v>0</v>
      </c>
      <c r="E330" s="383">
        <v>0</v>
      </c>
      <c r="F330" s="383">
        <v>0</v>
      </c>
      <c r="G330" s="383">
        <v>0</v>
      </c>
      <c r="H330" s="383">
        <v>0</v>
      </c>
      <c r="I330" s="383">
        <v>0</v>
      </c>
      <c r="J330" s="383">
        <v>0</v>
      </c>
      <c r="K330" s="383">
        <v>0</v>
      </c>
      <c r="L330" s="384">
        <v>0</v>
      </c>
      <c r="M330" s="383">
        <v>0</v>
      </c>
      <c r="N330" s="383">
        <v>476.3</v>
      </c>
      <c r="O330" s="383">
        <v>1505603</v>
      </c>
      <c r="P330" s="386">
        <v>0</v>
      </c>
      <c r="Q330" s="383">
        <v>0</v>
      </c>
      <c r="R330" s="386">
        <v>0</v>
      </c>
      <c r="S330" s="383">
        <v>0</v>
      </c>
      <c r="T330" s="384">
        <v>0</v>
      </c>
      <c r="U330" s="387">
        <v>0</v>
      </c>
      <c r="V330" s="241"/>
      <c r="W330" s="241">
        <f>O330/N330</f>
        <v>3161.039260969977</v>
      </c>
      <c r="X330" s="241"/>
    </row>
    <row r="331" spans="1:26" s="14" customFormat="1" ht="30">
      <c r="A331" s="162"/>
      <c r="B331" s="180" t="s">
        <v>985</v>
      </c>
      <c r="C331" s="177">
        <f>C332+C333</f>
        <v>7561422.5999999996</v>
      </c>
      <c r="D331" s="177">
        <f t="shared" ref="D331:V331" si="32">D332+D333</f>
        <v>0</v>
      </c>
      <c r="E331" s="177">
        <f t="shared" si="32"/>
        <v>0</v>
      </c>
      <c r="F331" s="177">
        <f t="shared" si="32"/>
        <v>0</v>
      </c>
      <c r="G331" s="177">
        <f t="shared" si="32"/>
        <v>0</v>
      </c>
      <c r="H331" s="177">
        <f t="shared" si="32"/>
        <v>0</v>
      </c>
      <c r="I331" s="177">
        <f t="shared" si="32"/>
        <v>0</v>
      </c>
      <c r="J331" s="177">
        <f t="shared" si="32"/>
        <v>0</v>
      </c>
      <c r="K331" s="177">
        <f t="shared" si="32"/>
        <v>0</v>
      </c>
      <c r="L331" s="177">
        <f t="shared" si="32"/>
        <v>0</v>
      </c>
      <c r="M331" s="177">
        <f t="shared" si="32"/>
        <v>0</v>
      </c>
      <c r="N331" s="177">
        <f t="shared" si="32"/>
        <v>1800</v>
      </c>
      <c r="O331" s="177">
        <f t="shared" si="32"/>
        <v>5463000</v>
      </c>
      <c r="P331" s="177">
        <f t="shared" si="32"/>
        <v>0</v>
      </c>
      <c r="Q331" s="177">
        <f t="shared" si="32"/>
        <v>0</v>
      </c>
      <c r="R331" s="177">
        <f t="shared" si="32"/>
        <v>1444.2</v>
      </c>
      <c r="S331" s="177">
        <f t="shared" si="32"/>
        <v>2098422</v>
      </c>
      <c r="T331" s="177">
        <f t="shared" si="32"/>
        <v>0</v>
      </c>
      <c r="U331" s="177">
        <f t="shared" si="32"/>
        <v>0</v>
      </c>
      <c r="V331" s="177">
        <f t="shared" si="32"/>
        <v>0</v>
      </c>
      <c r="W331" s="241"/>
      <c r="X331" s="241"/>
    </row>
    <row r="332" spans="1:26" s="14" customFormat="1" ht="19.899999999999999" customHeight="1">
      <c r="A332" s="162"/>
      <c r="B332" s="226" t="s">
        <v>986</v>
      </c>
      <c r="C332" s="177">
        <f>'часть 1'!L342</f>
        <v>3779403.6</v>
      </c>
      <c r="D332" s="177">
        <v>0</v>
      </c>
      <c r="E332" s="177">
        <v>0</v>
      </c>
      <c r="F332" s="177">
        <v>0</v>
      </c>
      <c r="G332" s="177">
        <v>0</v>
      </c>
      <c r="H332" s="177">
        <v>0</v>
      </c>
      <c r="I332" s="177">
        <v>0</v>
      </c>
      <c r="J332" s="177">
        <v>0</v>
      </c>
      <c r="K332" s="177">
        <v>0</v>
      </c>
      <c r="L332" s="178">
        <v>0</v>
      </c>
      <c r="M332" s="177">
        <v>0</v>
      </c>
      <c r="N332" s="177">
        <v>900</v>
      </c>
      <c r="O332" s="177">
        <v>2731500</v>
      </c>
      <c r="P332" s="179">
        <v>0</v>
      </c>
      <c r="Q332" s="177">
        <v>0</v>
      </c>
      <c r="R332" s="179">
        <v>721.2</v>
      </c>
      <c r="S332" s="177">
        <v>1047903</v>
      </c>
      <c r="T332" s="178">
        <v>0</v>
      </c>
      <c r="U332" s="248">
        <v>0</v>
      </c>
      <c r="V332" s="241"/>
      <c r="W332" s="241">
        <f>O332/N332</f>
        <v>3035</v>
      </c>
      <c r="X332" s="241">
        <f>S332/R332</f>
        <v>1452.9991680532446</v>
      </c>
    </row>
    <row r="333" spans="1:26" s="14" customFormat="1" ht="24" customHeight="1">
      <c r="A333" s="162"/>
      <c r="B333" s="226" t="s">
        <v>987</v>
      </c>
      <c r="C333" s="177">
        <f>'часть 1'!L343</f>
        <v>3782019</v>
      </c>
      <c r="D333" s="177">
        <v>0</v>
      </c>
      <c r="E333" s="177">
        <v>0</v>
      </c>
      <c r="F333" s="177">
        <v>0</v>
      </c>
      <c r="G333" s="177">
        <v>0</v>
      </c>
      <c r="H333" s="177">
        <v>0</v>
      </c>
      <c r="I333" s="177">
        <v>0</v>
      </c>
      <c r="J333" s="177">
        <v>0</v>
      </c>
      <c r="K333" s="177">
        <v>0</v>
      </c>
      <c r="L333" s="178">
        <v>0</v>
      </c>
      <c r="M333" s="177">
        <v>0</v>
      </c>
      <c r="N333" s="177">
        <v>900</v>
      </c>
      <c r="O333" s="177">
        <v>2731500</v>
      </c>
      <c r="P333" s="179">
        <v>0</v>
      </c>
      <c r="Q333" s="177">
        <v>0</v>
      </c>
      <c r="R333" s="179">
        <v>723</v>
      </c>
      <c r="S333" s="177">
        <v>1050519</v>
      </c>
      <c r="T333" s="178">
        <v>0</v>
      </c>
      <c r="U333" s="248">
        <v>0</v>
      </c>
      <c r="V333" s="241"/>
      <c r="W333" s="241">
        <f>O333/N333</f>
        <v>3035</v>
      </c>
      <c r="X333" s="241">
        <f>S333/R333</f>
        <v>1453</v>
      </c>
    </row>
    <row r="334" spans="1:26" s="14" customFormat="1" ht="30">
      <c r="A334" s="166"/>
      <c r="B334" s="180" t="s">
        <v>188</v>
      </c>
      <c r="C334" s="177">
        <v>1905804</v>
      </c>
      <c r="D334" s="177"/>
      <c r="E334" s="177"/>
      <c r="F334" s="177"/>
      <c r="G334" s="177"/>
      <c r="H334" s="177"/>
      <c r="I334" s="177"/>
      <c r="J334" s="177"/>
      <c r="K334" s="177">
        <v>0</v>
      </c>
      <c r="L334" s="178">
        <v>0</v>
      </c>
      <c r="M334" s="177">
        <v>0</v>
      </c>
      <c r="N334" s="177">
        <v>968.7</v>
      </c>
      <c r="O334" s="177">
        <v>1905804</v>
      </c>
      <c r="P334" s="179">
        <v>0</v>
      </c>
      <c r="Q334" s="177">
        <v>0</v>
      </c>
      <c r="R334" s="179">
        <v>0</v>
      </c>
      <c r="S334" s="177">
        <v>0</v>
      </c>
      <c r="T334" s="178">
        <v>0</v>
      </c>
      <c r="U334" s="248">
        <v>0</v>
      </c>
      <c r="V334" s="241"/>
      <c r="W334" s="241"/>
      <c r="X334" s="241"/>
    </row>
    <row r="335" spans="1:26" s="14" customFormat="1">
      <c r="A335" s="166">
        <v>283</v>
      </c>
      <c r="B335" s="180" t="s">
        <v>410</v>
      </c>
      <c r="C335" s="177">
        <v>958459</v>
      </c>
      <c r="D335" s="177"/>
      <c r="E335" s="177"/>
      <c r="F335" s="177"/>
      <c r="G335" s="177"/>
      <c r="H335" s="177"/>
      <c r="I335" s="177"/>
      <c r="J335" s="177"/>
      <c r="K335" s="177">
        <v>0</v>
      </c>
      <c r="L335" s="178">
        <v>0</v>
      </c>
      <c r="M335" s="177">
        <v>0</v>
      </c>
      <c r="N335" s="177">
        <v>487.2</v>
      </c>
      <c r="O335" s="177">
        <v>958459</v>
      </c>
      <c r="P335" s="179">
        <v>0</v>
      </c>
      <c r="Q335" s="177">
        <v>0</v>
      </c>
      <c r="R335" s="179">
        <v>0</v>
      </c>
      <c r="S335" s="177">
        <v>0</v>
      </c>
      <c r="T335" s="178">
        <v>0</v>
      </c>
      <c r="U335" s="248">
        <v>0</v>
      </c>
      <c r="V335" s="241"/>
      <c r="W335" s="241"/>
      <c r="X335" s="241"/>
    </row>
    <row r="336" spans="1:26" s="14" customFormat="1">
      <c r="A336" s="166">
        <v>284</v>
      </c>
      <c r="B336" s="180" t="s">
        <v>411</v>
      </c>
      <c r="C336" s="177">
        <v>947345</v>
      </c>
      <c r="D336" s="177"/>
      <c r="E336" s="177"/>
      <c r="F336" s="177"/>
      <c r="G336" s="177"/>
      <c r="H336" s="177"/>
      <c r="I336" s="177"/>
      <c r="J336" s="177"/>
      <c r="K336" s="177">
        <v>0</v>
      </c>
      <c r="L336" s="178">
        <v>0</v>
      </c>
      <c r="M336" s="177">
        <v>0</v>
      </c>
      <c r="N336" s="177">
        <v>481.5</v>
      </c>
      <c r="O336" s="177">
        <v>947345</v>
      </c>
      <c r="P336" s="179">
        <v>0</v>
      </c>
      <c r="Q336" s="177">
        <v>0</v>
      </c>
      <c r="R336" s="179">
        <v>0</v>
      </c>
      <c r="S336" s="177">
        <v>0</v>
      </c>
      <c r="T336" s="178">
        <v>0</v>
      </c>
      <c r="U336" s="248">
        <v>0</v>
      </c>
      <c r="V336" s="241"/>
      <c r="W336" s="241"/>
      <c r="X336" s="241"/>
    </row>
    <row r="337" spans="1:24" s="14" customFormat="1" ht="30">
      <c r="A337" s="166"/>
      <c r="B337" s="180" t="s">
        <v>189</v>
      </c>
      <c r="C337" s="177">
        <v>820660</v>
      </c>
      <c r="D337" s="177"/>
      <c r="E337" s="177"/>
      <c r="F337" s="177"/>
      <c r="G337" s="177"/>
      <c r="H337" s="177"/>
      <c r="I337" s="177"/>
      <c r="J337" s="177"/>
      <c r="K337" s="177">
        <v>0</v>
      </c>
      <c r="L337" s="178">
        <v>0</v>
      </c>
      <c r="M337" s="177">
        <v>0</v>
      </c>
      <c r="N337" s="177">
        <v>406.8</v>
      </c>
      <c r="O337" s="177">
        <v>820660</v>
      </c>
      <c r="P337" s="179">
        <v>0</v>
      </c>
      <c r="Q337" s="177">
        <v>0</v>
      </c>
      <c r="R337" s="179">
        <v>0</v>
      </c>
      <c r="S337" s="177">
        <v>0</v>
      </c>
      <c r="T337" s="178">
        <v>0</v>
      </c>
      <c r="U337" s="248">
        <v>0</v>
      </c>
      <c r="V337" s="241"/>
      <c r="W337" s="241"/>
      <c r="X337" s="241"/>
    </row>
    <row r="338" spans="1:24" s="14" customFormat="1">
      <c r="A338" s="166">
        <v>285</v>
      </c>
      <c r="B338" s="180" t="s">
        <v>412</v>
      </c>
      <c r="C338" s="177">
        <v>820660</v>
      </c>
      <c r="D338" s="177"/>
      <c r="E338" s="177"/>
      <c r="F338" s="177"/>
      <c r="G338" s="177"/>
      <c r="H338" s="177"/>
      <c r="I338" s="177"/>
      <c r="J338" s="177"/>
      <c r="K338" s="177">
        <v>0</v>
      </c>
      <c r="L338" s="178">
        <v>0</v>
      </c>
      <c r="M338" s="177">
        <v>0</v>
      </c>
      <c r="N338" s="177">
        <v>406.8</v>
      </c>
      <c r="O338" s="177">
        <v>820660</v>
      </c>
      <c r="P338" s="179">
        <v>0</v>
      </c>
      <c r="Q338" s="177">
        <v>0</v>
      </c>
      <c r="R338" s="179">
        <v>0</v>
      </c>
      <c r="S338" s="177">
        <v>0</v>
      </c>
      <c r="T338" s="178">
        <v>0</v>
      </c>
      <c r="U338" s="248">
        <v>0</v>
      </c>
      <c r="V338" s="241"/>
      <c r="W338" s="241"/>
      <c r="X338" s="241"/>
    </row>
    <row r="339" spans="1:24" s="14" customFormat="1" ht="30">
      <c r="A339" s="166"/>
      <c r="B339" s="180" t="s">
        <v>131</v>
      </c>
      <c r="C339" s="177">
        <f>C340</f>
        <v>2888385</v>
      </c>
      <c r="D339" s="177">
        <f t="shared" ref="D339:U339" si="33">D340</f>
        <v>0</v>
      </c>
      <c r="E339" s="177">
        <f t="shared" si="33"/>
        <v>0</v>
      </c>
      <c r="F339" s="177">
        <f t="shared" si="33"/>
        <v>0</v>
      </c>
      <c r="G339" s="177">
        <f t="shared" si="33"/>
        <v>0</v>
      </c>
      <c r="H339" s="177">
        <f t="shared" si="33"/>
        <v>0</v>
      </c>
      <c r="I339" s="177">
        <f t="shared" si="33"/>
        <v>0</v>
      </c>
      <c r="J339" s="177">
        <f t="shared" si="33"/>
        <v>0</v>
      </c>
      <c r="K339" s="177">
        <f t="shared" si="33"/>
        <v>0</v>
      </c>
      <c r="L339" s="177">
        <f t="shared" si="33"/>
        <v>0</v>
      </c>
      <c r="M339" s="177">
        <f t="shared" si="33"/>
        <v>0</v>
      </c>
      <c r="N339" s="177">
        <f t="shared" si="33"/>
        <v>1205</v>
      </c>
      <c r="O339" s="177">
        <f t="shared" si="33"/>
        <v>2888285</v>
      </c>
      <c r="P339" s="177">
        <f t="shared" si="33"/>
        <v>0</v>
      </c>
      <c r="Q339" s="177">
        <f t="shared" si="33"/>
        <v>0</v>
      </c>
      <c r="R339" s="177">
        <f t="shared" si="33"/>
        <v>0</v>
      </c>
      <c r="S339" s="177">
        <f t="shared" si="33"/>
        <v>0</v>
      </c>
      <c r="T339" s="177">
        <f t="shared" si="33"/>
        <v>0</v>
      </c>
      <c r="U339" s="177">
        <f t="shared" si="33"/>
        <v>0</v>
      </c>
      <c r="V339" s="241"/>
      <c r="W339" s="241"/>
      <c r="X339" s="241"/>
    </row>
    <row r="340" spans="1:24" s="14" customFormat="1" ht="23.45" customHeight="1">
      <c r="A340" s="166">
        <v>286</v>
      </c>
      <c r="B340" s="180" t="s">
        <v>659</v>
      </c>
      <c r="C340" s="177">
        <v>2888385</v>
      </c>
      <c r="D340" s="177">
        <v>0</v>
      </c>
      <c r="E340" s="177">
        <v>0</v>
      </c>
      <c r="F340" s="177">
        <v>0</v>
      </c>
      <c r="G340" s="177">
        <v>0</v>
      </c>
      <c r="H340" s="177">
        <v>0</v>
      </c>
      <c r="I340" s="177">
        <v>0</v>
      </c>
      <c r="J340" s="177">
        <v>0</v>
      </c>
      <c r="K340" s="177">
        <v>0</v>
      </c>
      <c r="L340" s="178">
        <v>0</v>
      </c>
      <c r="M340" s="177">
        <v>0</v>
      </c>
      <c r="N340" s="199">
        <v>1205</v>
      </c>
      <c r="O340" s="177">
        <v>2888285</v>
      </c>
      <c r="P340" s="179">
        <v>0</v>
      </c>
      <c r="Q340" s="177">
        <v>0</v>
      </c>
      <c r="R340" s="179">
        <v>0</v>
      </c>
      <c r="S340" s="177">
        <v>0</v>
      </c>
      <c r="T340" s="178">
        <v>0</v>
      </c>
      <c r="U340" s="248">
        <v>0</v>
      </c>
      <c r="V340" s="241"/>
      <c r="W340" s="241">
        <f>O340/N340</f>
        <v>2396.9170124481329</v>
      </c>
      <c r="X340" s="241"/>
    </row>
    <row r="341" spans="1:24" s="14" customFormat="1">
      <c r="A341" s="166"/>
      <c r="B341" s="180"/>
      <c r="C341" s="177"/>
      <c r="D341" s="177"/>
      <c r="E341" s="177"/>
      <c r="F341" s="177"/>
      <c r="G341" s="177"/>
      <c r="H341" s="177"/>
      <c r="I341" s="177"/>
      <c r="J341" s="177"/>
      <c r="K341" s="177"/>
      <c r="L341" s="178"/>
      <c r="M341" s="177"/>
      <c r="N341" s="177"/>
      <c r="O341" s="177"/>
      <c r="P341" s="179"/>
      <c r="Q341" s="177"/>
      <c r="R341" s="181"/>
      <c r="S341" s="177"/>
      <c r="T341" s="178"/>
      <c r="U341" s="248"/>
      <c r="V341" s="241"/>
      <c r="W341" s="241"/>
      <c r="X341" s="241"/>
    </row>
    <row r="342" spans="1:24">
      <c r="A342" s="166"/>
      <c r="B342" s="182" t="s">
        <v>50</v>
      </c>
      <c r="C342" s="177">
        <f>C343</f>
        <v>14213854</v>
      </c>
      <c r="D342" s="177">
        <f t="shared" ref="D342:U342" si="34">D343</f>
        <v>0</v>
      </c>
      <c r="E342" s="177">
        <f t="shared" si="34"/>
        <v>0</v>
      </c>
      <c r="F342" s="177">
        <f t="shared" si="34"/>
        <v>0</v>
      </c>
      <c r="G342" s="177">
        <f t="shared" si="34"/>
        <v>0</v>
      </c>
      <c r="H342" s="177">
        <f t="shared" si="34"/>
        <v>0</v>
      </c>
      <c r="I342" s="177">
        <f t="shared" si="34"/>
        <v>0</v>
      </c>
      <c r="J342" s="177">
        <f t="shared" si="34"/>
        <v>0</v>
      </c>
      <c r="K342" s="177">
        <f t="shared" si="34"/>
        <v>0</v>
      </c>
      <c r="L342" s="177">
        <f t="shared" si="34"/>
        <v>0</v>
      </c>
      <c r="M342" s="177">
        <f t="shared" si="34"/>
        <v>0</v>
      </c>
      <c r="N342" s="177">
        <f t="shared" si="34"/>
        <v>4604</v>
      </c>
      <c r="O342" s="177">
        <f t="shared" si="34"/>
        <v>14213854</v>
      </c>
      <c r="P342" s="177">
        <f t="shared" si="34"/>
        <v>0</v>
      </c>
      <c r="Q342" s="177">
        <f t="shared" si="34"/>
        <v>0</v>
      </c>
      <c r="R342" s="177">
        <f t="shared" si="34"/>
        <v>0</v>
      </c>
      <c r="S342" s="177">
        <f t="shared" si="34"/>
        <v>0</v>
      </c>
      <c r="T342" s="177">
        <f t="shared" si="34"/>
        <v>0</v>
      </c>
      <c r="U342" s="177">
        <f t="shared" si="34"/>
        <v>0</v>
      </c>
      <c r="V342" s="241"/>
      <c r="W342" s="241"/>
      <c r="X342" s="241"/>
    </row>
    <row r="343" spans="1:24" ht="30">
      <c r="A343" s="166"/>
      <c r="B343" s="180" t="s">
        <v>106</v>
      </c>
      <c r="C343" s="177">
        <f>C344+C345+C346+C347+C348+C349+C350+C351+C352</f>
        <v>14213854</v>
      </c>
      <c r="D343" s="177">
        <f t="shared" ref="D343:U343" si="35">D344+D345+D346+D347+D348+D349+D350+D351+D352</f>
        <v>0</v>
      </c>
      <c r="E343" s="177">
        <f t="shared" si="35"/>
        <v>0</v>
      </c>
      <c r="F343" s="177">
        <f t="shared" si="35"/>
        <v>0</v>
      </c>
      <c r="G343" s="177">
        <f t="shared" si="35"/>
        <v>0</v>
      </c>
      <c r="H343" s="177">
        <f t="shared" si="35"/>
        <v>0</v>
      </c>
      <c r="I343" s="177">
        <f t="shared" si="35"/>
        <v>0</v>
      </c>
      <c r="J343" s="177">
        <f t="shared" si="35"/>
        <v>0</v>
      </c>
      <c r="K343" s="177">
        <f t="shared" si="35"/>
        <v>0</v>
      </c>
      <c r="L343" s="177">
        <f t="shared" si="35"/>
        <v>0</v>
      </c>
      <c r="M343" s="177">
        <f t="shared" si="35"/>
        <v>0</v>
      </c>
      <c r="N343" s="177">
        <f t="shared" si="35"/>
        <v>4604</v>
      </c>
      <c r="O343" s="177">
        <f t="shared" si="35"/>
        <v>14213854</v>
      </c>
      <c r="P343" s="177">
        <f t="shared" si="35"/>
        <v>0</v>
      </c>
      <c r="Q343" s="177">
        <f t="shared" si="35"/>
        <v>0</v>
      </c>
      <c r="R343" s="177">
        <f t="shared" si="35"/>
        <v>0</v>
      </c>
      <c r="S343" s="177">
        <f t="shared" si="35"/>
        <v>0</v>
      </c>
      <c r="T343" s="177">
        <f t="shared" si="35"/>
        <v>0</v>
      </c>
      <c r="U343" s="177">
        <f t="shared" si="35"/>
        <v>0</v>
      </c>
      <c r="V343" s="241"/>
      <c r="W343" s="241"/>
      <c r="X343" s="241"/>
    </row>
    <row r="344" spans="1:24" ht="15.75">
      <c r="A344" s="166">
        <v>288</v>
      </c>
      <c r="B344" s="137" t="s">
        <v>836</v>
      </c>
      <c r="C344" s="177">
        <f>'часть 1'!L354</f>
        <v>1666855</v>
      </c>
      <c r="D344" s="177">
        <v>0</v>
      </c>
      <c r="E344" s="177">
        <v>0</v>
      </c>
      <c r="F344" s="177">
        <v>0</v>
      </c>
      <c r="G344" s="177">
        <v>0</v>
      </c>
      <c r="H344" s="177">
        <v>0</v>
      </c>
      <c r="I344" s="177">
        <v>0</v>
      </c>
      <c r="J344" s="177">
        <v>0</v>
      </c>
      <c r="K344" s="177">
        <v>0</v>
      </c>
      <c r="L344" s="178">
        <v>0</v>
      </c>
      <c r="M344" s="177">
        <v>0</v>
      </c>
      <c r="N344" s="200">
        <v>528.6</v>
      </c>
      <c r="O344" s="177">
        <v>1666855</v>
      </c>
      <c r="P344" s="179">
        <v>0</v>
      </c>
      <c r="Q344" s="177">
        <v>0</v>
      </c>
      <c r="R344" s="179">
        <v>0</v>
      </c>
      <c r="S344" s="177">
        <v>0</v>
      </c>
      <c r="T344" s="178">
        <v>0</v>
      </c>
      <c r="U344" s="248">
        <v>0</v>
      </c>
      <c r="V344" s="241"/>
      <c r="W344" s="241">
        <f>O344/N344</f>
        <v>3153.3390087022321</v>
      </c>
      <c r="X344" s="241"/>
    </row>
    <row r="345" spans="1:24" ht="15.75">
      <c r="A345" s="166">
        <v>289</v>
      </c>
      <c r="B345" s="137" t="s">
        <v>837</v>
      </c>
      <c r="C345" s="177">
        <f>'часть 1'!L355</f>
        <v>2505131</v>
      </c>
      <c r="D345" s="177">
        <v>0</v>
      </c>
      <c r="E345" s="177">
        <v>0</v>
      </c>
      <c r="F345" s="177">
        <v>0</v>
      </c>
      <c r="G345" s="177">
        <v>0</v>
      </c>
      <c r="H345" s="177">
        <v>0</v>
      </c>
      <c r="I345" s="177">
        <v>0</v>
      </c>
      <c r="J345" s="177">
        <v>0</v>
      </c>
      <c r="K345" s="177">
        <v>0</v>
      </c>
      <c r="L345" s="178">
        <v>0</v>
      </c>
      <c r="M345" s="177">
        <v>0</v>
      </c>
      <c r="N345" s="200">
        <v>798</v>
      </c>
      <c r="O345" s="177">
        <v>2505131</v>
      </c>
      <c r="P345" s="179">
        <v>0</v>
      </c>
      <c r="Q345" s="177">
        <v>0</v>
      </c>
      <c r="R345" s="179">
        <v>0</v>
      </c>
      <c r="S345" s="177">
        <v>0</v>
      </c>
      <c r="T345" s="178">
        <v>0</v>
      </c>
      <c r="U345" s="248">
        <v>0</v>
      </c>
      <c r="V345" s="241"/>
      <c r="W345" s="241">
        <f t="shared" ref="W345:W352" si="36">O345/N345</f>
        <v>3139.2619047619046</v>
      </c>
      <c r="X345" s="241"/>
    </row>
    <row r="346" spans="1:24" ht="15.75">
      <c r="A346" s="166">
        <v>290</v>
      </c>
      <c r="B346" s="137" t="s">
        <v>838</v>
      </c>
      <c r="C346" s="177">
        <f>'часть 1'!L356</f>
        <v>2532008</v>
      </c>
      <c r="D346" s="177">
        <v>0</v>
      </c>
      <c r="E346" s="177">
        <v>0</v>
      </c>
      <c r="F346" s="177">
        <v>0</v>
      </c>
      <c r="G346" s="177">
        <v>0</v>
      </c>
      <c r="H346" s="177">
        <v>0</v>
      </c>
      <c r="I346" s="177">
        <v>0</v>
      </c>
      <c r="J346" s="177">
        <v>0</v>
      </c>
      <c r="K346" s="177">
        <v>0</v>
      </c>
      <c r="L346" s="178">
        <v>0</v>
      </c>
      <c r="M346" s="177">
        <v>0</v>
      </c>
      <c r="N346" s="200">
        <v>808</v>
      </c>
      <c r="O346" s="177">
        <v>2532008</v>
      </c>
      <c r="P346" s="179">
        <v>0</v>
      </c>
      <c r="Q346" s="177">
        <v>0</v>
      </c>
      <c r="R346" s="179">
        <v>0</v>
      </c>
      <c r="S346" s="177">
        <v>0</v>
      </c>
      <c r="T346" s="178">
        <v>0</v>
      </c>
      <c r="U346" s="248">
        <v>0</v>
      </c>
      <c r="V346" s="241"/>
      <c r="W346" s="241">
        <f t="shared" si="36"/>
        <v>3133.6732673267325</v>
      </c>
      <c r="X346" s="241"/>
    </row>
    <row r="347" spans="1:24" ht="15.75">
      <c r="A347" s="166">
        <v>291</v>
      </c>
      <c r="B347" s="137" t="s">
        <v>839</v>
      </c>
      <c r="C347" s="177">
        <f>'часть 1'!L357</f>
        <v>1684781</v>
      </c>
      <c r="D347" s="177">
        <v>0</v>
      </c>
      <c r="E347" s="177">
        <v>0</v>
      </c>
      <c r="F347" s="177">
        <v>0</v>
      </c>
      <c r="G347" s="177">
        <v>0</v>
      </c>
      <c r="H347" s="177">
        <v>0</v>
      </c>
      <c r="I347" s="177">
        <v>0</v>
      </c>
      <c r="J347" s="177">
        <v>0</v>
      </c>
      <c r="K347" s="177">
        <v>0</v>
      </c>
      <c r="L347" s="178">
        <v>0</v>
      </c>
      <c r="M347" s="177">
        <v>0</v>
      </c>
      <c r="N347" s="200">
        <v>534.4</v>
      </c>
      <c r="O347" s="177">
        <v>1684781</v>
      </c>
      <c r="P347" s="179">
        <v>0</v>
      </c>
      <c r="Q347" s="177">
        <v>0</v>
      </c>
      <c r="R347" s="179">
        <v>0</v>
      </c>
      <c r="S347" s="177">
        <v>0</v>
      </c>
      <c r="T347" s="178">
        <v>0</v>
      </c>
      <c r="U347" s="248">
        <v>0</v>
      </c>
      <c r="V347" s="241"/>
      <c r="W347" s="241">
        <f t="shared" si="36"/>
        <v>3152.6590568862275</v>
      </c>
      <c r="X347" s="241"/>
    </row>
    <row r="348" spans="1:24" ht="15.75">
      <c r="A348" s="166">
        <v>292</v>
      </c>
      <c r="B348" s="137" t="s">
        <v>840</v>
      </c>
      <c r="C348" s="177">
        <f>'часть 1'!L358</f>
        <v>1111881</v>
      </c>
      <c r="D348" s="177">
        <v>0</v>
      </c>
      <c r="E348" s="177">
        <v>0</v>
      </c>
      <c r="F348" s="177">
        <v>0</v>
      </c>
      <c r="G348" s="177">
        <v>0</v>
      </c>
      <c r="H348" s="177">
        <v>0</v>
      </c>
      <c r="I348" s="177">
        <v>0</v>
      </c>
      <c r="J348" s="177">
        <v>0</v>
      </c>
      <c r="K348" s="177">
        <v>0</v>
      </c>
      <c r="L348" s="178">
        <v>0</v>
      </c>
      <c r="M348" s="177">
        <v>0</v>
      </c>
      <c r="N348" s="200">
        <v>350</v>
      </c>
      <c r="O348" s="177">
        <v>1111881</v>
      </c>
      <c r="P348" s="179">
        <v>0</v>
      </c>
      <c r="Q348" s="177">
        <v>0</v>
      </c>
      <c r="R348" s="179">
        <v>0</v>
      </c>
      <c r="S348" s="177">
        <v>0</v>
      </c>
      <c r="T348" s="178">
        <v>0</v>
      </c>
      <c r="U348" s="248">
        <v>0</v>
      </c>
      <c r="V348" s="241"/>
      <c r="W348" s="241">
        <f t="shared" si="36"/>
        <v>3176.8028571428572</v>
      </c>
      <c r="X348" s="241"/>
    </row>
    <row r="349" spans="1:24" ht="15.75">
      <c r="A349" s="166">
        <v>293</v>
      </c>
      <c r="B349" s="137" t="s">
        <v>841</v>
      </c>
      <c r="C349" s="177">
        <f>'часть 1'!L359</f>
        <v>1500589</v>
      </c>
      <c r="D349" s="177">
        <v>0</v>
      </c>
      <c r="E349" s="177">
        <v>0</v>
      </c>
      <c r="F349" s="177">
        <v>0</v>
      </c>
      <c r="G349" s="177">
        <v>0</v>
      </c>
      <c r="H349" s="177">
        <v>0</v>
      </c>
      <c r="I349" s="177">
        <v>0</v>
      </c>
      <c r="J349" s="177">
        <v>0</v>
      </c>
      <c r="K349" s="177">
        <v>0</v>
      </c>
      <c r="L349" s="178">
        <v>0</v>
      </c>
      <c r="M349" s="177">
        <v>0</v>
      </c>
      <c r="N349" s="200">
        <v>475</v>
      </c>
      <c r="O349" s="177">
        <v>1500589</v>
      </c>
      <c r="P349" s="179">
        <v>0</v>
      </c>
      <c r="Q349" s="177">
        <v>0</v>
      </c>
      <c r="R349" s="179">
        <v>0</v>
      </c>
      <c r="S349" s="177">
        <v>0</v>
      </c>
      <c r="T349" s="178">
        <v>0</v>
      </c>
      <c r="U349" s="248">
        <v>0</v>
      </c>
      <c r="V349" s="241"/>
      <c r="W349" s="241">
        <f t="shared" si="36"/>
        <v>3159.1347368421052</v>
      </c>
      <c r="X349" s="241"/>
    </row>
    <row r="350" spans="1:24" ht="15.75">
      <c r="A350" s="166">
        <v>294</v>
      </c>
      <c r="B350" s="137" t="s">
        <v>842</v>
      </c>
      <c r="C350" s="177">
        <f>'часть 1'!L360</f>
        <v>1161775</v>
      </c>
      <c r="D350" s="177">
        <v>0</v>
      </c>
      <c r="E350" s="177">
        <v>0</v>
      </c>
      <c r="F350" s="177">
        <v>0</v>
      </c>
      <c r="G350" s="177">
        <v>0</v>
      </c>
      <c r="H350" s="177">
        <v>0</v>
      </c>
      <c r="I350" s="177">
        <v>0</v>
      </c>
      <c r="J350" s="177">
        <v>0</v>
      </c>
      <c r="K350" s="177">
        <v>0</v>
      </c>
      <c r="L350" s="178">
        <v>0</v>
      </c>
      <c r="M350" s="177">
        <v>0</v>
      </c>
      <c r="N350" s="200">
        <v>465</v>
      </c>
      <c r="O350" s="177">
        <v>1161775</v>
      </c>
      <c r="P350" s="179">
        <v>0</v>
      </c>
      <c r="Q350" s="177">
        <v>0</v>
      </c>
      <c r="R350" s="179">
        <v>0</v>
      </c>
      <c r="S350" s="177">
        <v>0</v>
      </c>
      <c r="T350" s="178">
        <v>0</v>
      </c>
      <c r="U350" s="248">
        <v>0</v>
      </c>
      <c r="V350" s="241"/>
      <c r="W350" s="241">
        <f t="shared" si="36"/>
        <v>2498.4408602150538</v>
      </c>
      <c r="X350" s="241"/>
    </row>
    <row r="351" spans="1:24" ht="15.75">
      <c r="A351" s="166">
        <v>295</v>
      </c>
      <c r="B351" s="137" t="s">
        <v>846</v>
      </c>
      <c r="C351" s="177">
        <f>'часть 1'!L361</f>
        <v>537007</v>
      </c>
      <c r="D351" s="177">
        <v>0</v>
      </c>
      <c r="E351" s="177">
        <v>0</v>
      </c>
      <c r="F351" s="177">
        <v>0</v>
      </c>
      <c r="G351" s="177">
        <v>0</v>
      </c>
      <c r="H351" s="177">
        <v>0</v>
      </c>
      <c r="I351" s="177">
        <v>0</v>
      </c>
      <c r="J351" s="177">
        <v>0</v>
      </c>
      <c r="K351" s="177">
        <v>0</v>
      </c>
      <c r="L351" s="178">
        <v>0</v>
      </c>
      <c r="M351" s="177">
        <v>0</v>
      </c>
      <c r="N351" s="200">
        <v>165</v>
      </c>
      <c r="O351" s="177">
        <v>537007</v>
      </c>
      <c r="P351" s="179">
        <v>0</v>
      </c>
      <c r="Q351" s="177">
        <v>0</v>
      </c>
      <c r="R351" s="179">
        <v>0</v>
      </c>
      <c r="S351" s="177">
        <v>0</v>
      </c>
      <c r="T351" s="178">
        <v>0</v>
      </c>
      <c r="U351" s="248">
        <v>0</v>
      </c>
      <c r="V351" s="241"/>
      <c r="W351" s="241">
        <f t="shared" si="36"/>
        <v>3254.5878787878787</v>
      </c>
      <c r="X351" s="241"/>
    </row>
    <row r="352" spans="1:24" ht="15.75">
      <c r="A352" s="166">
        <v>296</v>
      </c>
      <c r="B352" s="137" t="s">
        <v>845</v>
      </c>
      <c r="C352" s="177">
        <f>'часть 1'!L362</f>
        <v>1513827</v>
      </c>
      <c r="D352" s="177">
        <v>0</v>
      </c>
      <c r="E352" s="177">
        <v>0</v>
      </c>
      <c r="F352" s="177">
        <v>0</v>
      </c>
      <c r="G352" s="177">
        <v>0</v>
      </c>
      <c r="H352" s="177">
        <v>0</v>
      </c>
      <c r="I352" s="177">
        <v>0</v>
      </c>
      <c r="J352" s="177">
        <v>0</v>
      </c>
      <c r="K352" s="177">
        <v>0</v>
      </c>
      <c r="L352" s="178">
        <v>0</v>
      </c>
      <c r="M352" s="177">
        <v>0</v>
      </c>
      <c r="N352" s="200">
        <v>480</v>
      </c>
      <c r="O352" s="177">
        <v>1513827</v>
      </c>
      <c r="P352" s="179">
        <v>0</v>
      </c>
      <c r="Q352" s="177">
        <v>0</v>
      </c>
      <c r="R352" s="179">
        <v>0</v>
      </c>
      <c r="S352" s="177">
        <v>0</v>
      </c>
      <c r="T352" s="178">
        <v>0</v>
      </c>
      <c r="U352" s="248">
        <v>0</v>
      </c>
      <c r="V352" s="241"/>
      <c r="W352" s="241">
        <f t="shared" si="36"/>
        <v>3153.8062500000001</v>
      </c>
      <c r="X352" s="241"/>
    </row>
    <row r="353" spans="1:24">
      <c r="A353" s="166"/>
      <c r="B353" s="182" t="s">
        <v>51</v>
      </c>
      <c r="C353" s="177">
        <v>13321832</v>
      </c>
      <c r="D353" s="177"/>
      <c r="E353" s="177"/>
      <c r="F353" s="177"/>
      <c r="G353" s="177"/>
      <c r="H353" s="177"/>
      <c r="I353" s="177"/>
      <c r="J353" s="177"/>
      <c r="K353" s="177">
        <v>148073</v>
      </c>
      <c r="L353" s="178">
        <v>0</v>
      </c>
      <c r="M353" s="177">
        <v>0</v>
      </c>
      <c r="N353" s="177">
        <v>6258.7000000000007</v>
      </c>
      <c r="O353" s="177">
        <v>12532204</v>
      </c>
      <c r="P353" s="179">
        <v>0</v>
      </c>
      <c r="Q353" s="177">
        <v>0</v>
      </c>
      <c r="R353" s="177">
        <v>440.1</v>
      </c>
      <c r="S353" s="177">
        <v>641555</v>
      </c>
      <c r="T353" s="178">
        <v>0</v>
      </c>
      <c r="U353" s="248">
        <v>0</v>
      </c>
      <c r="V353" s="241"/>
      <c r="W353" s="241"/>
      <c r="X353" s="241"/>
    </row>
    <row r="354" spans="1:24" ht="30">
      <c r="A354" s="166"/>
      <c r="B354" s="180" t="s">
        <v>108</v>
      </c>
      <c r="C354" s="177">
        <f>C355+C356+C357+C358+C359+C360+C361+C362</f>
        <v>11379869</v>
      </c>
      <c r="D354" s="177">
        <f t="shared" ref="D354:U354" si="37">D355+D356+D357+D358+D359+D360+D361+D362</f>
        <v>0</v>
      </c>
      <c r="E354" s="177">
        <f t="shared" si="37"/>
        <v>0</v>
      </c>
      <c r="F354" s="177">
        <f t="shared" si="37"/>
        <v>0</v>
      </c>
      <c r="G354" s="177">
        <f t="shared" si="37"/>
        <v>0</v>
      </c>
      <c r="H354" s="177">
        <f t="shared" si="37"/>
        <v>0</v>
      </c>
      <c r="I354" s="177">
        <f t="shared" si="37"/>
        <v>0</v>
      </c>
      <c r="J354" s="177">
        <f t="shared" si="37"/>
        <v>0</v>
      </c>
      <c r="K354" s="177">
        <f t="shared" si="37"/>
        <v>0</v>
      </c>
      <c r="L354" s="177">
        <f t="shared" si="37"/>
        <v>0</v>
      </c>
      <c r="M354" s="177">
        <f t="shared" si="37"/>
        <v>0</v>
      </c>
      <c r="N354" s="177">
        <f t="shared" si="37"/>
        <v>3962.8</v>
      </c>
      <c r="O354" s="177">
        <f t="shared" si="37"/>
        <v>11379869</v>
      </c>
      <c r="P354" s="177">
        <f t="shared" si="37"/>
        <v>0</v>
      </c>
      <c r="Q354" s="177">
        <f t="shared" si="37"/>
        <v>0</v>
      </c>
      <c r="R354" s="177">
        <f t="shared" si="37"/>
        <v>0</v>
      </c>
      <c r="S354" s="177">
        <f t="shared" si="37"/>
        <v>0</v>
      </c>
      <c r="T354" s="177">
        <f t="shared" si="37"/>
        <v>0</v>
      </c>
      <c r="U354" s="177">
        <f t="shared" si="37"/>
        <v>0</v>
      </c>
      <c r="V354" s="241"/>
      <c r="W354" s="241"/>
      <c r="X354" s="241"/>
    </row>
    <row r="355" spans="1:24" ht="15.75">
      <c r="A355" s="166">
        <v>298</v>
      </c>
      <c r="B355" s="223" t="s">
        <v>998</v>
      </c>
      <c r="C355" s="177">
        <f>'часть 1'!L365</f>
        <v>957124</v>
      </c>
      <c r="D355" s="177">
        <v>0</v>
      </c>
      <c r="E355" s="177">
        <v>0</v>
      </c>
      <c r="F355" s="177">
        <v>0</v>
      </c>
      <c r="G355" s="177">
        <v>0</v>
      </c>
      <c r="H355" s="177">
        <v>0</v>
      </c>
      <c r="I355" s="177">
        <v>0</v>
      </c>
      <c r="J355" s="177">
        <v>0</v>
      </c>
      <c r="K355" s="177">
        <v>0</v>
      </c>
      <c r="L355" s="178">
        <v>0</v>
      </c>
      <c r="M355" s="177">
        <v>0</v>
      </c>
      <c r="N355" s="177">
        <v>303</v>
      </c>
      <c r="O355" s="177">
        <f>'часть 1'!L365</f>
        <v>957124</v>
      </c>
      <c r="P355" s="179">
        <v>0</v>
      </c>
      <c r="Q355" s="177">
        <v>0</v>
      </c>
      <c r="R355" s="179">
        <v>0</v>
      </c>
      <c r="S355" s="177">
        <v>0</v>
      </c>
      <c r="T355" s="178">
        <v>0</v>
      </c>
      <c r="U355" s="248">
        <v>0</v>
      </c>
      <c r="V355" s="241"/>
      <c r="W355" s="241">
        <f>O355/N355</f>
        <v>3158.8250825082509</v>
      </c>
      <c r="X355" s="241"/>
    </row>
    <row r="356" spans="1:24" ht="15.75">
      <c r="A356" s="166">
        <v>299</v>
      </c>
      <c r="B356" s="223" t="s">
        <v>999</v>
      </c>
      <c r="C356" s="177">
        <f>'часть 1'!L366</f>
        <v>1382612</v>
      </c>
      <c r="D356" s="177">
        <v>0</v>
      </c>
      <c r="E356" s="177">
        <v>0</v>
      </c>
      <c r="F356" s="177">
        <v>0</v>
      </c>
      <c r="G356" s="177">
        <v>0</v>
      </c>
      <c r="H356" s="177">
        <v>0</v>
      </c>
      <c r="I356" s="177">
        <v>0</v>
      </c>
      <c r="J356" s="177">
        <v>0</v>
      </c>
      <c r="K356" s="177">
        <v>0</v>
      </c>
      <c r="L356" s="178">
        <v>0</v>
      </c>
      <c r="M356" s="177">
        <v>0</v>
      </c>
      <c r="N356" s="177">
        <v>437.1</v>
      </c>
      <c r="O356" s="177">
        <v>1382612</v>
      </c>
      <c r="P356" s="179">
        <v>0</v>
      </c>
      <c r="Q356" s="177">
        <v>0</v>
      </c>
      <c r="R356" s="179">
        <v>0</v>
      </c>
      <c r="S356" s="177">
        <v>0</v>
      </c>
      <c r="T356" s="178">
        <v>0</v>
      </c>
      <c r="U356" s="248">
        <v>0</v>
      </c>
      <c r="V356" s="241"/>
      <c r="W356" s="241">
        <f t="shared" ref="W356:W362" si="38">O356/N356</f>
        <v>3163.1480210478148</v>
      </c>
      <c r="X356" s="241"/>
    </row>
    <row r="357" spans="1:24" ht="15.75">
      <c r="A357" s="166">
        <v>300</v>
      </c>
      <c r="B357" s="223" t="s">
        <v>1000</v>
      </c>
      <c r="C357" s="177">
        <f>'часть 1'!L367</f>
        <v>2008170</v>
      </c>
      <c r="D357" s="177">
        <v>0</v>
      </c>
      <c r="E357" s="177">
        <v>0</v>
      </c>
      <c r="F357" s="177">
        <v>0</v>
      </c>
      <c r="G357" s="177">
        <v>0</v>
      </c>
      <c r="H357" s="177">
        <v>0</v>
      </c>
      <c r="I357" s="177">
        <v>0</v>
      </c>
      <c r="J357" s="177">
        <v>0</v>
      </c>
      <c r="K357" s="177">
        <v>0</v>
      </c>
      <c r="L357" s="178">
        <v>0</v>
      </c>
      <c r="M357" s="177">
        <v>0</v>
      </c>
      <c r="N357" s="177">
        <v>812.7</v>
      </c>
      <c r="O357" s="177">
        <f>'часть 1'!L367</f>
        <v>2008170</v>
      </c>
      <c r="P357" s="179">
        <v>0</v>
      </c>
      <c r="Q357" s="177">
        <v>0</v>
      </c>
      <c r="R357" s="179">
        <v>0</v>
      </c>
      <c r="S357" s="177">
        <v>0</v>
      </c>
      <c r="T357" s="178">
        <v>0</v>
      </c>
      <c r="U357" s="248">
        <v>0</v>
      </c>
      <c r="V357" s="241"/>
      <c r="W357" s="241">
        <f>O357/N357</f>
        <v>2470.9856035437429</v>
      </c>
      <c r="X357" s="241"/>
    </row>
    <row r="358" spans="1:24" ht="15.75">
      <c r="A358" s="166">
        <v>301</v>
      </c>
      <c r="B358" s="143" t="s">
        <v>1001</v>
      </c>
      <c r="C358" s="177">
        <f>'часть 1'!L368</f>
        <v>1551693</v>
      </c>
      <c r="D358" s="177">
        <v>0</v>
      </c>
      <c r="E358" s="177">
        <v>0</v>
      </c>
      <c r="F358" s="177">
        <v>0</v>
      </c>
      <c r="G358" s="177">
        <v>0</v>
      </c>
      <c r="H358" s="177">
        <v>0</v>
      </c>
      <c r="I358" s="177">
        <v>0</v>
      </c>
      <c r="J358" s="177">
        <v>0</v>
      </c>
      <c r="K358" s="177">
        <v>0</v>
      </c>
      <c r="L358" s="178">
        <v>0</v>
      </c>
      <c r="M358" s="177">
        <v>0</v>
      </c>
      <c r="N358" s="177">
        <v>491.5</v>
      </c>
      <c r="O358" s="177">
        <f>'часть 1'!L368</f>
        <v>1551693</v>
      </c>
      <c r="P358" s="179">
        <v>0</v>
      </c>
      <c r="Q358" s="177">
        <v>0</v>
      </c>
      <c r="R358" s="179">
        <v>0</v>
      </c>
      <c r="S358" s="177">
        <v>0</v>
      </c>
      <c r="T358" s="178">
        <v>0</v>
      </c>
      <c r="U358" s="248">
        <v>0</v>
      </c>
      <c r="V358" s="241"/>
      <c r="W358" s="241">
        <f t="shared" si="38"/>
        <v>3157.055951169888</v>
      </c>
      <c r="X358" s="241"/>
    </row>
    <row r="359" spans="1:24" ht="15.75">
      <c r="A359" s="166">
        <v>302</v>
      </c>
      <c r="B359" s="223" t="s">
        <v>1002</v>
      </c>
      <c r="C359" s="177">
        <f>'часть 1'!L369</f>
        <v>1404334</v>
      </c>
      <c r="D359" s="177">
        <v>0</v>
      </c>
      <c r="E359" s="177">
        <v>0</v>
      </c>
      <c r="F359" s="177">
        <v>0</v>
      </c>
      <c r="G359" s="177">
        <v>0</v>
      </c>
      <c r="H359" s="177">
        <v>0</v>
      </c>
      <c r="I359" s="177">
        <v>0</v>
      </c>
      <c r="J359" s="177">
        <v>0</v>
      </c>
      <c r="K359" s="177">
        <v>0</v>
      </c>
      <c r="L359" s="178">
        <v>0</v>
      </c>
      <c r="M359" s="177">
        <v>0</v>
      </c>
      <c r="N359" s="177">
        <v>444.1</v>
      </c>
      <c r="O359" s="177">
        <f>'часть 1'!L369</f>
        <v>1404334</v>
      </c>
      <c r="P359" s="179">
        <v>0</v>
      </c>
      <c r="Q359" s="177">
        <v>0</v>
      </c>
      <c r="R359" s="179">
        <v>0</v>
      </c>
      <c r="S359" s="177">
        <v>0</v>
      </c>
      <c r="T359" s="178">
        <v>0</v>
      </c>
      <c r="U359" s="248">
        <v>0</v>
      </c>
      <c r="V359" s="241"/>
      <c r="W359" s="241">
        <f t="shared" si="38"/>
        <v>3162.2022067102002</v>
      </c>
      <c r="X359" s="241"/>
    </row>
    <row r="360" spans="1:24" ht="15.75">
      <c r="A360" s="166">
        <v>303</v>
      </c>
      <c r="B360" s="226" t="s">
        <v>1003</v>
      </c>
      <c r="C360" s="177">
        <f>'часть 1'!L370</f>
        <v>1321007</v>
      </c>
      <c r="D360" s="177">
        <v>0</v>
      </c>
      <c r="E360" s="177">
        <v>0</v>
      </c>
      <c r="F360" s="177">
        <v>0</v>
      </c>
      <c r="G360" s="177">
        <v>0</v>
      </c>
      <c r="H360" s="177">
        <v>0</v>
      </c>
      <c r="I360" s="177">
        <v>0</v>
      </c>
      <c r="J360" s="177">
        <v>0</v>
      </c>
      <c r="K360" s="177">
        <v>0</v>
      </c>
      <c r="L360" s="178">
        <v>0</v>
      </c>
      <c r="M360" s="177">
        <v>0</v>
      </c>
      <c r="N360" s="177">
        <v>417.4</v>
      </c>
      <c r="O360" s="177">
        <f>'часть 1'!L370</f>
        <v>1321007</v>
      </c>
      <c r="P360" s="179">
        <v>0</v>
      </c>
      <c r="Q360" s="177">
        <v>0</v>
      </c>
      <c r="R360" s="179">
        <v>0</v>
      </c>
      <c r="S360" s="177">
        <v>0</v>
      </c>
      <c r="T360" s="178">
        <v>0</v>
      </c>
      <c r="U360" s="248">
        <v>0</v>
      </c>
      <c r="V360" s="241"/>
      <c r="W360" s="241">
        <f t="shared" si="38"/>
        <v>3164.8466698610446</v>
      </c>
      <c r="X360" s="241"/>
    </row>
    <row r="361" spans="1:24" ht="15.75">
      <c r="A361" s="166">
        <v>304</v>
      </c>
      <c r="B361" s="223" t="s">
        <v>1004</v>
      </c>
      <c r="C361" s="177">
        <f>'часть 1'!L371</f>
        <v>576885</v>
      </c>
      <c r="D361" s="177">
        <v>0</v>
      </c>
      <c r="E361" s="177">
        <v>0</v>
      </c>
      <c r="F361" s="177">
        <v>0</v>
      </c>
      <c r="G361" s="177">
        <v>0</v>
      </c>
      <c r="H361" s="177">
        <v>0</v>
      </c>
      <c r="I361" s="177">
        <v>0</v>
      </c>
      <c r="J361" s="177">
        <v>0</v>
      </c>
      <c r="K361" s="177">
        <v>0</v>
      </c>
      <c r="L361" s="178">
        <v>0</v>
      </c>
      <c r="M361" s="177">
        <v>0</v>
      </c>
      <c r="N361" s="177">
        <v>177.9</v>
      </c>
      <c r="O361" s="177">
        <f>'часть 1'!L371</f>
        <v>576885</v>
      </c>
      <c r="P361" s="179">
        <v>0</v>
      </c>
      <c r="Q361" s="177">
        <v>0</v>
      </c>
      <c r="R361" s="179">
        <v>0</v>
      </c>
      <c r="S361" s="177">
        <v>0</v>
      </c>
      <c r="T361" s="178">
        <v>0</v>
      </c>
      <c r="U361" s="248">
        <v>0</v>
      </c>
      <c r="V361" s="241"/>
      <c r="W361" s="241">
        <f t="shared" si="38"/>
        <v>3242.7487352445191</v>
      </c>
      <c r="X361" s="241"/>
    </row>
    <row r="362" spans="1:24" ht="15.75">
      <c r="A362" s="166">
        <v>305</v>
      </c>
      <c r="B362" s="223" t="s">
        <v>1005</v>
      </c>
      <c r="C362" s="177">
        <f>'часть 1'!L372</f>
        <v>2178044</v>
      </c>
      <c r="D362" s="177">
        <v>0</v>
      </c>
      <c r="E362" s="177">
        <v>0</v>
      </c>
      <c r="F362" s="177">
        <v>0</v>
      </c>
      <c r="G362" s="177">
        <v>0</v>
      </c>
      <c r="H362" s="177">
        <v>0</v>
      </c>
      <c r="I362" s="177">
        <v>0</v>
      </c>
      <c r="J362" s="177">
        <v>0</v>
      </c>
      <c r="K362" s="177">
        <v>0</v>
      </c>
      <c r="L362" s="178">
        <v>0</v>
      </c>
      <c r="M362" s="177">
        <v>0</v>
      </c>
      <c r="N362" s="177">
        <v>879.1</v>
      </c>
      <c r="O362" s="177">
        <f>'часть 1'!L372</f>
        <v>2178044</v>
      </c>
      <c r="P362" s="179">
        <v>0</v>
      </c>
      <c r="Q362" s="177">
        <v>0</v>
      </c>
      <c r="R362" s="179">
        <v>0</v>
      </c>
      <c r="S362" s="177">
        <v>0</v>
      </c>
      <c r="T362" s="178">
        <v>0</v>
      </c>
      <c r="U362" s="248">
        <v>0</v>
      </c>
      <c r="V362" s="241"/>
      <c r="W362" s="241">
        <f t="shared" si="38"/>
        <v>2477.5838926174497</v>
      </c>
      <c r="X362" s="241"/>
    </row>
    <row r="363" spans="1:24" ht="30">
      <c r="A363" s="374"/>
      <c r="B363" s="382" t="s">
        <v>882</v>
      </c>
      <c r="C363" s="383">
        <f>C364+C365</f>
        <v>2903743</v>
      </c>
      <c r="D363" s="383">
        <f t="shared" ref="D363:U363" si="39">D364+D365</f>
        <v>0</v>
      </c>
      <c r="E363" s="383">
        <f t="shared" si="39"/>
        <v>0</v>
      </c>
      <c r="F363" s="383">
        <f t="shared" si="39"/>
        <v>0</v>
      </c>
      <c r="G363" s="383">
        <f t="shared" si="39"/>
        <v>0</v>
      </c>
      <c r="H363" s="383">
        <f t="shared" si="39"/>
        <v>0</v>
      </c>
      <c r="I363" s="383">
        <f t="shared" si="39"/>
        <v>0</v>
      </c>
      <c r="J363" s="383">
        <f t="shared" si="39"/>
        <v>0</v>
      </c>
      <c r="K363" s="383">
        <f t="shared" si="39"/>
        <v>0</v>
      </c>
      <c r="L363" s="383">
        <f t="shared" si="39"/>
        <v>0</v>
      </c>
      <c r="M363" s="383">
        <f t="shared" si="39"/>
        <v>0</v>
      </c>
      <c r="N363" s="383">
        <f t="shared" si="39"/>
        <v>918.8</v>
      </c>
      <c r="O363" s="383">
        <f t="shared" si="39"/>
        <v>2903743</v>
      </c>
      <c r="P363" s="383">
        <f t="shared" si="39"/>
        <v>0</v>
      </c>
      <c r="Q363" s="383">
        <f t="shared" si="39"/>
        <v>0</v>
      </c>
      <c r="R363" s="383">
        <f t="shared" si="39"/>
        <v>0</v>
      </c>
      <c r="S363" s="383">
        <f t="shared" si="39"/>
        <v>0</v>
      </c>
      <c r="T363" s="383">
        <f t="shared" si="39"/>
        <v>0</v>
      </c>
      <c r="U363" s="383">
        <f t="shared" si="39"/>
        <v>0</v>
      </c>
      <c r="V363" s="241"/>
      <c r="W363" s="241"/>
      <c r="X363" s="241"/>
    </row>
    <row r="364" spans="1:24" ht="30">
      <c r="A364" s="374"/>
      <c r="B364" s="382" t="s">
        <v>883</v>
      </c>
      <c r="C364" s="383">
        <f>'часть 1'!L374</f>
        <v>1605412</v>
      </c>
      <c r="D364" s="383">
        <v>0</v>
      </c>
      <c r="E364" s="383">
        <v>0</v>
      </c>
      <c r="F364" s="383">
        <v>0</v>
      </c>
      <c r="G364" s="383">
        <v>0</v>
      </c>
      <c r="H364" s="383">
        <v>0</v>
      </c>
      <c r="I364" s="383">
        <v>0</v>
      </c>
      <c r="J364" s="383">
        <v>0</v>
      </c>
      <c r="K364" s="383">
        <v>0</v>
      </c>
      <c r="L364" s="384">
        <v>0</v>
      </c>
      <c r="M364" s="383">
        <v>0</v>
      </c>
      <c r="N364" s="383">
        <v>508.8</v>
      </c>
      <c r="O364" s="383">
        <v>1605412</v>
      </c>
      <c r="P364" s="386">
        <v>0</v>
      </c>
      <c r="Q364" s="383">
        <v>0</v>
      </c>
      <c r="R364" s="383">
        <v>0</v>
      </c>
      <c r="S364" s="383">
        <v>0</v>
      </c>
      <c r="T364" s="384">
        <v>0</v>
      </c>
      <c r="U364" s="387">
        <v>0</v>
      </c>
      <c r="V364" s="241"/>
      <c r="W364" s="241">
        <f>O364/N364</f>
        <v>3155.2908805031448</v>
      </c>
      <c r="X364" s="241"/>
    </row>
    <row r="365" spans="1:24" ht="28.15" customHeight="1">
      <c r="A365" s="374"/>
      <c r="B365" s="382" t="s">
        <v>884</v>
      </c>
      <c r="C365" s="383">
        <f>'часть 1'!L375</f>
        <v>1298331</v>
      </c>
      <c r="D365" s="383">
        <v>0</v>
      </c>
      <c r="E365" s="383">
        <v>0</v>
      </c>
      <c r="F365" s="383">
        <v>0</v>
      </c>
      <c r="G365" s="383">
        <v>0</v>
      </c>
      <c r="H365" s="383">
        <v>0</v>
      </c>
      <c r="I365" s="383">
        <v>0</v>
      </c>
      <c r="J365" s="383">
        <v>0</v>
      </c>
      <c r="K365" s="383">
        <v>0</v>
      </c>
      <c r="L365" s="384">
        <v>0</v>
      </c>
      <c r="M365" s="383">
        <v>0</v>
      </c>
      <c r="N365" s="383">
        <v>410</v>
      </c>
      <c r="O365" s="383">
        <v>1298331</v>
      </c>
      <c r="P365" s="386">
        <v>0</v>
      </c>
      <c r="Q365" s="383">
        <v>0</v>
      </c>
      <c r="R365" s="383">
        <v>0</v>
      </c>
      <c r="S365" s="383">
        <v>0</v>
      </c>
      <c r="T365" s="384">
        <v>0</v>
      </c>
      <c r="U365" s="387">
        <v>0</v>
      </c>
      <c r="V365" s="241"/>
      <c r="W365" s="241">
        <f>O365/N365</f>
        <v>3166.660975609756</v>
      </c>
      <c r="X365" s="241"/>
    </row>
    <row r="366" spans="1:24">
      <c r="A366" s="166"/>
      <c r="B366" s="182" t="s">
        <v>52</v>
      </c>
      <c r="C366" s="177">
        <v>3908951</v>
      </c>
      <c r="D366" s="177"/>
      <c r="E366" s="177"/>
      <c r="F366" s="177"/>
      <c r="G366" s="177"/>
      <c r="H366" s="177"/>
      <c r="I366" s="177"/>
      <c r="J366" s="177"/>
      <c r="K366" s="177">
        <v>201010</v>
      </c>
      <c r="L366" s="178">
        <v>0</v>
      </c>
      <c r="M366" s="177">
        <v>0</v>
      </c>
      <c r="N366" s="177">
        <v>1869.42</v>
      </c>
      <c r="O366" s="177">
        <v>3707941</v>
      </c>
      <c r="P366" s="179">
        <v>0</v>
      </c>
      <c r="Q366" s="177">
        <v>0</v>
      </c>
      <c r="R366" s="179">
        <v>0</v>
      </c>
      <c r="S366" s="177">
        <v>0</v>
      </c>
      <c r="T366" s="178">
        <v>0</v>
      </c>
      <c r="U366" s="248">
        <v>0</v>
      </c>
      <c r="V366" s="241"/>
      <c r="W366" s="241"/>
      <c r="X366" s="241"/>
    </row>
    <row r="367" spans="1:24" s="14" customFormat="1" ht="30">
      <c r="A367" s="374"/>
      <c r="B367" s="382" t="s">
        <v>130</v>
      </c>
      <c r="C367" s="383">
        <f>C368</f>
        <v>1828731</v>
      </c>
      <c r="D367" s="383">
        <f t="shared" ref="D367:V367" si="40">D368</f>
        <v>0</v>
      </c>
      <c r="E367" s="383">
        <f t="shared" si="40"/>
        <v>0</v>
      </c>
      <c r="F367" s="383">
        <f t="shared" si="40"/>
        <v>0</v>
      </c>
      <c r="G367" s="383">
        <f t="shared" si="40"/>
        <v>0</v>
      </c>
      <c r="H367" s="383">
        <f t="shared" si="40"/>
        <v>0</v>
      </c>
      <c r="I367" s="383">
        <f t="shared" si="40"/>
        <v>0</v>
      </c>
      <c r="J367" s="383">
        <f t="shared" si="40"/>
        <v>0</v>
      </c>
      <c r="K367" s="383">
        <f t="shared" si="40"/>
        <v>0</v>
      </c>
      <c r="L367" s="383">
        <f t="shared" si="40"/>
        <v>0</v>
      </c>
      <c r="M367" s="383">
        <f t="shared" si="40"/>
        <v>0</v>
      </c>
      <c r="N367" s="383">
        <f t="shared" si="40"/>
        <v>581</v>
      </c>
      <c r="O367" s="383">
        <f t="shared" si="40"/>
        <v>1828731</v>
      </c>
      <c r="P367" s="383">
        <f t="shared" si="40"/>
        <v>0</v>
      </c>
      <c r="Q367" s="383">
        <f t="shared" si="40"/>
        <v>0</v>
      </c>
      <c r="R367" s="383">
        <f t="shared" si="40"/>
        <v>0</v>
      </c>
      <c r="S367" s="383">
        <f t="shared" si="40"/>
        <v>0</v>
      </c>
      <c r="T367" s="383">
        <f t="shared" si="40"/>
        <v>0</v>
      </c>
      <c r="U367" s="383">
        <f t="shared" si="40"/>
        <v>0</v>
      </c>
      <c r="V367" s="177">
        <f t="shared" si="40"/>
        <v>0</v>
      </c>
      <c r="W367" s="241"/>
      <c r="X367" s="241"/>
    </row>
    <row r="368" spans="1:24">
      <c r="A368" s="374">
        <v>312</v>
      </c>
      <c r="B368" s="382" t="s">
        <v>672</v>
      </c>
      <c r="C368" s="383">
        <v>1828731</v>
      </c>
      <c r="D368" s="383">
        <v>0</v>
      </c>
      <c r="E368" s="383">
        <v>0</v>
      </c>
      <c r="F368" s="383">
        <v>0</v>
      </c>
      <c r="G368" s="383">
        <v>0</v>
      </c>
      <c r="H368" s="383">
        <v>0</v>
      </c>
      <c r="I368" s="383">
        <v>0</v>
      </c>
      <c r="J368" s="383">
        <v>0</v>
      </c>
      <c r="K368" s="383">
        <v>0</v>
      </c>
      <c r="L368" s="386">
        <v>0</v>
      </c>
      <c r="M368" s="383">
        <v>0</v>
      </c>
      <c r="N368" s="385">
        <v>581</v>
      </c>
      <c r="O368" s="383">
        <v>1828731</v>
      </c>
      <c r="P368" s="386">
        <v>0</v>
      </c>
      <c r="Q368" s="383">
        <v>0</v>
      </c>
      <c r="R368" s="386">
        <v>0</v>
      </c>
      <c r="S368" s="383">
        <v>0</v>
      </c>
      <c r="T368" s="386">
        <v>0</v>
      </c>
      <c r="U368" s="387">
        <v>0</v>
      </c>
      <c r="V368" s="241"/>
      <c r="W368" s="241">
        <f>O368/N368</f>
        <v>3147.5576592082616</v>
      </c>
      <c r="X368" s="241"/>
    </row>
    <row r="369" spans="1:32">
      <c r="A369" s="374"/>
      <c r="B369" s="382"/>
      <c r="C369" s="383"/>
      <c r="D369" s="383"/>
      <c r="E369" s="383"/>
      <c r="F369" s="383"/>
      <c r="G369" s="383"/>
      <c r="H369" s="383"/>
      <c r="I369" s="383"/>
      <c r="J369" s="383"/>
      <c r="K369" s="383"/>
      <c r="L369" s="386"/>
      <c r="M369" s="383"/>
      <c r="N369" s="385"/>
      <c r="O369" s="383"/>
      <c r="P369" s="386"/>
      <c r="Q369" s="383"/>
      <c r="R369" s="386"/>
      <c r="S369" s="383"/>
      <c r="T369" s="386"/>
      <c r="U369" s="387"/>
      <c r="V369" s="241"/>
      <c r="W369" s="241"/>
      <c r="X369" s="241"/>
    </row>
    <row r="370" spans="1:32" ht="30">
      <c r="A370" s="166"/>
      <c r="B370" s="180" t="s">
        <v>109</v>
      </c>
      <c r="C370" s="177">
        <v>201010</v>
      </c>
      <c r="D370" s="177"/>
      <c r="E370" s="177"/>
      <c r="F370" s="177"/>
      <c r="G370" s="177"/>
      <c r="H370" s="177"/>
      <c r="I370" s="177"/>
      <c r="J370" s="177"/>
      <c r="K370" s="177">
        <v>201010</v>
      </c>
      <c r="L370" s="178">
        <v>0</v>
      </c>
      <c r="M370" s="177">
        <v>0</v>
      </c>
      <c r="N370" s="177">
        <v>0</v>
      </c>
      <c r="O370" s="177">
        <v>0</v>
      </c>
      <c r="P370" s="179">
        <v>0</v>
      </c>
      <c r="Q370" s="177">
        <v>0</v>
      </c>
      <c r="R370" s="179">
        <v>0</v>
      </c>
      <c r="S370" s="177">
        <v>0</v>
      </c>
      <c r="T370" s="178">
        <v>0</v>
      </c>
      <c r="U370" s="248">
        <v>0</v>
      </c>
      <c r="V370" s="241"/>
      <c r="W370" s="241"/>
      <c r="X370" s="241"/>
    </row>
    <row r="371" spans="1:32">
      <c r="A371" s="166">
        <v>314</v>
      </c>
      <c r="B371" s="182" t="s">
        <v>414</v>
      </c>
      <c r="C371" s="177">
        <v>201010</v>
      </c>
      <c r="D371" s="177"/>
      <c r="E371" s="177"/>
      <c r="F371" s="177"/>
      <c r="G371" s="177"/>
      <c r="H371" s="177"/>
      <c r="I371" s="177"/>
      <c r="J371" s="177"/>
      <c r="K371" s="177">
        <v>201010</v>
      </c>
      <c r="L371" s="178">
        <v>0</v>
      </c>
      <c r="M371" s="177">
        <v>0</v>
      </c>
      <c r="N371" s="177">
        <v>0</v>
      </c>
      <c r="O371" s="177">
        <v>0</v>
      </c>
      <c r="P371" s="179">
        <v>0</v>
      </c>
      <c r="Q371" s="177">
        <v>0</v>
      </c>
      <c r="R371" s="179">
        <v>0</v>
      </c>
      <c r="S371" s="177">
        <v>0</v>
      </c>
      <c r="T371" s="178">
        <v>0</v>
      </c>
      <c r="U371" s="248">
        <v>0</v>
      </c>
      <c r="V371" s="241"/>
      <c r="W371" s="241"/>
      <c r="X371" s="241"/>
    </row>
    <row r="372" spans="1:32" ht="30">
      <c r="A372" s="166"/>
      <c r="B372" s="180" t="s">
        <v>198</v>
      </c>
      <c r="C372" s="177">
        <v>1091336</v>
      </c>
      <c r="D372" s="177"/>
      <c r="E372" s="177"/>
      <c r="F372" s="177"/>
      <c r="G372" s="177"/>
      <c r="H372" s="177"/>
      <c r="I372" s="177"/>
      <c r="J372" s="177"/>
      <c r="K372" s="177">
        <v>0</v>
      </c>
      <c r="L372" s="178">
        <v>0</v>
      </c>
      <c r="M372" s="177">
        <v>0</v>
      </c>
      <c r="N372" s="177">
        <v>554.41999999999996</v>
      </c>
      <c r="O372" s="177">
        <v>1091336</v>
      </c>
      <c r="P372" s="179">
        <v>0</v>
      </c>
      <c r="Q372" s="177">
        <v>0</v>
      </c>
      <c r="R372" s="179">
        <v>0</v>
      </c>
      <c r="S372" s="177">
        <v>0</v>
      </c>
      <c r="T372" s="178">
        <v>0</v>
      </c>
      <c r="U372" s="248">
        <v>0</v>
      </c>
      <c r="V372" s="241"/>
      <c r="W372" s="241"/>
      <c r="X372" s="241"/>
    </row>
    <row r="373" spans="1:32" ht="30">
      <c r="A373" s="166">
        <v>315</v>
      </c>
      <c r="B373" s="180" t="s">
        <v>444</v>
      </c>
      <c r="C373" s="177">
        <v>1091336</v>
      </c>
      <c r="D373" s="177"/>
      <c r="E373" s="177"/>
      <c r="F373" s="177"/>
      <c r="G373" s="177"/>
      <c r="H373" s="177"/>
      <c r="I373" s="177"/>
      <c r="J373" s="177"/>
      <c r="K373" s="177">
        <v>0</v>
      </c>
      <c r="L373" s="178">
        <v>0</v>
      </c>
      <c r="M373" s="177">
        <v>0</v>
      </c>
      <c r="N373" s="177">
        <v>554.41999999999996</v>
      </c>
      <c r="O373" s="177">
        <v>1091336</v>
      </c>
      <c r="P373" s="179">
        <v>0</v>
      </c>
      <c r="Q373" s="177">
        <v>0</v>
      </c>
      <c r="R373" s="179">
        <v>0</v>
      </c>
      <c r="S373" s="177">
        <v>0</v>
      </c>
      <c r="T373" s="178">
        <v>0</v>
      </c>
      <c r="U373" s="248">
        <v>0</v>
      </c>
      <c r="V373" s="241"/>
      <c r="W373" s="241"/>
      <c r="X373" s="241"/>
    </row>
    <row r="374" spans="1:32">
      <c r="A374" s="166"/>
      <c r="B374" s="182" t="s">
        <v>53</v>
      </c>
      <c r="C374" s="177">
        <v>51240898.530000001</v>
      </c>
      <c r="D374" s="177"/>
      <c r="E374" s="177"/>
      <c r="F374" s="177"/>
      <c r="G374" s="177"/>
      <c r="H374" s="177"/>
      <c r="I374" s="177"/>
      <c r="J374" s="177"/>
      <c r="K374" s="177">
        <v>1666943.13</v>
      </c>
      <c r="L374" s="178">
        <v>16</v>
      </c>
      <c r="M374" s="177">
        <f>M375+M395+M397+M400+M410+M412+M414</f>
        <v>19456700</v>
      </c>
      <c r="N374" s="177">
        <f>N375+N395+N397+N400+N410+N412+N414</f>
        <v>12350.9</v>
      </c>
      <c r="O374" s="177">
        <f>O375+O395+O397+O400+O410+O412+O414</f>
        <v>30465500.920000002</v>
      </c>
      <c r="P374" s="179">
        <v>0</v>
      </c>
      <c r="Q374" s="177">
        <v>0</v>
      </c>
      <c r="R374" s="177">
        <v>3776.66</v>
      </c>
      <c r="S374" s="177">
        <v>2073719.84</v>
      </c>
      <c r="T374" s="179">
        <v>0</v>
      </c>
      <c r="U374" s="248">
        <v>0</v>
      </c>
      <c r="V374" s="241"/>
      <c r="W374" s="241"/>
      <c r="X374" s="241"/>
    </row>
    <row r="375" spans="1:32" ht="30">
      <c r="A375" s="374"/>
      <c r="B375" s="382" t="s">
        <v>88</v>
      </c>
      <c r="C375" s="383">
        <f>C376+C377+C378+C379+C380+C381+C382+C383+C384+C385</f>
        <v>31676745</v>
      </c>
      <c r="D375" s="383">
        <f t="shared" ref="D375:V375" si="41">D376+D377+D378+D379+D380+D381+D382+D383+D384+D385</f>
        <v>0</v>
      </c>
      <c r="E375" s="383">
        <f t="shared" si="41"/>
        <v>0</v>
      </c>
      <c r="F375" s="383">
        <f t="shared" si="41"/>
        <v>0</v>
      </c>
      <c r="G375" s="383">
        <f t="shared" si="41"/>
        <v>0</v>
      </c>
      <c r="H375" s="383">
        <f t="shared" si="41"/>
        <v>0</v>
      </c>
      <c r="I375" s="383">
        <f t="shared" si="41"/>
        <v>0</v>
      </c>
      <c r="J375" s="383">
        <f t="shared" si="41"/>
        <v>0</v>
      </c>
      <c r="K375" s="383">
        <f t="shared" si="41"/>
        <v>0</v>
      </c>
      <c r="L375" s="383">
        <f t="shared" si="41"/>
        <v>10</v>
      </c>
      <c r="M375" s="383">
        <f t="shared" si="41"/>
        <v>19456700</v>
      </c>
      <c r="N375" s="383">
        <f t="shared" si="41"/>
        <v>4937</v>
      </c>
      <c r="O375" s="383">
        <f t="shared" si="41"/>
        <v>12220045</v>
      </c>
      <c r="P375" s="383">
        <f t="shared" si="41"/>
        <v>0</v>
      </c>
      <c r="Q375" s="383">
        <f t="shared" si="41"/>
        <v>0</v>
      </c>
      <c r="R375" s="383">
        <f t="shared" si="41"/>
        <v>0</v>
      </c>
      <c r="S375" s="383">
        <f t="shared" si="41"/>
        <v>0</v>
      </c>
      <c r="T375" s="383">
        <f t="shared" si="41"/>
        <v>0</v>
      </c>
      <c r="U375" s="383">
        <f t="shared" si="41"/>
        <v>0</v>
      </c>
      <c r="V375" s="177">
        <f t="shared" si="41"/>
        <v>0</v>
      </c>
      <c r="W375" s="241"/>
      <c r="X375" s="241"/>
    </row>
    <row r="376" spans="1:32" s="15" customFormat="1" ht="15.75">
      <c r="A376" s="374">
        <v>1</v>
      </c>
      <c r="B376" s="482" t="s">
        <v>416</v>
      </c>
      <c r="C376" s="383">
        <f>'часть 1'!L386</f>
        <v>3883714</v>
      </c>
      <c r="D376" s="383">
        <v>0</v>
      </c>
      <c r="E376" s="383">
        <v>0</v>
      </c>
      <c r="F376" s="383">
        <v>0</v>
      </c>
      <c r="G376" s="383">
        <v>0</v>
      </c>
      <c r="H376" s="383">
        <v>0</v>
      </c>
      <c r="I376" s="383">
        <v>0</v>
      </c>
      <c r="J376" s="383">
        <v>0</v>
      </c>
      <c r="K376" s="383">
        <v>0</v>
      </c>
      <c r="L376" s="384">
        <v>2</v>
      </c>
      <c r="M376" s="383">
        <v>3883714</v>
      </c>
      <c r="N376" s="383">
        <v>0</v>
      </c>
      <c r="O376" s="383">
        <v>0</v>
      </c>
      <c r="P376" s="386">
        <v>0</v>
      </c>
      <c r="Q376" s="383">
        <v>0</v>
      </c>
      <c r="R376" s="386">
        <v>0</v>
      </c>
      <c r="S376" s="383">
        <v>0</v>
      </c>
      <c r="T376" s="384">
        <v>0</v>
      </c>
      <c r="U376" s="387">
        <v>0</v>
      </c>
      <c r="V376" s="241"/>
      <c r="W376" s="241"/>
      <c r="X376" s="241"/>
      <c r="AF376" s="67">
        <f>M376/L376</f>
        <v>1941857</v>
      </c>
    </row>
    <row r="377" spans="1:32" s="15" customFormat="1" ht="15.75">
      <c r="A377" s="374">
        <v>2</v>
      </c>
      <c r="B377" s="482" t="s">
        <v>743</v>
      </c>
      <c r="C377" s="383">
        <f>'часть 1'!L387</f>
        <v>3894862</v>
      </c>
      <c r="D377" s="383">
        <v>0</v>
      </c>
      <c r="E377" s="383">
        <v>0</v>
      </c>
      <c r="F377" s="383">
        <v>0</v>
      </c>
      <c r="G377" s="383">
        <v>0</v>
      </c>
      <c r="H377" s="383">
        <v>0</v>
      </c>
      <c r="I377" s="383">
        <v>0</v>
      </c>
      <c r="J377" s="383">
        <v>0</v>
      </c>
      <c r="K377" s="383">
        <v>0</v>
      </c>
      <c r="L377" s="384">
        <v>2</v>
      </c>
      <c r="M377" s="383">
        <v>3894862</v>
      </c>
      <c r="N377" s="383">
        <v>0</v>
      </c>
      <c r="O377" s="383">
        <v>0</v>
      </c>
      <c r="P377" s="386">
        <v>0</v>
      </c>
      <c r="Q377" s="383">
        <v>0</v>
      </c>
      <c r="R377" s="386">
        <v>0</v>
      </c>
      <c r="S377" s="383">
        <v>0</v>
      </c>
      <c r="T377" s="384">
        <v>0</v>
      </c>
      <c r="U377" s="387">
        <v>0</v>
      </c>
      <c r="V377" s="241"/>
      <c r="W377" s="241"/>
      <c r="X377" s="241"/>
      <c r="AF377" s="67">
        <f>M377/L377</f>
        <v>1947431</v>
      </c>
    </row>
    <row r="378" spans="1:32" s="15" customFormat="1" ht="15.75">
      <c r="A378" s="374">
        <v>3</v>
      </c>
      <c r="B378" s="482" t="s">
        <v>417</v>
      </c>
      <c r="C378" s="383">
        <f>'часть 1'!L388</f>
        <v>3877521</v>
      </c>
      <c r="D378" s="408">
        <v>0</v>
      </c>
      <c r="E378" s="408">
        <v>0</v>
      </c>
      <c r="F378" s="408">
        <v>0</v>
      </c>
      <c r="G378" s="408">
        <v>0</v>
      </c>
      <c r="H378" s="408">
        <v>0</v>
      </c>
      <c r="I378" s="408">
        <v>0</v>
      </c>
      <c r="J378" s="408">
        <v>0</v>
      </c>
      <c r="K378" s="773">
        <v>0</v>
      </c>
      <c r="L378" s="384">
        <v>2</v>
      </c>
      <c r="M378" s="383">
        <v>3877521</v>
      </c>
      <c r="N378" s="408">
        <v>0</v>
      </c>
      <c r="O378" s="408">
        <v>0</v>
      </c>
      <c r="P378" s="386">
        <v>0</v>
      </c>
      <c r="Q378" s="383">
        <v>0</v>
      </c>
      <c r="R378" s="386">
        <v>0</v>
      </c>
      <c r="S378" s="383">
        <v>0</v>
      </c>
      <c r="T378" s="384">
        <v>0</v>
      </c>
      <c r="U378" s="387">
        <v>0</v>
      </c>
      <c r="V378" s="241"/>
      <c r="W378" s="241"/>
      <c r="X378" s="241"/>
      <c r="AF378" s="67">
        <f>M378/L378</f>
        <v>1938760.5</v>
      </c>
    </row>
    <row r="379" spans="1:32" s="15" customFormat="1" ht="15.75">
      <c r="A379" s="374">
        <v>4</v>
      </c>
      <c r="B379" s="482" t="s">
        <v>418</v>
      </c>
      <c r="C379" s="383">
        <f>'часть 1'!L389</f>
        <v>1943688</v>
      </c>
      <c r="D379" s="383">
        <v>0</v>
      </c>
      <c r="E379" s="383">
        <v>0</v>
      </c>
      <c r="F379" s="383">
        <v>0</v>
      </c>
      <c r="G379" s="383">
        <v>0</v>
      </c>
      <c r="H379" s="383">
        <v>0</v>
      </c>
      <c r="I379" s="383">
        <v>0</v>
      </c>
      <c r="J379" s="383">
        <v>0</v>
      </c>
      <c r="K379" s="383">
        <v>0</v>
      </c>
      <c r="L379" s="384">
        <v>1</v>
      </c>
      <c r="M379" s="383">
        <v>1943688</v>
      </c>
      <c r="N379" s="383">
        <v>0</v>
      </c>
      <c r="O379" s="383">
        <v>0</v>
      </c>
      <c r="P379" s="386">
        <v>0</v>
      </c>
      <c r="Q379" s="383">
        <v>0</v>
      </c>
      <c r="R379" s="383">
        <v>0</v>
      </c>
      <c r="S379" s="383">
        <v>0</v>
      </c>
      <c r="T379" s="384">
        <v>0</v>
      </c>
      <c r="U379" s="387">
        <v>0</v>
      </c>
      <c r="V379" s="241"/>
      <c r="W379" s="241"/>
      <c r="X379" s="241"/>
      <c r="AF379" s="67">
        <f>M379/L379</f>
        <v>1943688</v>
      </c>
    </row>
    <row r="380" spans="1:32" s="15" customFormat="1" ht="15.75">
      <c r="A380" s="374">
        <v>5</v>
      </c>
      <c r="B380" s="482" t="s">
        <v>757</v>
      </c>
      <c r="C380" s="383">
        <f>'часть 1'!L390</f>
        <v>2656189</v>
      </c>
      <c r="D380" s="408">
        <v>0</v>
      </c>
      <c r="E380" s="408">
        <v>0</v>
      </c>
      <c r="F380" s="408">
        <v>0</v>
      </c>
      <c r="G380" s="408">
        <v>0</v>
      </c>
      <c r="H380" s="408">
        <v>0</v>
      </c>
      <c r="I380" s="408">
        <v>0</v>
      </c>
      <c r="J380" s="408">
        <v>0</v>
      </c>
      <c r="K380" s="379">
        <v>0</v>
      </c>
      <c r="L380" s="425">
        <v>0</v>
      </c>
      <c r="M380" s="408">
        <v>0</v>
      </c>
      <c r="N380" s="383">
        <v>1077</v>
      </c>
      <c r="O380" s="383">
        <v>2656189</v>
      </c>
      <c r="P380" s="386">
        <v>0</v>
      </c>
      <c r="Q380" s="383">
        <v>0</v>
      </c>
      <c r="R380" s="386">
        <v>0</v>
      </c>
      <c r="S380" s="383">
        <v>0</v>
      </c>
      <c r="T380" s="384">
        <v>0</v>
      </c>
      <c r="U380" s="387">
        <v>0</v>
      </c>
      <c r="V380" s="241"/>
      <c r="W380" s="241">
        <f>O380/N380</f>
        <v>2466.2850510677808</v>
      </c>
      <c r="X380" s="241"/>
      <c r="Y380" s="5"/>
      <c r="Z380" s="5"/>
      <c r="AA380" s="21"/>
      <c r="AB380" s="21"/>
    </row>
    <row r="381" spans="1:32" s="15" customFormat="1" ht="15.75">
      <c r="A381" s="374">
        <v>6</v>
      </c>
      <c r="B381" s="482" t="s">
        <v>758</v>
      </c>
      <c r="C381" s="383">
        <f>'часть 1'!L391</f>
        <v>2621402</v>
      </c>
      <c r="D381" s="408">
        <v>0</v>
      </c>
      <c r="E381" s="408">
        <v>0</v>
      </c>
      <c r="F381" s="408">
        <v>0</v>
      </c>
      <c r="G381" s="408">
        <v>0</v>
      </c>
      <c r="H381" s="408">
        <v>0</v>
      </c>
      <c r="I381" s="408">
        <v>0</v>
      </c>
      <c r="J381" s="408">
        <v>0</v>
      </c>
      <c r="K381" s="379">
        <v>0</v>
      </c>
      <c r="L381" s="425">
        <v>0</v>
      </c>
      <c r="M381" s="379">
        <v>0</v>
      </c>
      <c r="N381" s="383">
        <v>1060</v>
      </c>
      <c r="O381" s="383">
        <v>2621402</v>
      </c>
      <c r="P381" s="386">
        <v>0</v>
      </c>
      <c r="Q381" s="383">
        <v>0</v>
      </c>
      <c r="R381" s="386">
        <v>0</v>
      </c>
      <c r="S381" s="383">
        <v>0</v>
      </c>
      <c r="T381" s="384">
        <v>0</v>
      </c>
      <c r="U381" s="387">
        <v>0</v>
      </c>
      <c r="V381" s="241"/>
      <c r="W381" s="241">
        <f>O381/N381</f>
        <v>2473.0207547169812</v>
      </c>
      <c r="X381" s="241"/>
      <c r="Y381" s="5"/>
      <c r="Z381" s="5"/>
      <c r="AA381" s="21"/>
      <c r="AB381" s="21"/>
    </row>
    <row r="382" spans="1:32" s="15" customFormat="1" ht="15.75">
      <c r="A382" s="374">
        <v>7</v>
      </c>
      <c r="B382" s="482" t="s">
        <v>744</v>
      </c>
      <c r="C382" s="383">
        <f>'часть 1'!L392</f>
        <v>3471287</v>
      </c>
      <c r="D382" s="408">
        <v>0</v>
      </c>
      <c r="E382" s="408">
        <v>0</v>
      </c>
      <c r="F382" s="408">
        <v>0</v>
      </c>
      <c r="G382" s="408">
        <v>0</v>
      </c>
      <c r="H382" s="408">
        <v>0</v>
      </c>
      <c r="I382" s="408">
        <v>0</v>
      </c>
      <c r="J382" s="408">
        <v>0</v>
      </c>
      <c r="K382" s="379">
        <v>0</v>
      </c>
      <c r="L382" s="425">
        <v>0</v>
      </c>
      <c r="M382" s="408">
        <v>0</v>
      </c>
      <c r="N382" s="383">
        <v>1400</v>
      </c>
      <c r="O382" s="383">
        <v>3471287</v>
      </c>
      <c r="P382" s="386">
        <v>0</v>
      </c>
      <c r="Q382" s="383">
        <v>0</v>
      </c>
      <c r="R382" s="386">
        <v>0</v>
      </c>
      <c r="S382" s="383">
        <v>0</v>
      </c>
      <c r="T382" s="384">
        <v>0</v>
      </c>
      <c r="U382" s="387">
        <v>0</v>
      </c>
      <c r="V382" s="241"/>
      <c r="W382" s="241">
        <f>O382/N382</f>
        <v>2479.4907142857141</v>
      </c>
      <c r="X382" s="241"/>
      <c r="Y382" s="5"/>
      <c r="Z382" s="5"/>
      <c r="AA382" s="21"/>
      <c r="AB382" s="21"/>
    </row>
    <row r="383" spans="1:32" s="15" customFormat="1" ht="15.75">
      <c r="A383" s="374">
        <v>8</v>
      </c>
      <c r="B383" s="482" t="s">
        <v>745</v>
      </c>
      <c r="C383" s="383">
        <f>'часть 1'!L393</f>
        <v>3471167</v>
      </c>
      <c r="D383" s="383">
        <v>0</v>
      </c>
      <c r="E383" s="383">
        <v>0</v>
      </c>
      <c r="F383" s="383">
        <v>0</v>
      </c>
      <c r="G383" s="383">
        <v>0</v>
      </c>
      <c r="H383" s="383">
        <v>0</v>
      </c>
      <c r="I383" s="383">
        <v>0</v>
      </c>
      <c r="J383" s="383">
        <v>0</v>
      </c>
      <c r="K383" s="383">
        <v>0</v>
      </c>
      <c r="L383" s="384">
        <v>0</v>
      </c>
      <c r="M383" s="383">
        <v>0</v>
      </c>
      <c r="N383" s="383">
        <v>1400</v>
      </c>
      <c r="O383" s="383">
        <v>3471167</v>
      </c>
      <c r="P383" s="386">
        <v>0</v>
      </c>
      <c r="Q383" s="383">
        <v>0</v>
      </c>
      <c r="R383" s="383">
        <v>0</v>
      </c>
      <c r="S383" s="383">
        <v>0</v>
      </c>
      <c r="T383" s="384">
        <v>0</v>
      </c>
      <c r="U383" s="387">
        <v>0</v>
      </c>
      <c r="V383" s="241"/>
      <c r="W383" s="241">
        <f>O383/N383</f>
        <v>2479.4050000000002</v>
      </c>
      <c r="X383" s="241"/>
    </row>
    <row r="384" spans="1:32" s="15" customFormat="1" ht="15.75">
      <c r="A384" s="374">
        <v>9</v>
      </c>
      <c r="B384" s="482" t="s">
        <v>746</v>
      </c>
      <c r="C384" s="383">
        <f>'часть 1'!L394</f>
        <v>3891338</v>
      </c>
      <c r="D384" s="408">
        <v>0</v>
      </c>
      <c r="E384" s="408">
        <v>0</v>
      </c>
      <c r="F384" s="408">
        <v>0</v>
      </c>
      <c r="G384" s="408">
        <v>0</v>
      </c>
      <c r="H384" s="408">
        <v>0</v>
      </c>
      <c r="I384" s="408">
        <v>0</v>
      </c>
      <c r="J384" s="408">
        <v>0</v>
      </c>
      <c r="K384" s="379">
        <v>0</v>
      </c>
      <c r="L384" s="425">
        <v>2</v>
      </c>
      <c r="M384" s="385">
        <v>3891338</v>
      </c>
      <c r="N384" s="383">
        <v>0</v>
      </c>
      <c r="O384" s="383">
        <v>0</v>
      </c>
      <c r="P384" s="386">
        <v>0</v>
      </c>
      <c r="Q384" s="383">
        <v>0</v>
      </c>
      <c r="R384" s="386">
        <v>0</v>
      </c>
      <c r="S384" s="383">
        <v>0</v>
      </c>
      <c r="T384" s="384">
        <v>0</v>
      </c>
      <c r="U384" s="387">
        <v>0</v>
      </c>
      <c r="V384" s="241"/>
      <c r="W384" s="241"/>
      <c r="X384" s="241"/>
      <c r="Y384" s="5"/>
      <c r="Z384" s="5"/>
      <c r="AA384" s="21"/>
      <c r="AB384" s="21"/>
      <c r="AF384" s="67">
        <f>M384/L384</f>
        <v>1945669</v>
      </c>
    </row>
    <row r="385" spans="1:36" s="15" customFormat="1" ht="15.75">
      <c r="A385" s="374">
        <v>10</v>
      </c>
      <c r="B385" s="482" t="s">
        <v>747</v>
      </c>
      <c r="C385" s="383">
        <f>'часть 1'!L395</f>
        <v>1965577</v>
      </c>
      <c r="D385" s="408">
        <v>0</v>
      </c>
      <c r="E385" s="408">
        <v>0</v>
      </c>
      <c r="F385" s="408">
        <v>0</v>
      </c>
      <c r="G385" s="408">
        <v>0</v>
      </c>
      <c r="H385" s="408">
        <v>0</v>
      </c>
      <c r="I385" s="408">
        <v>0</v>
      </c>
      <c r="J385" s="408">
        <v>0</v>
      </c>
      <c r="K385" s="379">
        <v>0</v>
      </c>
      <c r="L385" s="425">
        <v>1</v>
      </c>
      <c r="M385" s="408">
        <v>1965577</v>
      </c>
      <c r="N385" s="383">
        <v>0</v>
      </c>
      <c r="O385" s="383">
        <v>0</v>
      </c>
      <c r="P385" s="386">
        <v>0</v>
      </c>
      <c r="Q385" s="383">
        <v>0</v>
      </c>
      <c r="R385" s="386">
        <v>0</v>
      </c>
      <c r="S385" s="383">
        <v>0</v>
      </c>
      <c r="T385" s="384">
        <v>0</v>
      </c>
      <c r="U385" s="387">
        <v>0</v>
      </c>
      <c r="V385" s="241"/>
      <c r="W385" s="241"/>
      <c r="X385" s="241"/>
      <c r="Y385" s="5"/>
      <c r="Z385" s="5"/>
      <c r="AA385" s="21"/>
      <c r="AB385" s="21"/>
      <c r="AF385" s="67">
        <f>M385/L385</f>
        <v>1965577</v>
      </c>
    </row>
    <row r="386" spans="1:36" s="15" customFormat="1">
      <c r="A386" s="374"/>
      <c r="B386" s="382"/>
      <c r="C386" s="408"/>
      <c r="D386" s="408"/>
      <c r="E386" s="408"/>
      <c r="F386" s="408"/>
      <c r="G386" s="408"/>
      <c r="H386" s="408"/>
      <c r="I386" s="408"/>
      <c r="J386" s="408"/>
      <c r="K386" s="379"/>
      <c r="L386" s="425"/>
      <c r="M386" s="379"/>
      <c r="N386" s="383"/>
      <c r="O386" s="383"/>
      <c r="P386" s="386"/>
      <c r="Q386" s="383"/>
      <c r="R386" s="386"/>
      <c r="S386" s="383"/>
      <c r="T386" s="384"/>
      <c r="U386" s="387"/>
      <c r="V386" s="241"/>
      <c r="W386" s="241"/>
      <c r="X386" s="241"/>
      <c r="Y386" s="5"/>
      <c r="Z386" s="5"/>
      <c r="AA386" s="21"/>
      <c r="AB386" s="21"/>
    </row>
    <row r="387" spans="1:36" s="15" customFormat="1">
      <c r="A387" s="374"/>
      <c r="B387" s="392"/>
      <c r="C387" s="408"/>
      <c r="D387" s="408"/>
      <c r="E387" s="408"/>
      <c r="F387" s="408"/>
      <c r="G387" s="408"/>
      <c r="H387" s="408"/>
      <c r="I387" s="408"/>
      <c r="J387" s="408"/>
      <c r="K387" s="408"/>
      <c r="L387" s="384"/>
      <c r="M387" s="383"/>
      <c r="N387" s="383"/>
      <c r="O387" s="383"/>
      <c r="P387" s="386"/>
      <c r="Q387" s="383"/>
      <c r="R387" s="386"/>
      <c r="S387" s="383"/>
      <c r="T387" s="384"/>
      <c r="U387" s="387"/>
      <c r="V387" s="241"/>
      <c r="W387" s="241"/>
      <c r="X387" s="241"/>
    </row>
    <row r="388" spans="1:36" s="15" customFormat="1">
      <c r="A388" s="374"/>
      <c r="B388" s="382"/>
      <c r="C388" s="408"/>
      <c r="D388" s="408"/>
      <c r="E388" s="408"/>
      <c r="F388" s="408"/>
      <c r="G388" s="408"/>
      <c r="H388" s="408"/>
      <c r="I388" s="408"/>
      <c r="J388" s="408"/>
      <c r="K388" s="379"/>
      <c r="L388" s="425"/>
      <c r="M388" s="379"/>
      <c r="N388" s="383"/>
      <c r="O388" s="383"/>
      <c r="P388" s="386"/>
      <c r="Q388" s="383"/>
      <c r="R388" s="386"/>
      <c r="S388" s="383"/>
      <c r="T388" s="384"/>
      <c r="U388" s="387"/>
      <c r="V388" s="241"/>
      <c r="W388" s="241"/>
      <c r="X388" s="241"/>
      <c r="Y388" s="5"/>
      <c r="Z388" s="5"/>
      <c r="AA388" s="21"/>
      <c r="AB388" s="21"/>
    </row>
    <row r="389" spans="1:36" s="15" customFormat="1">
      <c r="A389" s="374"/>
      <c r="B389" s="382"/>
      <c r="C389" s="408"/>
      <c r="D389" s="408"/>
      <c r="E389" s="408"/>
      <c r="F389" s="408"/>
      <c r="G389" s="408"/>
      <c r="H389" s="408"/>
      <c r="I389" s="408"/>
      <c r="J389" s="408"/>
      <c r="K389" s="379"/>
      <c r="L389" s="425"/>
      <c r="M389" s="408"/>
      <c r="N389" s="383"/>
      <c r="O389" s="383"/>
      <c r="P389" s="386"/>
      <c r="Q389" s="383"/>
      <c r="R389" s="386"/>
      <c r="S389" s="383"/>
      <c r="T389" s="384"/>
      <c r="U389" s="387"/>
      <c r="V389" s="241"/>
      <c r="W389" s="241"/>
      <c r="X389" s="241"/>
      <c r="Y389" s="5"/>
      <c r="Z389" s="5"/>
      <c r="AA389" s="21"/>
      <c r="AB389" s="21"/>
    </row>
    <row r="390" spans="1:36" s="15" customFormat="1">
      <c r="A390" s="374"/>
      <c r="B390" s="584"/>
      <c r="C390" s="383"/>
      <c r="D390" s="383"/>
      <c r="E390" s="383"/>
      <c r="F390" s="383"/>
      <c r="G390" s="383"/>
      <c r="H390" s="383"/>
      <c r="I390" s="383"/>
      <c r="J390" s="383"/>
      <c r="K390" s="383"/>
      <c r="L390" s="384"/>
      <c r="M390" s="383"/>
      <c r="N390" s="383"/>
      <c r="O390" s="383"/>
      <c r="P390" s="386"/>
      <c r="Q390" s="383"/>
      <c r="R390" s="383"/>
      <c r="S390" s="383"/>
      <c r="T390" s="384"/>
      <c r="U390" s="387"/>
      <c r="V390" s="241"/>
      <c r="W390" s="241"/>
      <c r="X390" s="241"/>
    </row>
    <row r="391" spans="1:36" s="15" customFormat="1" ht="30">
      <c r="A391" s="166"/>
      <c r="B391" s="201" t="s">
        <v>132</v>
      </c>
      <c r="C391" s="177">
        <f>C392+C393+C394</f>
        <v>5439639</v>
      </c>
      <c r="D391" s="177">
        <f t="shared" ref="D391:V391" si="42">D392+D393+D394</f>
        <v>0</v>
      </c>
      <c r="E391" s="177">
        <f t="shared" si="42"/>
        <v>0</v>
      </c>
      <c r="F391" s="177">
        <f t="shared" si="42"/>
        <v>0</v>
      </c>
      <c r="G391" s="177">
        <f t="shared" si="42"/>
        <v>0</v>
      </c>
      <c r="H391" s="177">
        <f t="shared" si="42"/>
        <v>0</v>
      </c>
      <c r="I391" s="177">
        <f t="shared" si="42"/>
        <v>0</v>
      </c>
      <c r="J391" s="177">
        <f t="shared" si="42"/>
        <v>0</v>
      </c>
      <c r="K391" s="177">
        <f t="shared" si="42"/>
        <v>0</v>
      </c>
      <c r="L391" s="177">
        <f t="shared" si="42"/>
        <v>0</v>
      </c>
      <c r="M391" s="177">
        <f t="shared" si="42"/>
        <v>0</v>
      </c>
      <c r="N391" s="177">
        <f t="shared" si="42"/>
        <v>1137.5</v>
      </c>
      <c r="O391" s="177">
        <f t="shared" si="42"/>
        <v>3582717</v>
      </c>
      <c r="P391" s="177">
        <f t="shared" si="42"/>
        <v>0</v>
      </c>
      <c r="Q391" s="177">
        <f t="shared" si="42"/>
        <v>0</v>
      </c>
      <c r="R391" s="177">
        <f t="shared" si="42"/>
        <v>1224.5</v>
      </c>
      <c r="S391" s="177">
        <f t="shared" si="42"/>
        <v>1856922</v>
      </c>
      <c r="T391" s="177">
        <f t="shared" si="42"/>
        <v>0</v>
      </c>
      <c r="U391" s="177">
        <f t="shared" si="42"/>
        <v>0</v>
      </c>
      <c r="V391" s="177">
        <f t="shared" si="42"/>
        <v>0</v>
      </c>
      <c r="W391" s="241"/>
      <c r="X391" s="241"/>
    </row>
    <row r="392" spans="1:36" s="15" customFormat="1" ht="31.5">
      <c r="A392" s="374"/>
      <c r="B392" s="577" t="s">
        <v>697</v>
      </c>
      <c r="C392" s="383">
        <f>'часть 1'!L398</f>
        <v>1207837</v>
      </c>
      <c r="D392" s="383">
        <v>0</v>
      </c>
      <c r="E392" s="383">
        <v>0</v>
      </c>
      <c r="F392" s="383">
        <v>0</v>
      </c>
      <c r="G392" s="383">
        <v>0</v>
      </c>
      <c r="H392" s="383">
        <v>0</v>
      </c>
      <c r="I392" s="383">
        <v>0</v>
      </c>
      <c r="J392" s="383">
        <v>0</v>
      </c>
      <c r="K392" s="383">
        <v>0</v>
      </c>
      <c r="L392" s="384">
        <v>0</v>
      </c>
      <c r="M392" s="383">
        <v>0</v>
      </c>
      <c r="N392" s="383">
        <v>0</v>
      </c>
      <c r="O392" s="383">
        <v>0</v>
      </c>
      <c r="P392" s="386">
        <v>0</v>
      </c>
      <c r="Q392" s="383">
        <v>0</v>
      </c>
      <c r="R392" s="383">
        <v>797.3</v>
      </c>
      <c r="S392" s="383">
        <v>1207837</v>
      </c>
      <c r="T392" s="384">
        <v>0</v>
      </c>
      <c r="U392" s="387">
        <v>0</v>
      </c>
      <c r="V392" s="241"/>
      <c r="W392" s="241"/>
      <c r="X392" s="241">
        <f>S392/R392</f>
        <v>1514.909068104854</v>
      </c>
    </row>
    <row r="393" spans="1:36" s="15" customFormat="1" ht="15.75">
      <c r="A393" s="374"/>
      <c r="B393" s="577" t="s">
        <v>698</v>
      </c>
      <c r="C393" s="383">
        <f>'часть 1'!L399</f>
        <v>1871260</v>
      </c>
      <c r="D393" s="383">
        <v>0</v>
      </c>
      <c r="E393" s="383">
        <v>0</v>
      </c>
      <c r="F393" s="383">
        <v>0</v>
      </c>
      <c r="G393" s="383">
        <v>0</v>
      </c>
      <c r="H393" s="383">
        <v>0</v>
      </c>
      <c r="I393" s="383">
        <v>0</v>
      </c>
      <c r="J393" s="383">
        <v>0</v>
      </c>
      <c r="K393" s="383">
        <v>0</v>
      </c>
      <c r="L393" s="384">
        <v>0</v>
      </c>
      <c r="M393" s="383">
        <v>0</v>
      </c>
      <c r="N393" s="383">
        <v>385.5</v>
      </c>
      <c r="O393" s="383">
        <v>1222175</v>
      </c>
      <c r="P393" s="386">
        <v>0</v>
      </c>
      <c r="Q393" s="383">
        <v>0</v>
      </c>
      <c r="R393" s="383">
        <v>427.2</v>
      </c>
      <c r="S393" s="383">
        <v>649085</v>
      </c>
      <c r="T393" s="384">
        <v>0</v>
      </c>
      <c r="U393" s="387">
        <v>0</v>
      </c>
      <c r="V393" s="241"/>
      <c r="W393" s="241">
        <f>O393/N393</f>
        <v>3170.3631647211414</v>
      </c>
      <c r="X393" s="241">
        <f>S393/R393</f>
        <v>1519.3937265917602</v>
      </c>
    </row>
    <row r="394" spans="1:36" s="15" customFormat="1" ht="31.5">
      <c r="A394" s="374"/>
      <c r="B394" s="577" t="s">
        <v>699</v>
      </c>
      <c r="C394" s="383">
        <f>'часть 1'!L400</f>
        <v>2360542</v>
      </c>
      <c r="D394" s="383">
        <v>0</v>
      </c>
      <c r="E394" s="383">
        <v>0</v>
      </c>
      <c r="F394" s="383">
        <v>0</v>
      </c>
      <c r="G394" s="383">
        <v>0</v>
      </c>
      <c r="H394" s="383">
        <v>0</v>
      </c>
      <c r="I394" s="383">
        <v>0</v>
      </c>
      <c r="J394" s="383">
        <v>0</v>
      </c>
      <c r="K394" s="383">
        <v>0</v>
      </c>
      <c r="L394" s="384">
        <v>0</v>
      </c>
      <c r="M394" s="383">
        <v>0</v>
      </c>
      <c r="N394" s="383">
        <v>752</v>
      </c>
      <c r="O394" s="383">
        <v>2360542</v>
      </c>
      <c r="P394" s="386">
        <v>0</v>
      </c>
      <c r="Q394" s="383">
        <v>0</v>
      </c>
      <c r="R394" s="383">
        <v>0</v>
      </c>
      <c r="S394" s="383">
        <v>0</v>
      </c>
      <c r="T394" s="384">
        <v>0</v>
      </c>
      <c r="U394" s="387">
        <v>0</v>
      </c>
      <c r="V394" s="241"/>
      <c r="W394" s="241">
        <f>O394/N394</f>
        <v>3139.0186170212764</v>
      </c>
      <c r="X394" s="241"/>
    </row>
    <row r="395" spans="1:36" ht="30">
      <c r="A395" s="166"/>
      <c r="B395" s="180" t="s">
        <v>593</v>
      </c>
      <c r="C395" s="177">
        <v>2543251</v>
      </c>
      <c r="D395" s="177"/>
      <c r="E395" s="177"/>
      <c r="F395" s="177"/>
      <c r="G395" s="177"/>
      <c r="H395" s="177"/>
      <c r="I395" s="177"/>
      <c r="J395" s="177"/>
      <c r="K395" s="177">
        <v>0</v>
      </c>
      <c r="L395" s="178">
        <v>0</v>
      </c>
      <c r="M395" s="177">
        <v>0</v>
      </c>
      <c r="N395" s="177">
        <v>1290.4000000000001</v>
      </c>
      <c r="O395" s="177">
        <v>2543251</v>
      </c>
      <c r="P395" s="179">
        <v>0</v>
      </c>
      <c r="Q395" s="177">
        <v>0</v>
      </c>
      <c r="R395" s="179">
        <v>0</v>
      </c>
      <c r="S395" s="177">
        <v>0</v>
      </c>
      <c r="T395" s="178">
        <v>0</v>
      </c>
      <c r="U395" s="248">
        <v>0</v>
      </c>
      <c r="V395" s="241"/>
      <c r="W395" s="241"/>
      <c r="X395" s="241"/>
    </row>
    <row r="396" spans="1:36">
      <c r="A396" s="374">
        <v>331</v>
      </c>
      <c r="B396" s="382" t="s">
        <v>594</v>
      </c>
      <c r="C396" s="383">
        <v>2543251</v>
      </c>
      <c r="D396" s="383"/>
      <c r="E396" s="383"/>
      <c r="F396" s="383"/>
      <c r="G396" s="383"/>
      <c r="H396" s="383"/>
      <c r="I396" s="383"/>
      <c r="J396" s="383"/>
      <c r="K396" s="383">
        <v>0</v>
      </c>
      <c r="L396" s="384">
        <v>0</v>
      </c>
      <c r="M396" s="383">
        <v>0</v>
      </c>
      <c r="N396" s="383">
        <v>1290.4000000000001</v>
      </c>
      <c r="O396" s="383">
        <v>2543251</v>
      </c>
      <c r="P396" s="386">
        <v>0</v>
      </c>
      <c r="Q396" s="383">
        <v>0</v>
      </c>
      <c r="R396" s="386">
        <v>0</v>
      </c>
      <c r="S396" s="383">
        <v>0</v>
      </c>
      <c r="T396" s="384">
        <v>0</v>
      </c>
      <c r="U396" s="387">
        <v>0</v>
      </c>
      <c r="V396" s="241"/>
      <c r="W396" s="241"/>
      <c r="X396" s="241"/>
    </row>
    <row r="397" spans="1:36" ht="30">
      <c r="A397" s="166"/>
      <c r="B397" s="180" t="s">
        <v>110</v>
      </c>
      <c r="C397" s="177">
        <f>C398</f>
        <v>2476043</v>
      </c>
      <c r="D397" s="177">
        <f t="shared" ref="D397:U397" si="43">D398</f>
        <v>0</v>
      </c>
      <c r="E397" s="177">
        <f t="shared" si="43"/>
        <v>0</v>
      </c>
      <c r="F397" s="177">
        <f t="shared" si="43"/>
        <v>0</v>
      </c>
      <c r="G397" s="177">
        <f t="shared" si="43"/>
        <v>0</v>
      </c>
      <c r="H397" s="177">
        <f t="shared" si="43"/>
        <v>0</v>
      </c>
      <c r="I397" s="177">
        <f t="shared" si="43"/>
        <v>0</v>
      </c>
      <c r="J397" s="177">
        <f t="shared" si="43"/>
        <v>0</v>
      </c>
      <c r="K397" s="177">
        <f t="shared" si="43"/>
        <v>0</v>
      </c>
      <c r="L397" s="177">
        <f t="shared" si="43"/>
        <v>0</v>
      </c>
      <c r="M397" s="177">
        <f t="shared" si="43"/>
        <v>0</v>
      </c>
      <c r="N397" s="177">
        <f t="shared" si="43"/>
        <v>783</v>
      </c>
      <c r="O397" s="177">
        <f t="shared" si="43"/>
        <v>2476043</v>
      </c>
      <c r="P397" s="177">
        <f t="shared" si="43"/>
        <v>0</v>
      </c>
      <c r="Q397" s="177">
        <f t="shared" si="43"/>
        <v>0</v>
      </c>
      <c r="R397" s="177">
        <f t="shared" si="43"/>
        <v>0</v>
      </c>
      <c r="S397" s="177">
        <f t="shared" si="43"/>
        <v>0</v>
      </c>
      <c r="T397" s="177">
        <f t="shared" si="43"/>
        <v>0</v>
      </c>
      <c r="U397" s="177">
        <f t="shared" si="43"/>
        <v>0</v>
      </c>
      <c r="V397" s="241"/>
      <c r="W397" s="241"/>
      <c r="X397" s="241"/>
    </row>
    <row r="398" spans="1:36">
      <c r="A398" s="374">
        <v>332</v>
      </c>
      <c r="B398" s="406" t="s">
        <v>472</v>
      </c>
      <c r="C398" s="383">
        <v>2476043</v>
      </c>
      <c r="D398" s="383">
        <v>0</v>
      </c>
      <c r="E398" s="383">
        <v>0</v>
      </c>
      <c r="F398" s="383">
        <v>0</v>
      </c>
      <c r="G398" s="383">
        <v>0</v>
      </c>
      <c r="H398" s="383">
        <v>0</v>
      </c>
      <c r="I398" s="383">
        <v>0</v>
      </c>
      <c r="J398" s="383">
        <v>0</v>
      </c>
      <c r="K398" s="383">
        <v>0</v>
      </c>
      <c r="L398" s="384">
        <v>0</v>
      </c>
      <c r="M398" s="383">
        <v>0</v>
      </c>
      <c r="N398" s="385">
        <v>783</v>
      </c>
      <c r="O398" s="383">
        <v>2476043</v>
      </c>
      <c r="P398" s="386">
        <v>0</v>
      </c>
      <c r="Q398" s="383">
        <v>0</v>
      </c>
      <c r="R398" s="386">
        <v>0</v>
      </c>
      <c r="S398" s="383">
        <v>0</v>
      </c>
      <c r="T398" s="384">
        <v>0</v>
      </c>
      <c r="U398" s="387">
        <v>0</v>
      </c>
      <c r="V398" s="380"/>
      <c r="W398" s="380">
        <f>O398/N398</f>
        <v>3162.2515964240101</v>
      </c>
      <c r="X398" s="380"/>
      <c r="Y398" s="381"/>
      <c r="Z398" s="381"/>
      <c r="AA398" s="381"/>
      <c r="AB398" s="381"/>
      <c r="AC398" s="381"/>
      <c r="AD398" s="381"/>
      <c r="AE398" s="381"/>
      <c r="AF398" s="381"/>
      <c r="AG398" s="381"/>
      <c r="AH398" s="381"/>
      <c r="AI398" s="381"/>
      <c r="AJ398" s="381"/>
    </row>
    <row r="399" spans="1:36">
      <c r="A399" s="374"/>
      <c r="B399" s="382"/>
      <c r="C399" s="383"/>
      <c r="D399" s="383"/>
      <c r="E399" s="383"/>
      <c r="F399" s="383"/>
      <c r="G399" s="383"/>
      <c r="H399" s="383"/>
      <c r="I399" s="383"/>
      <c r="J399" s="383"/>
      <c r="K399" s="383"/>
      <c r="L399" s="384"/>
      <c r="M399" s="383"/>
      <c r="N399" s="383"/>
      <c r="O399" s="383"/>
      <c r="P399" s="386"/>
      <c r="Q399" s="383"/>
      <c r="R399" s="386"/>
      <c r="S399" s="383"/>
      <c r="T399" s="384"/>
      <c r="U399" s="387"/>
      <c r="V399" s="380"/>
      <c r="W399" s="380"/>
      <c r="X399" s="380"/>
      <c r="Y399" s="381"/>
      <c r="Z399" s="381"/>
      <c r="AA399" s="381"/>
      <c r="AB399" s="381"/>
      <c r="AC399" s="381"/>
      <c r="AD399" s="381"/>
      <c r="AE399" s="381"/>
      <c r="AF399" s="381"/>
      <c r="AG399" s="381"/>
      <c r="AH399" s="381"/>
      <c r="AI399" s="381"/>
      <c r="AJ399" s="381"/>
    </row>
    <row r="400" spans="1:36" ht="30">
      <c r="A400" s="374"/>
      <c r="B400" s="382" t="s">
        <v>128</v>
      </c>
      <c r="C400" s="383">
        <f>C401+C402+C403+C404</f>
        <v>11027716</v>
      </c>
      <c r="D400" s="383">
        <f t="shared" ref="D400:V400" si="44">D401+D402+D403+D404</f>
        <v>0</v>
      </c>
      <c r="E400" s="383">
        <f t="shared" si="44"/>
        <v>0</v>
      </c>
      <c r="F400" s="383">
        <f t="shared" si="44"/>
        <v>0</v>
      </c>
      <c r="G400" s="383">
        <f t="shared" si="44"/>
        <v>0</v>
      </c>
      <c r="H400" s="383">
        <f t="shared" si="44"/>
        <v>0</v>
      </c>
      <c r="I400" s="383">
        <f t="shared" si="44"/>
        <v>0</v>
      </c>
      <c r="J400" s="383">
        <f t="shared" si="44"/>
        <v>0</v>
      </c>
      <c r="K400" s="383">
        <f t="shared" si="44"/>
        <v>0</v>
      </c>
      <c r="L400" s="383">
        <f t="shared" si="44"/>
        <v>0</v>
      </c>
      <c r="M400" s="383">
        <f t="shared" si="44"/>
        <v>0</v>
      </c>
      <c r="N400" s="383">
        <f t="shared" si="44"/>
        <v>4318.6000000000004</v>
      </c>
      <c r="O400" s="383">
        <f t="shared" si="44"/>
        <v>11027716</v>
      </c>
      <c r="P400" s="383">
        <f t="shared" si="44"/>
        <v>0</v>
      </c>
      <c r="Q400" s="383">
        <f t="shared" si="44"/>
        <v>0</v>
      </c>
      <c r="R400" s="383">
        <f t="shared" si="44"/>
        <v>0</v>
      </c>
      <c r="S400" s="383">
        <f t="shared" si="44"/>
        <v>0</v>
      </c>
      <c r="T400" s="383">
        <f t="shared" si="44"/>
        <v>0</v>
      </c>
      <c r="U400" s="383">
        <f t="shared" si="44"/>
        <v>0</v>
      </c>
      <c r="V400" s="177">
        <f t="shared" si="44"/>
        <v>0</v>
      </c>
      <c r="W400" s="241"/>
      <c r="X400" s="241"/>
    </row>
    <row r="401" spans="1:24" customFormat="1">
      <c r="A401" s="374">
        <v>334</v>
      </c>
      <c r="B401" s="407" t="s">
        <v>721</v>
      </c>
      <c r="C401" s="408">
        <f>'часть 1'!L406</f>
        <v>2009466</v>
      </c>
      <c r="D401" s="408">
        <f>E401+F401+G401+H401+I401+J401+K401</f>
        <v>0</v>
      </c>
      <c r="E401" s="408">
        <v>0</v>
      </c>
      <c r="F401" s="408">
        <v>0</v>
      </c>
      <c r="G401" s="408">
        <v>0</v>
      </c>
      <c r="H401" s="408">
        <v>0</v>
      </c>
      <c r="I401" s="408">
        <v>0</v>
      </c>
      <c r="J401" s="408">
        <v>0</v>
      </c>
      <c r="K401" s="408">
        <v>0</v>
      </c>
      <c r="L401" s="409">
        <v>0</v>
      </c>
      <c r="M401" s="408">
        <v>0</v>
      </c>
      <c r="N401" s="385">
        <v>811</v>
      </c>
      <c r="O401" s="408">
        <v>2009466</v>
      </c>
      <c r="P401" s="409">
        <v>0</v>
      </c>
      <c r="Q401" s="408">
        <v>0</v>
      </c>
      <c r="R401" s="409">
        <v>0</v>
      </c>
      <c r="S401" s="408">
        <v>0</v>
      </c>
      <c r="T401" s="561">
        <v>0</v>
      </c>
      <c r="U401" s="562">
        <v>0</v>
      </c>
      <c r="V401" s="241"/>
      <c r="W401" s="241">
        <f>O401/N401</f>
        <v>2477.7632552404439</v>
      </c>
      <c r="X401" s="241"/>
    </row>
    <row r="402" spans="1:24" customFormat="1">
      <c r="A402" s="374">
        <v>335</v>
      </c>
      <c r="B402" s="407" t="s">
        <v>722</v>
      </c>
      <c r="C402" s="408">
        <f>'часть 1'!L407</f>
        <v>1709729</v>
      </c>
      <c r="D402" s="408">
        <f>E402+F402+G402+H402+I402+J402+K402</f>
        <v>0</v>
      </c>
      <c r="E402" s="408">
        <v>0</v>
      </c>
      <c r="F402" s="408">
        <v>0</v>
      </c>
      <c r="G402" s="408">
        <v>0</v>
      </c>
      <c r="H402" s="408">
        <v>0</v>
      </c>
      <c r="I402" s="408">
        <v>0</v>
      </c>
      <c r="J402" s="408">
        <v>0</v>
      </c>
      <c r="K402" s="408">
        <v>0</v>
      </c>
      <c r="L402" s="409">
        <v>0</v>
      </c>
      <c r="M402" s="408">
        <v>0</v>
      </c>
      <c r="N402" s="385">
        <v>543</v>
      </c>
      <c r="O402" s="408">
        <v>1709729</v>
      </c>
      <c r="P402" s="409">
        <v>0</v>
      </c>
      <c r="Q402" s="408">
        <v>0</v>
      </c>
      <c r="R402" s="409">
        <v>0</v>
      </c>
      <c r="S402" s="408">
        <v>0</v>
      </c>
      <c r="T402" s="561">
        <v>0</v>
      </c>
      <c r="U402" s="562">
        <v>0</v>
      </c>
      <c r="V402" s="241"/>
      <c r="W402" s="241">
        <f>O402/N402</f>
        <v>3148.6721915285452</v>
      </c>
      <c r="X402" s="241"/>
    </row>
    <row r="403" spans="1:24" customFormat="1">
      <c r="A403" s="374">
        <v>336</v>
      </c>
      <c r="B403" s="407" t="s">
        <v>723</v>
      </c>
      <c r="C403" s="408">
        <f>'часть 1'!L408</f>
        <v>4267870</v>
      </c>
      <c r="D403" s="408">
        <f>E403+F403+G403+H403+I403+J403+K403</f>
        <v>0</v>
      </c>
      <c r="E403" s="408">
        <v>0</v>
      </c>
      <c r="F403" s="408">
        <v>0</v>
      </c>
      <c r="G403" s="408">
        <v>0</v>
      </c>
      <c r="H403" s="408">
        <v>0</v>
      </c>
      <c r="I403" s="408">
        <v>0</v>
      </c>
      <c r="J403" s="408">
        <v>0</v>
      </c>
      <c r="K403" s="408">
        <v>0</v>
      </c>
      <c r="L403" s="409">
        <v>0</v>
      </c>
      <c r="M403" s="408">
        <v>0</v>
      </c>
      <c r="N403" s="385">
        <v>1732.6</v>
      </c>
      <c r="O403" s="408">
        <v>4267870</v>
      </c>
      <c r="P403" s="409">
        <v>0</v>
      </c>
      <c r="Q403" s="408">
        <v>0</v>
      </c>
      <c r="R403" s="409">
        <v>0</v>
      </c>
      <c r="S403" s="408">
        <v>0</v>
      </c>
      <c r="T403" s="561">
        <v>0</v>
      </c>
      <c r="U403" s="562">
        <v>0</v>
      </c>
      <c r="V403" s="241"/>
      <c r="W403" s="241">
        <f>O403/N403</f>
        <v>2463.2748470506754</v>
      </c>
      <c r="X403" s="241"/>
    </row>
    <row r="404" spans="1:24" customFormat="1">
      <c r="A404" s="374">
        <v>337</v>
      </c>
      <c r="B404" s="407" t="s">
        <v>724</v>
      </c>
      <c r="C404" s="408">
        <f>'часть 1'!L409</f>
        <v>3040651</v>
      </c>
      <c r="D404" s="408">
        <f>E404+F404+G404+H404+I404+J404+K404</f>
        <v>0</v>
      </c>
      <c r="E404" s="408">
        <v>0</v>
      </c>
      <c r="F404" s="408">
        <v>0</v>
      </c>
      <c r="G404" s="408">
        <v>0</v>
      </c>
      <c r="H404" s="408">
        <v>0</v>
      </c>
      <c r="I404" s="408">
        <v>0</v>
      </c>
      <c r="J404" s="408">
        <v>0</v>
      </c>
      <c r="K404" s="408">
        <v>0</v>
      </c>
      <c r="L404" s="409">
        <v>0</v>
      </c>
      <c r="M404" s="408">
        <v>0</v>
      </c>
      <c r="N404" s="385">
        <v>1232</v>
      </c>
      <c r="O404" s="408">
        <v>3040651</v>
      </c>
      <c r="P404" s="409">
        <v>0</v>
      </c>
      <c r="Q404" s="408">
        <v>0</v>
      </c>
      <c r="R404" s="409">
        <v>0</v>
      </c>
      <c r="S404" s="408">
        <v>0</v>
      </c>
      <c r="T404" s="561">
        <v>0</v>
      </c>
      <c r="U404" s="562">
        <v>0</v>
      </c>
      <c r="V404" s="241"/>
      <c r="W404" s="241">
        <f>O404/N404</f>
        <v>2468.0608766233768</v>
      </c>
      <c r="X404" s="241"/>
    </row>
    <row r="405" spans="1:24" customFormat="1">
      <c r="A405" s="374"/>
      <c r="B405" s="407"/>
      <c r="C405" s="408"/>
      <c r="D405" s="408"/>
      <c r="E405" s="408"/>
      <c r="F405" s="408"/>
      <c r="G405" s="408"/>
      <c r="H405" s="408"/>
      <c r="I405" s="408"/>
      <c r="J405" s="408"/>
      <c r="K405" s="408"/>
      <c r="L405" s="409"/>
      <c r="M405" s="408"/>
      <c r="N405" s="385"/>
      <c r="O405" s="408"/>
      <c r="P405" s="409"/>
      <c r="Q405" s="408"/>
      <c r="R405" s="409"/>
      <c r="S405" s="408"/>
      <c r="T405" s="561"/>
      <c r="U405" s="562"/>
      <c r="V405" s="241"/>
      <c r="W405" s="241"/>
      <c r="X405" s="241"/>
    </row>
    <row r="406" spans="1:24" customFormat="1">
      <c r="A406" s="374"/>
      <c r="B406" s="407"/>
      <c r="C406" s="408"/>
      <c r="D406" s="408"/>
      <c r="E406" s="408"/>
      <c r="F406" s="408"/>
      <c r="G406" s="408"/>
      <c r="H406" s="408"/>
      <c r="I406" s="408"/>
      <c r="J406" s="408"/>
      <c r="K406" s="408"/>
      <c r="L406" s="409"/>
      <c r="M406" s="408"/>
      <c r="N406" s="385"/>
      <c r="O406" s="408"/>
      <c r="P406" s="409"/>
      <c r="Q406" s="408"/>
      <c r="R406" s="409"/>
      <c r="S406" s="408"/>
      <c r="T406" s="561"/>
      <c r="U406" s="562"/>
      <c r="V406" s="241"/>
      <c r="W406" s="241"/>
      <c r="X406" s="241"/>
    </row>
    <row r="407" spans="1:24" customFormat="1" ht="30">
      <c r="A407" s="374"/>
      <c r="B407" s="407" t="s">
        <v>668</v>
      </c>
      <c r="C407" s="408">
        <f>C408+C409</f>
        <v>4521219</v>
      </c>
      <c r="D407" s="408">
        <f t="shared" ref="D407:U407" si="45">D408+D409</f>
        <v>0</v>
      </c>
      <c r="E407" s="408">
        <f t="shared" si="45"/>
        <v>0</v>
      </c>
      <c r="F407" s="408">
        <f t="shared" si="45"/>
        <v>0</v>
      </c>
      <c r="G407" s="408">
        <f t="shared" si="45"/>
        <v>0</v>
      </c>
      <c r="H407" s="408">
        <f t="shared" si="45"/>
        <v>0</v>
      </c>
      <c r="I407" s="408">
        <f t="shared" si="45"/>
        <v>0</v>
      </c>
      <c r="J407" s="408">
        <f t="shared" si="45"/>
        <v>0</v>
      </c>
      <c r="K407" s="408">
        <f t="shared" si="45"/>
        <v>0</v>
      </c>
      <c r="L407" s="408">
        <f t="shared" si="45"/>
        <v>0</v>
      </c>
      <c r="M407" s="408">
        <f t="shared" si="45"/>
        <v>0</v>
      </c>
      <c r="N407" s="408">
        <f t="shared" si="45"/>
        <v>1683.3</v>
      </c>
      <c r="O407" s="408">
        <f t="shared" si="45"/>
        <v>4521219</v>
      </c>
      <c r="P407" s="408">
        <f t="shared" si="45"/>
        <v>0</v>
      </c>
      <c r="Q407" s="408">
        <f t="shared" si="45"/>
        <v>0</v>
      </c>
      <c r="R407" s="408">
        <f t="shared" si="45"/>
        <v>0</v>
      </c>
      <c r="S407" s="408">
        <f t="shared" si="45"/>
        <v>0</v>
      </c>
      <c r="T407" s="408">
        <f t="shared" si="45"/>
        <v>0</v>
      </c>
      <c r="U407" s="408">
        <f t="shared" si="45"/>
        <v>0</v>
      </c>
      <c r="V407" s="241"/>
      <c r="W407" s="241"/>
      <c r="X407" s="241"/>
    </row>
    <row r="408" spans="1:24" customFormat="1">
      <c r="A408" s="374"/>
      <c r="B408" s="407" t="s">
        <v>669</v>
      </c>
      <c r="C408" s="408">
        <v>2857112</v>
      </c>
      <c r="D408" s="408">
        <v>0</v>
      </c>
      <c r="E408" s="408">
        <v>0</v>
      </c>
      <c r="F408" s="408">
        <v>0</v>
      </c>
      <c r="G408" s="408">
        <v>0</v>
      </c>
      <c r="H408" s="408">
        <v>0</v>
      </c>
      <c r="I408" s="408">
        <v>0</v>
      </c>
      <c r="J408" s="408">
        <v>0</v>
      </c>
      <c r="K408" s="408">
        <v>0</v>
      </c>
      <c r="L408" s="409">
        <v>0</v>
      </c>
      <c r="M408" s="408">
        <v>0</v>
      </c>
      <c r="N408" s="385">
        <v>1156</v>
      </c>
      <c r="O408" s="408">
        <v>2857112</v>
      </c>
      <c r="P408" s="409">
        <v>0</v>
      </c>
      <c r="Q408" s="408">
        <v>0</v>
      </c>
      <c r="R408" s="409">
        <v>0</v>
      </c>
      <c r="S408" s="408">
        <v>0</v>
      </c>
      <c r="T408" s="561">
        <v>0</v>
      </c>
      <c r="U408" s="562">
        <v>0</v>
      </c>
      <c r="V408" s="241"/>
      <c r="W408" s="241">
        <f>O408/N408</f>
        <v>2471.5501730103806</v>
      </c>
      <c r="X408" s="241"/>
    </row>
    <row r="409" spans="1:24" customFormat="1">
      <c r="A409" s="374"/>
      <c r="B409" s="407" t="s">
        <v>670</v>
      </c>
      <c r="C409" s="408">
        <v>1664107</v>
      </c>
      <c r="D409" s="408">
        <v>0</v>
      </c>
      <c r="E409" s="408">
        <v>0</v>
      </c>
      <c r="F409" s="408">
        <v>0</v>
      </c>
      <c r="G409" s="408">
        <v>0</v>
      </c>
      <c r="H409" s="408">
        <v>0</v>
      </c>
      <c r="I409" s="408">
        <v>0</v>
      </c>
      <c r="J409" s="408">
        <v>0</v>
      </c>
      <c r="K409" s="408">
        <v>0</v>
      </c>
      <c r="L409" s="409">
        <v>0</v>
      </c>
      <c r="M409" s="408">
        <v>0</v>
      </c>
      <c r="N409" s="385">
        <v>527.29999999999995</v>
      </c>
      <c r="O409" s="408">
        <v>1664107</v>
      </c>
      <c r="P409" s="409">
        <v>0</v>
      </c>
      <c r="Q409" s="408">
        <v>0</v>
      </c>
      <c r="R409" s="409">
        <v>0</v>
      </c>
      <c r="S409" s="408">
        <v>0</v>
      </c>
      <c r="T409" s="561">
        <v>0</v>
      </c>
      <c r="U409" s="562">
        <v>0</v>
      </c>
      <c r="V409" s="241"/>
      <c r="W409" s="241">
        <f>O409/N409</f>
        <v>3155.9017637018778</v>
      </c>
      <c r="X409" s="241"/>
    </row>
    <row r="410" spans="1:24" ht="30">
      <c r="A410" s="166"/>
      <c r="B410" s="180" t="s">
        <v>994</v>
      </c>
      <c r="C410" s="177">
        <f>C411</f>
        <v>1540610</v>
      </c>
      <c r="D410" s="177">
        <f t="shared" ref="D410:U410" si="46">D411</f>
        <v>0</v>
      </c>
      <c r="E410" s="177">
        <f t="shared" si="46"/>
        <v>0</v>
      </c>
      <c r="F410" s="177">
        <f t="shared" si="46"/>
        <v>0</v>
      </c>
      <c r="G410" s="177">
        <f t="shared" si="46"/>
        <v>0</v>
      </c>
      <c r="H410" s="177">
        <f t="shared" si="46"/>
        <v>0</v>
      </c>
      <c r="I410" s="177">
        <f t="shared" si="46"/>
        <v>0</v>
      </c>
      <c r="J410" s="177">
        <f t="shared" si="46"/>
        <v>0</v>
      </c>
      <c r="K410" s="177">
        <f t="shared" si="46"/>
        <v>0</v>
      </c>
      <c r="L410" s="177">
        <f t="shared" si="46"/>
        <v>0</v>
      </c>
      <c r="M410" s="177">
        <f t="shared" si="46"/>
        <v>0</v>
      </c>
      <c r="N410" s="177">
        <f t="shared" si="46"/>
        <v>625.9</v>
      </c>
      <c r="O410" s="177">
        <f t="shared" si="46"/>
        <v>1540610</v>
      </c>
      <c r="P410" s="177">
        <f t="shared" si="46"/>
        <v>0</v>
      </c>
      <c r="Q410" s="177">
        <f t="shared" si="46"/>
        <v>0</v>
      </c>
      <c r="R410" s="177">
        <f t="shared" si="46"/>
        <v>0</v>
      </c>
      <c r="S410" s="177">
        <f t="shared" si="46"/>
        <v>0</v>
      </c>
      <c r="T410" s="177">
        <f t="shared" si="46"/>
        <v>0</v>
      </c>
      <c r="U410" s="177">
        <f t="shared" si="46"/>
        <v>0</v>
      </c>
      <c r="V410" s="241"/>
      <c r="W410" s="241"/>
      <c r="X410" s="241"/>
    </row>
    <row r="411" spans="1:24" ht="34.9" customHeight="1">
      <c r="A411" s="166">
        <v>340</v>
      </c>
      <c r="B411" s="224" t="s">
        <v>995</v>
      </c>
      <c r="C411" s="177">
        <f>'часть 1'!L416</f>
        <v>1540610</v>
      </c>
      <c r="D411" s="177">
        <v>0</v>
      </c>
      <c r="E411" s="177">
        <v>0</v>
      </c>
      <c r="F411" s="177">
        <v>0</v>
      </c>
      <c r="G411" s="177">
        <v>0</v>
      </c>
      <c r="H411" s="177">
        <v>0</v>
      </c>
      <c r="I411" s="177">
        <v>0</v>
      </c>
      <c r="J411" s="177">
        <v>0</v>
      </c>
      <c r="K411" s="177">
        <v>0</v>
      </c>
      <c r="L411" s="178">
        <v>0</v>
      </c>
      <c r="M411" s="177">
        <v>0</v>
      </c>
      <c r="N411" s="177">
        <v>625.9</v>
      </c>
      <c r="O411" s="177">
        <v>1540610</v>
      </c>
      <c r="P411" s="179">
        <v>0</v>
      </c>
      <c r="Q411" s="177">
        <v>0</v>
      </c>
      <c r="R411" s="177">
        <v>0</v>
      </c>
      <c r="S411" s="177">
        <v>0</v>
      </c>
      <c r="T411" s="178">
        <v>0</v>
      </c>
      <c r="U411" s="248">
        <v>0</v>
      </c>
      <c r="V411" s="241"/>
      <c r="W411" s="241">
        <f>O411/N411</f>
        <v>2461.4315385844384</v>
      </c>
      <c r="X411" s="241"/>
    </row>
    <row r="412" spans="1:24" ht="30">
      <c r="A412" s="166"/>
      <c r="B412" s="180" t="s">
        <v>111</v>
      </c>
      <c r="C412" s="177">
        <v>657835.92000000004</v>
      </c>
      <c r="D412" s="177"/>
      <c r="E412" s="177"/>
      <c r="F412" s="177"/>
      <c r="G412" s="177"/>
      <c r="H412" s="177"/>
      <c r="I412" s="177"/>
      <c r="J412" s="177"/>
      <c r="K412" s="177">
        <v>0</v>
      </c>
      <c r="L412" s="179">
        <v>0</v>
      </c>
      <c r="M412" s="177">
        <v>0</v>
      </c>
      <c r="N412" s="177">
        <f>N413</f>
        <v>396</v>
      </c>
      <c r="O412" s="177">
        <v>657835.92000000004</v>
      </c>
      <c r="P412" s="179">
        <v>0</v>
      </c>
      <c r="Q412" s="205">
        <v>0</v>
      </c>
      <c r="R412" s="179">
        <v>0</v>
      </c>
      <c r="S412" s="205">
        <v>0</v>
      </c>
      <c r="T412" s="178">
        <v>0</v>
      </c>
      <c r="U412" s="251">
        <v>0</v>
      </c>
      <c r="V412" s="241"/>
      <c r="W412" s="241"/>
      <c r="X412" s="241"/>
    </row>
    <row r="413" spans="1:24" ht="30">
      <c r="A413" s="166">
        <v>341</v>
      </c>
      <c r="B413" s="180" t="s">
        <v>453</v>
      </c>
      <c r="C413" s="177">
        <v>657835.92000000004</v>
      </c>
      <c r="D413" s="177"/>
      <c r="E413" s="177"/>
      <c r="F413" s="177"/>
      <c r="G413" s="177"/>
      <c r="H413" s="177"/>
      <c r="I413" s="177"/>
      <c r="J413" s="177"/>
      <c r="K413" s="177">
        <v>0</v>
      </c>
      <c r="L413" s="178">
        <v>0</v>
      </c>
      <c r="M413" s="177">
        <v>0</v>
      </c>
      <c r="N413" s="167">
        <v>396</v>
      </c>
      <c r="O413" s="177">
        <v>657835.92000000004</v>
      </c>
      <c r="P413" s="179">
        <v>0</v>
      </c>
      <c r="Q413" s="177">
        <v>0</v>
      </c>
      <c r="R413" s="179">
        <v>0</v>
      </c>
      <c r="S413" s="177">
        <v>0</v>
      </c>
      <c r="T413" s="178">
        <v>0</v>
      </c>
      <c r="U413" s="248">
        <v>0</v>
      </c>
      <c r="V413" s="241"/>
      <c r="W413" s="241"/>
      <c r="X413" s="241"/>
    </row>
    <row r="414" spans="1:24" ht="30">
      <c r="A414" s="374"/>
      <c r="B414" s="382" t="s">
        <v>129</v>
      </c>
      <c r="C414" s="383">
        <f>C415+C416</f>
        <v>1473433</v>
      </c>
      <c r="D414" s="383">
        <f t="shared" ref="D414:V414" si="47">D415+D416</f>
        <v>0</v>
      </c>
      <c r="E414" s="383">
        <f t="shared" si="47"/>
        <v>0</v>
      </c>
      <c r="F414" s="383">
        <f t="shared" si="47"/>
        <v>0</v>
      </c>
      <c r="G414" s="383">
        <f t="shared" si="47"/>
        <v>0</v>
      </c>
      <c r="H414" s="383">
        <f t="shared" si="47"/>
        <v>0</v>
      </c>
      <c r="I414" s="383">
        <f t="shared" si="47"/>
        <v>0</v>
      </c>
      <c r="J414" s="383">
        <f t="shared" si="47"/>
        <v>0</v>
      </c>
      <c r="K414" s="383">
        <f t="shared" si="47"/>
        <v>0</v>
      </c>
      <c r="L414" s="383">
        <f t="shared" si="47"/>
        <v>0</v>
      </c>
      <c r="M414" s="383">
        <f t="shared" si="47"/>
        <v>0</v>
      </c>
      <c r="N414" s="383">
        <f t="shared" si="47"/>
        <v>0</v>
      </c>
      <c r="O414" s="383">
        <f t="shared" si="47"/>
        <v>0</v>
      </c>
      <c r="P414" s="383">
        <f t="shared" si="47"/>
        <v>0</v>
      </c>
      <c r="Q414" s="383">
        <f t="shared" si="47"/>
        <v>0</v>
      </c>
      <c r="R414" s="383">
        <f t="shared" si="47"/>
        <v>971.71</v>
      </c>
      <c r="S414" s="383">
        <f t="shared" si="47"/>
        <v>1473433</v>
      </c>
      <c r="T414" s="383">
        <f t="shared" si="47"/>
        <v>0</v>
      </c>
      <c r="U414" s="383">
        <f t="shared" si="47"/>
        <v>0</v>
      </c>
      <c r="V414" s="177">
        <f t="shared" si="47"/>
        <v>0</v>
      </c>
      <c r="W414" s="241"/>
      <c r="X414" s="241"/>
    </row>
    <row r="415" spans="1:24" s="47" customFormat="1" ht="24" customHeight="1">
      <c r="A415" s="374">
        <v>342</v>
      </c>
      <c r="B415" s="375" t="s">
        <v>680</v>
      </c>
      <c r="C415" s="376">
        <f>'часть 1'!L420</f>
        <v>734707</v>
      </c>
      <c r="D415" s="376">
        <v>0</v>
      </c>
      <c r="E415" s="376">
        <v>0</v>
      </c>
      <c r="F415" s="376">
        <v>0</v>
      </c>
      <c r="G415" s="376">
        <v>0</v>
      </c>
      <c r="H415" s="376">
        <v>0</v>
      </c>
      <c r="I415" s="376">
        <v>0</v>
      </c>
      <c r="J415" s="376">
        <v>0</v>
      </c>
      <c r="K415" s="383">
        <v>0</v>
      </c>
      <c r="L415" s="425">
        <v>0</v>
      </c>
      <c r="M415" s="383">
        <v>0</v>
      </c>
      <c r="N415" s="385">
        <v>0</v>
      </c>
      <c r="O415" s="376">
        <v>0</v>
      </c>
      <c r="P415" s="502">
        <v>0</v>
      </c>
      <c r="Q415" s="383">
        <v>0</v>
      </c>
      <c r="R415" s="379">
        <v>484.51</v>
      </c>
      <c r="S415" s="383">
        <v>734707</v>
      </c>
      <c r="T415" s="425">
        <v>0</v>
      </c>
      <c r="U415" s="387">
        <v>0</v>
      </c>
      <c r="V415" s="241"/>
      <c r="W415" s="241"/>
      <c r="X415" s="241">
        <f>S415/R415</f>
        <v>1516.391818538317</v>
      </c>
    </row>
    <row r="416" spans="1:24" s="47" customFormat="1" ht="21.6" customHeight="1">
      <c r="A416" s="374">
        <v>343</v>
      </c>
      <c r="B416" s="375" t="s">
        <v>681</v>
      </c>
      <c r="C416" s="376">
        <f>'часть 1'!L421</f>
        <v>738726</v>
      </c>
      <c r="D416" s="376">
        <v>0</v>
      </c>
      <c r="E416" s="376">
        <v>0</v>
      </c>
      <c r="F416" s="376">
        <v>0</v>
      </c>
      <c r="G416" s="376">
        <v>0</v>
      </c>
      <c r="H416" s="376">
        <v>0</v>
      </c>
      <c r="I416" s="376">
        <v>0</v>
      </c>
      <c r="J416" s="376">
        <v>0</v>
      </c>
      <c r="K416" s="383">
        <v>0</v>
      </c>
      <c r="L416" s="425">
        <v>0</v>
      </c>
      <c r="M416" s="383">
        <v>0</v>
      </c>
      <c r="N416" s="385">
        <v>0</v>
      </c>
      <c r="O416" s="376">
        <v>0</v>
      </c>
      <c r="P416" s="502">
        <v>0</v>
      </c>
      <c r="Q416" s="383">
        <v>0</v>
      </c>
      <c r="R416" s="379">
        <v>487.2</v>
      </c>
      <c r="S416" s="383">
        <v>738726</v>
      </c>
      <c r="T416" s="425">
        <v>0</v>
      </c>
      <c r="U416" s="387">
        <v>0</v>
      </c>
      <c r="V416" s="241"/>
      <c r="W416" s="241"/>
      <c r="X416" s="241">
        <f>S416/R416</f>
        <v>1516.268472906404</v>
      </c>
    </row>
    <row r="417" spans="1:53" s="47" customFormat="1">
      <c r="A417" s="374"/>
      <c r="B417" s="375"/>
      <c r="C417" s="376"/>
      <c r="D417" s="376"/>
      <c r="E417" s="376"/>
      <c r="F417" s="376"/>
      <c r="G417" s="376"/>
      <c r="H417" s="376"/>
      <c r="I417" s="376"/>
      <c r="J417" s="376"/>
      <c r="K417" s="383"/>
      <c r="L417" s="425"/>
      <c r="M417" s="383"/>
      <c r="N417" s="385"/>
      <c r="O417" s="376"/>
      <c r="P417" s="502"/>
      <c r="Q417" s="383"/>
      <c r="R417" s="502"/>
      <c r="S417" s="383"/>
      <c r="T417" s="425"/>
      <c r="U417" s="387"/>
      <c r="V417" s="241"/>
      <c r="W417" s="241"/>
      <c r="X417" s="241"/>
    </row>
    <row r="418" spans="1:53" s="47" customFormat="1">
      <c r="A418" s="374"/>
      <c r="B418" s="375"/>
      <c r="C418" s="376"/>
      <c r="D418" s="376"/>
      <c r="E418" s="376"/>
      <c r="F418" s="376"/>
      <c r="G418" s="376"/>
      <c r="H418" s="376"/>
      <c r="I418" s="376"/>
      <c r="J418" s="376"/>
      <c r="K418" s="383"/>
      <c r="L418" s="425"/>
      <c r="M418" s="383"/>
      <c r="N418" s="385"/>
      <c r="O418" s="376"/>
      <c r="P418" s="502"/>
      <c r="Q418" s="383"/>
      <c r="R418" s="383"/>
      <c r="S418" s="383"/>
      <c r="T418" s="425"/>
      <c r="U418" s="387"/>
      <c r="V418" s="241"/>
      <c r="W418" s="241"/>
      <c r="X418" s="241"/>
    </row>
    <row r="419" spans="1:53">
      <c r="A419" s="166"/>
      <c r="B419" s="182" t="s">
        <v>54</v>
      </c>
      <c r="C419" s="177">
        <v>2222747</v>
      </c>
      <c r="D419" s="177"/>
      <c r="E419" s="177"/>
      <c r="F419" s="177"/>
      <c r="G419" s="177"/>
      <c r="H419" s="177"/>
      <c r="I419" s="177"/>
      <c r="J419" s="177"/>
      <c r="K419" s="177">
        <v>0</v>
      </c>
      <c r="L419" s="178">
        <v>0</v>
      </c>
      <c r="M419" s="177">
        <v>0</v>
      </c>
      <c r="N419" s="177">
        <v>1115</v>
      </c>
      <c r="O419" s="177">
        <v>2222747</v>
      </c>
      <c r="P419" s="179">
        <v>0</v>
      </c>
      <c r="Q419" s="177">
        <v>0</v>
      </c>
      <c r="R419" s="179">
        <v>0</v>
      </c>
      <c r="S419" s="177">
        <v>0</v>
      </c>
      <c r="T419" s="178">
        <v>0</v>
      </c>
      <c r="U419" s="248">
        <v>0</v>
      </c>
      <c r="V419" s="241"/>
      <c r="W419" s="241"/>
      <c r="X419" s="241"/>
    </row>
    <row r="420" spans="1:53" ht="30">
      <c r="A420" s="166"/>
      <c r="B420" s="180" t="s">
        <v>112</v>
      </c>
      <c r="C420" s="177">
        <v>2222747</v>
      </c>
      <c r="D420" s="177"/>
      <c r="E420" s="177"/>
      <c r="F420" s="177"/>
      <c r="G420" s="177"/>
      <c r="H420" s="177"/>
      <c r="I420" s="177"/>
      <c r="J420" s="177"/>
      <c r="K420" s="177">
        <v>0</v>
      </c>
      <c r="L420" s="178">
        <v>0</v>
      </c>
      <c r="M420" s="177">
        <v>0</v>
      </c>
      <c r="N420" s="177">
        <v>1115</v>
      </c>
      <c r="O420" s="177">
        <v>2222747</v>
      </c>
      <c r="P420" s="179">
        <v>0</v>
      </c>
      <c r="Q420" s="177">
        <v>0</v>
      </c>
      <c r="R420" s="179">
        <v>0</v>
      </c>
      <c r="S420" s="177">
        <v>0</v>
      </c>
      <c r="T420" s="178">
        <v>0</v>
      </c>
      <c r="U420" s="248">
        <v>0</v>
      </c>
      <c r="V420" s="241"/>
      <c r="W420" s="241"/>
      <c r="X420" s="241"/>
    </row>
    <row r="421" spans="1:53">
      <c r="A421" s="166">
        <v>346</v>
      </c>
      <c r="B421" s="182" t="s">
        <v>422</v>
      </c>
      <c r="C421" s="177">
        <v>1003542</v>
      </c>
      <c r="D421" s="177"/>
      <c r="E421" s="177"/>
      <c r="F421" s="177"/>
      <c r="G421" s="177"/>
      <c r="H421" s="177"/>
      <c r="I421" s="177"/>
      <c r="J421" s="177"/>
      <c r="K421" s="177">
        <v>0</v>
      </c>
      <c r="L421" s="178">
        <v>0</v>
      </c>
      <c r="M421" s="177">
        <v>0</v>
      </c>
      <c r="N421" s="167">
        <v>510</v>
      </c>
      <c r="O421" s="177">
        <v>1003542</v>
      </c>
      <c r="P421" s="179">
        <v>0</v>
      </c>
      <c r="Q421" s="177">
        <v>0</v>
      </c>
      <c r="R421" s="179">
        <v>0</v>
      </c>
      <c r="S421" s="177">
        <v>0</v>
      </c>
      <c r="T421" s="178">
        <v>0</v>
      </c>
      <c r="U421" s="248">
        <v>0</v>
      </c>
      <c r="V421" s="241"/>
      <c r="W421" s="241"/>
      <c r="X421" s="241"/>
    </row>
    <row r="422" spans="1:53">
      <c r="A422" s="166">
        <v>347</v>
      </c>
      <c r="B422" s="182" t="s">
        <v>421</v>
      </c>
      <c r="C422" s="177">
        <v>740146</v>
      </c>
      <c r="D422" s="177"/>
      <c r="E422" s="177"/>
      <c r="F422" s="177"/>
      <c r="G422" s="177"/>
      <c r="H422" s="177"/>
      <c r="I422" s="177"/>
      <c r="J422" s="177"/>
      <c r="K422" s="177">
        <v>0</v>
      </c>
      <c r="L422" s="178">
        <v>0</v>
      </c>
      <c r="M422" s="177">
        <v>0</v>
      </c>
      <c r="N422" s="167">
        <v>373</v>
      </c>
      <c r="O422" s="177">
        <v>740146</v>
      </c>
      <c r="P422" s="179">
        <v>0</v>
      </c>
      <c r="Q422" s="177">
        <v>0</v>
      </c>
      <c r="R422" s="179">
        <v>0</v>
      </c>
      <c r="S422" s="177">
        <v>0</v>
      </c>
      <c r="T422" s="178">
        <v>0</v>
      </c>
      <c r="U422" s="248">
        <v>0</v>
      </c>
      <c r="V422" s="241"/>
      <c r="W422" s="241"/>
      <c r="X422" s="241"/>
    </row>
    <row r="423" spans="1:53">
      <c r="A423" s="166">
        <v>348</v>
      </c>
      <c r="B423" s="182" t="s">
        <v>423</v>
      </c>
      <c r="C423" s="177">
        <v>479059</v>
      </c>
      <c r="D423" s="177"/>
      <c r="E423" s="177"/>
      <c r="F423" s="177"/>
      <c r="G423" s="177"/>
      <c r="H423" s="177"/>
      <c r="I423" s="177"/>
      <c r="J423" s="177"/>
      <c r="K423" s="177">
        <v>0</v>
      </c>
      <c r="L423" s="178">
        <v>0</v>
      </c>
      <c r="M423" s="177">
        <v>0</v>
      </c>
      <c r="N423" s="177">
        <v>232</v>
      </c>
      <c r="O423" s="177">
        <v>479059</v>
      </c>
      <c r="P423" s="179">
        <v>0</v>
      </c>
      <c r="Q423" s="177">
        <v>0</v>
      </c>
      <c r="R423" s="179">
        <v>0</v>
      </c>
      <c r="S423" s="177">
        <v>0</v>
      </c>
      <c r="T423" s="178">
        <v>0</v>
      </c>
      <c r="U423" s="248">
        <v>0</v>
      </c>
      <c r="V423" s="241"/>
      <c r="W423" s="241"/>
      <c r="X423" s="241"/>
    </row>
    <row r="424" spans="1:53">
      <c r="A424" s="166"/>
      <c r="B424" s="182" t="s">
        <v>55</v>
      </c>
      <c r="C424" s="177">
        <f>C425</f>
        <v>2809430</v>
      </c>
      <c r="D424" s="177">
        <f t="shared" ref="D424:V424" si="48">D425</f>
        <v>0</v>
      </c>
      <c r="E424" s="177">
        <f t="shared" si="48"/>
        <v>0</v>
      </c>
      <c r="F424" s="177">
        <f t="shared" si="48"/>
        <v>0</v>
      </c>
      <c r="G424" s="177">
        <f t="shared" si="48"/>
        <v>0</v>
      </c>
      <c r="H424" s="177">
        <f t="shared" si="48"/>
        <v>0</v>
      </c>
      <c r="I424" s="177">
        <f t="shared" si="48"/>
        <v>0</v>
      </c>
      <c r="J424" s="177">
        <f t="shared" si="48"/>
        <v>408464</v>
      </c>
      <c r="K424" s="177">
        <f t="shared" si="48"/>
        <v>0</v>
      </c>
      <c r="L424" s="177">
        <f t="shared" si="48"/>
        <v>0</v>
      </c>
      <c r="M424" s="177">
        <f t="shared" si="48"/>
        <v>0</v>
      </c>
      <c r="N424" s="177">
        <f t="shared" si="48"/>
        <v>757</v>
      </c>
      <c r="O424" s="177">
        <f t="shared" si="48"/>
        <v>2400966</v>
      </c>
      <c r="P424" s="177">
        <f t="shared" si="48"/>
        <v>0</v>
      </c>
      <c r="Q424" s="177">
        <f t="shared" si="48"/>
        <v>0</v>
      </c>
      <c r="R424" s="177">
        <f t="shared" si="48"/>
        <v>0</v>
      </c>
      <c r="S424" s="177">
        <f t="shared" si="48"/>
        <v>0</v>
      </c>
      <c r="T424" s="177">
        <f t="shared" si="48"/>
        <v>0</v>
      </c>
      <c r="U424" s="177">
        <f t="shared" si="48"/>
        <v>0</v>
      </c>
      <c r="V424" s="177">
        <f t="shared" si="48"/>
        <v>0</v>
      </c>
      <c r="W424" s="241"/>
      <c r="X424" s="241"/>
    </row>
    <row r="425" spans="1:53" ht="30">
      <c r="A425" s="166"/>
      <c r="B425" s="180" t="s">
        <v>122</v>
      </c>
      <c r="C425" s="177">
        <f>C426+C427</f>
        <v>2809430</v>
      </c>
      <c r="D425" s="177">
        <f t="shared" ref="D425:V425" si="49">D426+D427</f>
        <v>0</v>
      </c>
      <c r="E425" s="177">
        <f t="shared" si="49"/>
        <v>0</v>
      </c>
      <c r="F425" s="177">
        <f t="shared" si="49"/>
        <v>0</v>
      </c>
      <c r="G425" s="177">
        <f t="shared" si="49"/>
        <v>0</v>
      </c>
      <c r="H425" s="177">
        <f t="shared" si="49"/>
        <v>0</v>
      </c>
      <c r="I425" s="177">
        <f t="shared" si="49"/>
        <v>0</v>
      </c>
      <c r="J425" s="177">
        <f t="shared" si="49"/>
        <v>408464</v>
      </c>
      <c r="K425" s="177">
        <f t="shared" si="49"/>
        <v>0</v>
      </c>
      <c r="L425" s="177">
        <f t="shared" si="49"/>
        <v>0</v>
      </c>
      <c r="M425" s="177">
        <f t="shared" si="49"/>
        <v>0</v>
      </c>
      <c r="N425" s="177">
        <f t="shared" si="49"/>
        <v>757</v>
      </c>
      <c r="O425" s="177">
        <f t="shared" si="49"/>
        <v>2400966</v>
      </c>
      <c r="P425" s="177">
        <f t="shared" si="49"/>
        <v>0</v>
      </c>
      <c r="Q425" s="177">
        <f t="shared" si="49"/>
        <v>0</v>
      </c>
      <c r="R425" s="177">
        <f t="shared" si="49"/>
        <v>0</v>
      </c>
      <c r="S425" s="177">
        <f t="shared" si="49"/>
        <v>0</v>
      </c>
      <c r="T425" s="177">
        <f t="shared" si="49"/>
        <v>0</v>
      </c>
      <c r="U425" s="177">
        <f t="shared" si="49"/>
        <v>0</v>
      </c>
      <c r="V425" s="177">
        <f t="shared" si="49"/>
        <v>0</v>
      </c>
      <c r="W425" s="241"/>
      <c r="X425" s="241"/>
    </row>
    <row r="426" spans="1:53" s="22" customFormat="1">
      <c r="A426" s="374">
        <v>349</v>
      </c>
      <c r="B426" s="382" t="s">
        <v>598</v>
      </c>
      <c r="C426" s="489">
        <v>1550741</v>
      </c>
      <c r="D426" s="489">
        <v>0</v>
      </c>
      <c r="E426" s="489">
        <v>0</v>
      </c>
      <c r="F426" s="489">
        <v>0</v>
      </c>
      <c r="G426" s="489">
        <v>0</v>
      </c>
      <c r="H426" s="489">
        <v>0</v>
      </c>
      <c r="I426" s="489">
        <v>0</v>
      </c>
      <c r="J426" s="489">
        <v>251869</v>
      </c>
      <c r="K426" s="376">
        <v>0</v>
      </c>
      <c r="L426" s="384">
        <v>0</v>
      </c>
      <c r="M426" s="383">
        <v>0</v>
      </c>
      <c r="N426" s="385">
        <v>410</v>
      </c>
      <c r="O426" s="376">
        <v>1298872</v>
      </c>
      <c r="P426" s="386">
        <v>0</v>
      </c>
      <c r="Q426" s="383">
        <v>0</v>
      </c>
      <c r="R426" s="383">
        <v>0</v>
      </c>
      <c r="S426" s="383">
        <v>0</v>
      </c>
      <c r="T426" s="384">
        <v>0</v>
      </c>
      <c r="U426" s="387">
        <v>0</v>
      </c>
      <c r="V426" s="241"/>
      <c r="W426" s="241">
        <f>O426/N426</f>
        <v>3167.9804878048781</v>
      </c>
      <c r="X426" s="241"/>
      <c r="AD426" s="22">
        <f>J426/'часть 1'!I431</f>
        <v>513.49439347604482</v>
      </c>
    </row>
    <row r="427" spans="1:53">
      <c r="A427" s="374">
        <v>350</v>
      </c>
      <c r="B427" s="382" t="s">
        <v>599</v>
      </c>
      <c r="C427" s="376">
        <v>1258689</v>
      </c>
      <c r="D427" s="376">
        <v>0</v>
      </c>
      <c r="E427" s="376">
        <v>0</v>
      </c>
      <c r="F427" s="376">
        <v>0</v>
      </c>
      <c r="G427" s="376">
        <v>0</v>
      </c>
      <c r="H427" s="376">
        <v>0</v>
      </c>
      <c r="I427" s="376">
        <v>0</v>
      </c>
      <c r="J427" s="376">
        <v>156595</v>
      </c>
      <c r="K427" s="376">
        <v>0</v>
      </c>
      <c r="L427" s="384">
        <v>0</v>
      </c>
      <c r="M427" s="383">
        <v>0</v>
      </c>
      <c r="N427" s="383">
        <v>347</v>
      </c>
      <c r="O427" s="383">
        <v>1102094</v>
      </c>
      <c r="P427" s="386">
        <v>0</v>
      </c>
      <c r="Q427" s="383">
        <v>0</v>
      </c>
      <c r="R427" s="386">
        <v>0</v>
      </c>
      <c r="S427" s="383">
        <v>0</v>
      </c>
      <c r="T427" s="384">
        <v>0</v>
      </c>
      <c r="U427" s="387">
        <v>0</v>
      </c>
      <c r="V427" s="241"/>
      <c r="W427" s="241">
        <f>O427/N427</f>
        <v>3176.0634005763691</v>
      </c>
      <c r="X427" s="241"/>
      <c r="AD427" s="1">
        <f>J427/'часть 1'!I432</f>
        <v>514.43823915900134</v>
      </c>
    </row>
    <row r="428" spans="1:53">
      <c r="A428" s="374"/>
      <c r="B428" s="382"/>
      <c r="C428" s="376"/>
      <c r="D428" s="376"/>
      <c r="E428" s="376"/>
      <c r="F428" s="376"/>
      <c r="G428" s="376"/>
      <c r="H428" s="376"/>
      <c r="I428" s="376"/>
      <c r="J428" s="376"/>
      <c r="K428" s="376"/>
      <c r="L428" s="384"/>
      <c r="M428" s="383"/>
      <c r="N428" s="385"/>
      <c r="O428" s="376"/>
      <c r="P428" s="386"/>
      <c r="Q428" s="383"/>
      <c r="R428" s="383"/>
      <c r="S428" s="383"/>
      <c r="T428" s="384"/>
      <c r="U428" s="387"/>
      <c r="V428" s="241"/>
      <c r="W428" s="241"/>
      <c r="X428" s="241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</row>
    <row r="429" spans="1:53">
      <c r="A429" s="166"/>
      <c r="B429" s="182" t="s">
        <v>56</v>
      </c>
      <c r="C429" s="177">
        <v>13352826.959999999</v>
      </c>
      <c r="D429" s="177"/>
      <c r="E429" s="177"/>
      <c r="F429" s="177"/>
      <c r="G429" s="177"/>
      <c r="H429" s="177"/>
      <c r="I429" s="177"/>
      <c r="J429" s="177"/>
      <c r="K429" s="177">
        <v>8292103.96</v>
      </c>
      <c r="L429" s="177">
        <v>0</v>
      </c>
      <c r="M429" s="177">
        <v>0</v>
      </c>
      <c r="N429" s="177">
        <v>2564.5</v>
      </c>
      <c r="O429" s="177">
        <v>5060723</v>
      </c>
      <c r="P429" s="179">
        <v>0</v>
      </c>
      <c r="Q429" s="177">
        <v>0</v>
      </c>
      <c r="R429" s="179">
        <v>0</v>
      </c>
      <c r="S429" s="177">
        <v>0</v>
      </c>
      <c r="T429" s="178">
        <v>0</v>
      </c>
      <c r="U429" s="248">
        <v>0</v>
      </c>
      <c r="V429" s="241"/>
      <c r="W429" s="241"/>
      <c r="X429" s="241"/>
    </row>
    <row r="430" spans="1:53" ht="30">
      <c r="A430" s="374"/>
      <c r="B430" s="382" t="s">
        <v>424</v>
      </c>
      <c r="C430" s="383">
        <f>C431+C432+C433+C434+C435</f>
        <v>6762929</v>
      </c>
      <c r="D430" s="383">
        <f t="shared" ref="D430:U430" si="50">D431+D432+D433+D434+D435</f>
        <v>3371412</v>
      </c>
      <c r="E430" s="383">
        <f t="shared" si="50"/>
        <v>857533</v>
      </c>
      <c r="F430" s="383">
        <f t="shared" si="50"/>
        <v>0</v>
      </c>
      <c r="G430" s="383">
        <f t="shared" si="50"/>
        <v>295597</v>
      </c>
      <c r="H430" s="383">
        <f t="shared" si="50"/>
        <v>0</v>
      </c>
      <c r="I430" s="383">
        <f t="shared" si="50"/>
        <v>1349920</v>
      </c>
      <c r="J430" s="383">
        <f t="shared" si="50"/>
        <v>868362</v>
      </c>
      <c r="K430" s="383">
        <f t="shared" si="50"/>
        <v>0</v>
      </c>
      <c r="L430" s="383">
        <f t="shared" si="50"/>
        <v>0</v>
      </c>
      <c r="M430" s="383">
        <f t="shared" si="50"/>
        <v>0</v>
      </c>
      <c r="N430" s="383">
        <f t="shared" si="50"/>
        <v>858.22</v>
      </c>
      <c r="O430" s="383">
        <f t="shared" si="50"/>
        <v>2715174</v>
      </c>
      <c r="P430" s="383">
        <f t="shared" si="50"/>
        <v>79.900000000000006</v>
      </c>
      <c r="Q430" s="383">
        <f t="shared" si="50"/>
        <v>80873</v>
      </c>
      <c r="R430" s="383">
        <f t="shared" si="50"/>
        <v>391.83</v>
      </c>
      <c r="S430" s="383">
        <f t="shared" si="50"/>
        <v>595470</v>
      </c>
      <c r="T430" s="383">
        <f t="shared" si="50"/>
        <v>0</v>
      </c>
      <c r="U430" s="383">
        <f t="shared" si="50"/>
        <v>0</v>
      </c>
      <c r="V430" s="241"/>
      <c r="W430" s="241"/>
      <c r="X430" s="241"/>
    </row>
    <row r="431" spans="1:53">
      <c r="A431" s="374">
        <v>352</v>
      </c>
      <c r="B431" s="666" t="s">
        <v>703</v>
      </c>
      <c r="C431" s="383">
        <f>'часть 1'!L436</f>
        <v>749745</v>
      </c>
      <c r="D431" s="383">
        <f>E431+F431+G431+H431+I431+J431+K431</f>
        <v>73402</v>
      </c>
      <c r="E431" s="383">
        <v>0</v>
      </c>
      <c r="F431" s="383">
        <v>0</v>
      </c>
      <c r="G431" s="383">
        <v>73402</v>
      </c>
      <c r="H431" s="383">
        <v>0</v>
      </c>
      <c r="I431" s="383">
        <v>0</v>
      </c>
      <c r="J431" s="383">
        <v>0</v>
      </c>
      <c r="K431" s="383">
        <v>0</v>
      </c>
      <c r="L431" s="383">
        <v>0</v>
      </c>
      <c r="M431" s="383">
        <v>0</v>
      </c>
      <c r="N431" s="383">
        <v>0</v>
      </c>
      <c r="O431" s="383">
        <v>0</v>
      </c>
      <c r="P431" s="667">
        <v>79.900000000000006</v>
      </c>
      <c r="Q431" s="383">
        <v>80873</v>
      </c>
      <c r="R431" s="386">
        <v>391.83</v>
      </c>
      <c r="S431" s="383">
        <v>595470</v>
      </c>
      <c r="T431" s="384">
        <v>0</v>
      </c>
      <c r="U431" s="387">
        <v>0</v>
      </c>
      <c r="V431" s="241"/>
      <c r="W431" s="241"/>
      <c r="X431" s="241">
        <f>S431/R431</f>
        <v>1519.7151826047011</v>
      </c>
      <c r="Z431" s="1">
        <f>G431/'часть 1'!I436</f>
        <v>262.71295633500358</v>
      </c>
      <c r="AE431" s="1">
        <f>Q431/P431</f>
        <v>1012.1777221526908</v>
      </c>
    </row>
    <row r="432" spans="1:53">
      <c r="A432" s="374">
        <v>353</v>
      </c>
      <c r="B432" s="668" t="s">
        <v>704</v>
      </c>
      <c r="C432" s="383">
        <f>'часть 1'!L437</f>
        <v>2218282</v>
      </c>
      <c r="D432" s="383">
        <f>E432+F432+G432+H432+I432+J432+K432</f>
        <v>2218282</v>
      </c>
      <c r="E432" s="383">
        <v>0</v>
      </c>
      <c r="F432" s="383">
        <v>0</v>
      </c>
      <c r="G432" s="383">
        <v>0</v>
      </c>
      <c r="H432" s="383">
        <v>0</v>
      </c>
      <c r="I432" s="383">
        <v>1349920</v>
      </c>
      <c r="J432" s="383">
        <v>868362</v>
      </c>
      <c r="K432" s="383">
        <v>0</v>
      </c>
      <c r="L432" s="383">
        <v>0</v>
      </c>
      <c r="M432" s="383">
        <v>0</v>
      </c>
      <c r="N432" s="383">
        <v>0</v>
      </c>
      <c r="O432" s="383">
        <v>0</v>
      </c>
      <c r="P432" s="667">
        <v>0</v>
      </c>
      <c r="Q432" s="383">
        <v>0</v>
      </c>
      <c r="R432" s="386">
        <v>0</v>
      </c>
      <c r="S432" s="383">
        <v>0</v>
      </c>
      <c r="T432" s="384">
        <v>0</v>
      </c>
      <c r="U432" s="387">
        <v>0</v>
      </c>
      <c r="V432" s="241"/>
      <c r="W432" s="241"/>
      <c r="X432" s="241"/>
      <c r="AC432" s="1">
        <f>I432/'часть 1'!I437</f>
        <v>867.55784061696659</v>
      </c>
      <c r="AD432" s="1">
        <f>J432/'часть 1'!I437</f>
        <v>558.07326478149105</v>
      </c>
    </row>
    <row r="433" spans="1:31" ht="30">
      <c r="A433" s="374">
        <v>354</v>
      </c>
      <c r="B433" s="666" t="s">
        <v>705</v>
      </c>
      <c r="C433" s="383">
        <f>'часть 1'!L438</f>
        <v>1808957</v>
      </c>
      <c r="D433" s="383">
        <f>E433+F433+G433+H433+I433+J433+K433</f>
        <v>313119</v>
      </c>
      <c r="E433" s="383">
        <v>313119</v>
      </c>
      <c r="F433" s="383">
        <v>0</v>
      </c>
      <c r="G433" s="383">
        <v>0</v>
      </c>
      <c r="H433" s="383">
        <v>0</v>
      </c>
      <c r="I433" s="383">
        <v>0</v>
      </c>
      <c r="J433" s="383">
        <v>0</v>
      </c>
      <c r="K433" s="383">
        <v>0</v>
      </c>
      <c r="L433" s="383">
        <v>0</v>
      </c>
      <c r="M433" s="383">
        <v>0</v>
      </c>
      <c r="N433" s="383">
        <v>473.62</v>
      </c>
      <c r="O433" s="383">
        <v>1495838</v>
      </c>
      <c r="P433" s="667">
        <v>0</v>
      </c>
      <c r="Q433" s="383">
        <v>0</v>
      </c>
      <c r="R433" s="386">
        <v>0</v>
      </c>
      <c r="S433" s="383">
        <v>0</v>
      </c>
      <c r="T433" s="384">
        <v>0</v>
      </c>
      <c r="U433" s="387">
        <v>0</v>
      </c>
      <c r="V433" s="241"/>
      <c r="W433" s="241">
        <f>O433/N433</f>
        <v>3158.3083484650142</v>
      </c>
      <c r="X433" s="241"/>
      <c r="Y433" s="1">
        <f>E433/'часть 1'!I438</f>
        <v>682.32512529962958</v>
      </c>
    </row>
    <row r="434" spans="1:31">
      <c r="A434" s="374">
        <v>355</v>
      </c>
      <c r="B434" s="666" t="s">
        <v>706</v>
      </c>
      <c r="C434" s="383">
        <f>'часть 1'!L439</f>
        <v>275807</v>
      </c>
      <c r="D434" s="383">
        <f>E434+F434+G434+H434+I434+J434+K434</f>
        <v>275807</v>
      </c>
      <c r="E434" s="383">
        <v>275807</v>
      </c>
      <c r="F434" s="383">
        <v>0</v>
      </c>
      <c r="G434" s="383">
        <v>0</v>
      </c>
      <c r="H434" s="383">
        <v>0</v>
      </c>
      <c r="I434" s="383">
        <v>0</v>
      </c>
      <c r="J434" s="383">
        <v>0</v>
      </c>
      <c r="K434" s="383">
        <v>0</v>
      </c>
      <c r="L434" s="383">
        <v>0</v>
      </c>
      <c r="M434" s="383">
        <v>0</v>
      </c>
      <c r="N434" s="383">
        <v>0</v>
      </c>
      <c r="O434" s="383">
        <v>0</v>
      </c>
      <c r="P434" s="667">
        <v>0</v>
      </c>
      <c r="Q434" s="383">
        <v>0</v>
      </c>
      <c r="R434" s="386">
        <v>0</v>
      </c>
      <c r="S434" s="383">
        <v>0</v>
      </c>
      <c r="T434" s="384">
        <v>0</v>
      </c>
      <c r="U434" s="387">
        <v>0</v>
      </c>
      <c r="V434" s="241"/>
      <c r="W434" s="241"/>
      <c r="X434" s="241"/>
      <c r="Y434" s="1">
        <f>E434/'часть 1'!I439</f>
        <v>684.21483502852891</v>
      </c>
    </row>
    <row r="435" spans="1:31">
      <c r="A435" s="374">
        <v>357</v>
      </c>
      <c r="B435" s="669" t="s">
        <v>707</v>
      </c>
      <c r="C435" s="383">
        <f>'часть 1'!L440</f>
        <v>1710138</v>
      </c>
      <c r="D435" s="383">
        <f>E435+F435+G435+H435+I435+J435+K435</f>
        <v>490802</v>
      </c>
      <c r="E435" s="383">
        <v>268607</v>
      </c>
      <c r="F435" s="383">
        <v>0</v>
      </c>
      <c r="G435" s="383">
        <v>222195</v>
      </c>
      <c r="H435" s="383">
        <v>0</v>
      </c>
      <c r="I435" s="383">
        <v>0</v>
      </c>
      <c r="J435" s="383">
        <v>0</v>
      </c>
      <c r="K435" s="383">
        <v>0</v>
      </c>
      <c r="L435" s="383">
        <v>0</v>
      </c>
      <c r="M435" s="383">
        <v>0</v>
      </c>
      <c r="N435" s="383">
        <v>384.6</v>
      </c>
      <c r="O435" s="383">
        <v>1219336</v>
      </c>
      <c r="P435" s="667">
        <v>0</v>
      </c>
      <c r="Q435" s="383">
        <v>0</v>
      </c>
      <c r="R435" s="386">
        <v>0</v>
      </c>
      <c r="S435" s="383">
        <v>0</v>
      </c>
      <c r="T435" s="384">
        <v>0</v>
      </c>
      <c r="U435" s="387">
        <v>0</v>
      </c>
      <c r="V435" s="241"/>
      <c r="W435" s="241">
        <f>O435/N435</f>
        <v>3170.4004160166405</v>
      </c>
      <c r="X435" s="241"/>
      <c r="Y435" s="1">
        <f>E435/'часть 1'!I440</f>
        <v>688.03022540983613</v>
      </c>
      <c r="Z435" s="1">
        <f>G435/'часть 1'!I440</f>
        <v>569.14702868852464</v>
      </c>
    </row>
    <row r="436" spans="1:31" ht="30">
      <c r="A436" s="166"/>
      <c r="B436" s="180" t="s">
        <v>121</v>
      </c>
      <c r="C436" s="177">
        <f>C437</f>
        <v>2515554</v>
      </c>
      <c r="D436" s="177">
        <f t="shared" ref="D436:V436" si="51">D437</f>
        <v>0</v>
      </c>
      <c r="E436" s="177">
        <f t="shared" si="51"/>
        <v>0</v>
      </c>
      <c r="F436" s="177">
        <f t="shared" si="51"/>
        <v>0</v>
      </c>
      <c r="G436" s="177">
        <f t="shared" si="51"/>
        <v>0</v>
      </c>
      <c r="H436" s="177">
        <f t="shared" si="51"/>
        <v>0</v>
      </c>
      <c r="I436" s="177">
        <f t="shared" si="51"/>
        <v>0</v>
      </c>
      <c r="J436" s="177">
        <f t="shared" si="51"/>
        <v>0</v>
      </c>
      <c r="K436" s="177">
        <f t="shared" si="51"/>
        <v>0</v>
      </c>
      <c r="L436" s="177">
        <f t="shared" si="51"/>
        <v>0</v>
      </c>
      <c r="M436" s="177">
        <f t="shared" si="51"/>
        <v>0</v>
      </c>
      <c r="N436" s="177">
        <f t="shared" si="51"/>
        <v>0</v>
      </c>
      <c r="O436" s="177">
        <f t="shared" si="51"/>
        <v>2515554</v>
      </c>
      <c r="P436" s="177">
        <f t="shared" si="51"/>
        <v>0</v>
      </c>
      <c r="Q436" s="177">
        <f t="shared" si="51"/>
        <v>0</v>
      </c>
      <c r="R436" s="177">
        <f t="shared" si="51"/>
        <v>0</v>
      </c>
      <c r="S436" s="177">
        <f t="shared" si="51"/>
        <v>0</v>
      </c>
      <c r="T436" s="177">
        <f t="shared" si="51"/>
        <v>0</v>
      </c>
      <c r="U436" s="177">
        <f t="shared" si="51"/>
        <v>0</v>
      </c>
      <c r="V436" s="177">
        <f t="shared" si="51"/>
        <v>0</v>
      </c>
      <c r="W436" s="241"/>
      <c r="X436" s="241"/>
    </row>
    <row r="437" spans="1:31" ht="21.6" customHeight="1">
      <c r="A437" s="166">
        <v>362</v>
      </c>
      <c r="B437" s="180" t="s">
        <v>989</v>
      </c>
      <c r="C437" s="177">
        <f>'часть 1'!L442</f>
        <v>2515554</v>
      </c>
      <c r="D437" s="177">
        <v>0</v>
      </c>
      <c r="E437" s="177">
        <v>0</v>
      </c>
      <c r="F437" s="177">
        <v>0</v>
      </c>
      <c r="G437" s="177">
        <v>0</v>
      </c>
      <c r="H437" s="177">
        <v>0</v>
      </c>
      <c r="I437" s="177">
        <v>0</v>
      </c>
      <c r="J437" s="177">
        <v>0</v>
      </c>
      <c r="K437" s="177">
        <v>0</v>
      </c>
      <c r="L437" s="178">
        <v>0</v>
      </c>
      <c r="M437" s="177">
        <v>0</v>
      </c>
      <c r="N437" s="817"/>
      <c r="O437" s="177">
        <v>2515554</v>
      </c>
      <c r="P437" s="179">
        <v>0</v>
      </c>
      <c r="Q437" s="177">
        <v>0</v>
      </c>
      <c r="R437" s="179">
        <v>0</v>
      </c>
      <c r="S437" s="177">
        <v>0</v>
      </c>
      <c r="T437" s="178">
        <v>0</v>
      </c>
      <c r="U437" s="248">
        <v>0</v>
      </c>
      <c r="V437" s="241"/>
      <c r="W437" s="241" t="e">
        <f>O437/N437</f>
        <v>#DIV/0!</v>
      </c>
      <c r="X437" s="241"/>
    </row>
    <row r="438" spans="1:31" s="14" customFormat="1" ht="30">
      <c r="A438" s="166"/>
      <c r="B438" s="180" t="s">
        <v>807</v>
      </c>
      <c r="C438" s="177">
        <f>C439</f>
        <v>1510788</v>
      </c>
      <c r="D438" s="177">
        <f t="shared" ref="D438:V438" si="52">D439</f>
        <v>0</v>
      </c>
      <c r="E438" s="177">
        <f t="shared" si="52"/>
        <v>0</v>
      </c>
      <c r="F438" s="177">
        <f t="shared" si="52"/>
        <v>0</v>
      </c>
      <c r="G438" s="177">
        <f t="shared" si="52"/>
        <v>0</v>
      </c>
      <c r="H438" s="177">
        <f t="shared" si="52"/>
        <v>0</v>
      </c>
      <c r="I438" s="177">
        <f t="shared" si="52"/>
        <v>0</v>
      </c>
      <c r="J438" s="177">
        <f t="shared" si="52"/>
        <v>0</v>
      </c>
      <c r="K438" s="177">
        <f t="shared" si="52"/>
        <v>0</v>
      </c>
      <c r="L438" s="177">
        <f t="shared" si="52"/>
        <v>0</v>
      </c>
      <c r="M438" s="177">
        <f t="shared" si="52"/>
        <v>0</v>
      </c>
      <c r="N438" s="177">
        <f t="shared" si="52"/>
        <v>612</v>
      </c>
      <c r="O438" s="177">
        <f t="shared" si="52"/>
        <v>1510788</v>
      </c>
      <c r="P438" s="177">
        <f t="shared" si="52"/>
        <v>0</v>
      </c>
      <c r="Q438" s="177">
        <f t="shared" si="52"/>
        <v>0</v>
      </c>
      <c r="R438" s="177">
        <f t="shared" si="52"/>
        <v>0</v>
      </c>
      <c r="S438" s="177">
        <f t="shared" si="52"/>
        <v>0</v>
      </c>
      <c r="T438" s="177">
        <f t="shared" si="52"/>
        <v>0</v>
      </c>
      <c r="U438" s="177">
        <f t="shared" si="52"/>
        <v>0</v>
      </c>
      <c r="V438" s="177">
        <f t="shared" si="52"/>
        <v>0</v>
      </c>
      <c r="W438" s="241"/>
      <c r="X438" s="241"/>
    </row>
    <row r="439" spans="1:31">
      <c r="A439" s="166">
        <v>363</v>
      </c>
      <c r="B439" s="182" t="s">
        <v>810</v>
      </c>
      <c r="C439" s="177">
        <f>'часть 1'!L444</f>
        <v>1510788</v>
      </c>
      <c r="D439" s="177">
        <v>0</v>
      </c>
      <c r="E439" s="177">
        <v>0</v>
      </c>
      <c r="F439" s="177">
        <v>0</v>
      </c>
      <c r="G439" s="177">
        <v>0</v>
      </c>
      <c r="H439" s="177">
        <v>0</v>
      </c>
      <c r="I439" s="177">
        <v>0</v>
      </c>
      <c r="J439" s="177">
        <v>0</v>
      </c>
      <c r="K439" s="177">
        <v>0</v>
      </c>
      <c r="L439" s="178">
        <v>0</v>
      </c>
      <c r="M439" s="177">
        <v>0</v>
      </c>
      <c r="N439" s="177">
        <v>612</v>
      </c>
      <c r="O439" s="177">
        <v>1510788</v>
      </c>
      <c r="P439" s="179">
        <v>0</v>
      </c>
      <c r="Q439" s="177">
        <v>0</v>
      </c>
      <c r="R439" s="179">
        <v>0</v>
      </c>
      <c r="S439" s="177">
        <v>0</v>
      </c>
      <c r="T439" s="178">
        <v>0</v>
      </c>
      <c r="U439" s="248">
        <v>0</v>
      </c>
      <c r="V439" s="241"/>
      <c r="W439" s="241">
        <f>O439/N439</f>
        <v>2468.6078431372548</v>
      </c>
      <c r="X439" s="241"/>
    </row>
    <row r="440" spans="1:31">
      <c r="A440" s="166"/>
      <c r="B440" s="182" t="s">
        <v>57</v>
      </c>
      <c r="C440" s="177">
        <v>2349784.02</v>
      </c>
      <c r="D440" s="177"/>
      <c r="E440" s="177"/>
      <c r="F440" s="177"/>
      <c r="G440" s="177"/>
      <c r="H440" s="177"/>
      <c r="I440" s="177"/>
      <c r="J440" s="177"/>
      <c r="K440" s="177">
        <v>0</v>
      </c>
      <c r="L440" s="178">
        <v>0</v>
      </c>
      <c r="M440" s="177">
        <v>0</v>
      </c>
      <c r="N440" s="177">
        <v>709</v>
      </c>
      <c r="O440" s="177">
        <v>2349784.02</v>
      </c>
      <c r="P440" s="179">
        <v>0</v>
      </c>
      <c r="Q440" s="177">
        <v>0</v>
      </c>
      <c r="R440" s="179">
        <v>0</v>
      </c>
      <c r="S440" s="177">
        <v>0</v>
      </c>
      <c r="T440" s="178">
        <v>0</v>
      </c>
      <c r="U440" s="248">
        <v>0</v>
      </c>
      <c r="V440" s="241"/>
      <c r="W440" s="241"/>
      <c r="X440" s="241"/>
    </row>
    <row r="441" spans="1:31" ht="30">
      <c r="A441" s="166"/>
      <c r="B441" s="180" t="s">
        <v>119</v>
      </c>
      <c r="C441" s="177">
        <f>C442+C443</f>
        <v>2579247</v>
      </c>
      <c r="D441" s="177">
        <f t="shared" ref="D441:U441" si="53">D442+D443</f>
        <v>1194767</v>
      </c>
      <c r="E441" s="177">
        <f t="shared" si="53"/>
        <v>1194767</v>
      </c>
      <c r="F441" s="177">
        <f t="shared" si="53"/>
        <v>0</v>
      </c>
      <c r="G441" s="177">
        <f t="shared" si="53"/>
        <v>0</v>
      </c>
      <c r="H441" s="177">
        <f t="shared" si="53"/>
        <v>0</v>
      </c>
      <c r="I441" s="177">
        <f t="shared" si="53"/>
        <v>0</v>
      </c>
      <c r="J441" s="177">
        <f t="shared" si="53"/>
        <v>0</v>
      </c>
      <c r="K441" s="177">
        <f t="shared" si="53"/>
        <v>0</v>
      </c>
      <c r="L441" s="177">
        <f t="shared" si="53"/>
        <v>0</v>
      </c>
      <c r="M441" s="177">
        <f t="shared" si="53"/>
        <v>0</v>
      </c>
      <c r="N441" s="177">
        <f t="shared" si="53"/>
        <v>0</v>
      </c>
      <c r="O441" s="177">
        <f t="shared" si="53"/>
        <v>0</v>
      </c>
      <c r="P441" s="177">
        <f t="shared" si="53"/>
        <v>1400</v>
      </c>
      <c r="Q441" s="177">
        <f t="shared" si="53"/>
        <v>1384480</v>
      </c>
      <c r="R441" s="177">
        <f t="shared" si="53"/>
        <v>0</v>
      </c>
      <c r="S441" s="177">
        <f t="shared" si="53"/>
        <v>0</v>
      </c>
      <c r="T441" s="177">
        <f t="shared" si="53"/>
        <v>0</v>
      </c>
      <c r="U441" s="177">
        <f t="shared" si="53"/>
        <v>0</v>
      </c>
      <c r="V441" s="241"/>
      <c r="W441" s="241"/>
      <c r="X441" s="241"/>
    </row>
    <row r="442" spans="1:31">
      <c r="A442" s="166">
        <v>364</v>
      </c>
      <c r="B442" s="180" t="s">
        <v>980</v>
      </c>
      <c r="C442" s="177">
        <f>'часть 1'!L447</f>
        <v>1384480</v>
      </c>
      <c r="D442" s="177">
        <f>E442+F442+G442+H442+I442+J442+K442</f>
        <v>0</v>
      </c>
      <c r="E442" s="177">
        <v>0</v>
      </c>
      <c r="F442" s="177">
        <v>0</v>
      </c>
      <c r="G442" s="177">
        <v>0</v>
      </c>
      <c r="H442" s="177">
        <v>0</v>
      </c>
      <c r="I442" s="177">
        <v>0</v>
      </c>
      <c r="J442" s="177">
        <v>0</v>
      </c>
      <c r="K442" s="177">
        <v>0</v>
      </c>
      <c r="L442" s="178">
        <v>0</v>
      </c>
      <c r="M442" s="177">
        <v>0</v>
      </c>
      <c r="N442" s="177">
        <v>0</v>
      </c>
      <c r="O442" s="177">
        <v>0</v>
      </c>
      <c r="P442" s="179">
        <v>1400</v>
      </c>
      <c r="Q442" s="177">
        <v>1384480</v>
      </c>
      <c r="R442" s="179">
        <v>0</v>
      </c>
      <c r="S442" s="177">
        <v>0</v>
      </c>
      <c r="T442" s="178">
        <v>0</v>
      </c>
      <c r="U442" s="248">
        <v>0</v>
      </c>
      <c r="V442" s="241"/>
      <c r="W442" s="241"/>
      <c r="X442" s="241"/>
      <c r="AE442" s="1">
        <f>Q442/P442</f>
        <v>988.91428571428571</v>
      </c>
    </row>
    <row r="443" spans="1:31">
      <c r="A443" s="166">
        <v>365</v>
      </c>
      <c r="B443" s="180" t="s">
        <v>981</v>
      </c>
      <c r="C443" s="177">
        <f>'часть 1'!L448</f>
        <v>1194767</v>
      </c>
      <c r="D443" s="177">
        <f>E443+F443+G443+H443+I443+J443+K443</f>
        <v>1194767</v>
      </c>
      <c r="E443" s="177">
        <v>1194767</v>
      </c>
      <c r="F443" s="177">
        <v>0</v>
      </c>
      <c r="G443" s="177">
        <v>0</v>
      </c>
      <c r="H443" s="177">
        <v>0</v>
      </c>
      <c r="I443" s="177">
        <v>0</v>
      </c>
      <c r="J443" s="177">
        <v>0</v>
      </c>
      <c r="K443" s="177">
        <v>0</v>
      </c>
      <c r="L443" s="178">
        <v>0</v>
      </c>
      <c r="M443" s="177">
        <v>0</v>
      </c>
      <c r="N443" s="177">
        <v>0</v>
      </c>
      <c r="O443" s="177">
        <v>0</v>
      </c>
      <c r="P443" s="179">
        <v>0</v>
      </c>
      <c r="Q443" s="177">
        <v>0</v>
      </c>
      <c r="R443" s="179">
        <v>0</v>
      </c>
      <c r="S443" s="177">
        <v>0</v>
      </c>
      <c r="T443" s="178">
        <v>0</v>
      </c>
      <c r="U443" s="248">
        <v>0</v>
      </c>
      <c r="V443" s="241"/>
      <c r="W443" s="241"/>
      <c r="X443" s="241"/>
      <c r="Y443" s="1">
        <f>E443/'часть 1'!I448</f>
        <v>745.75057736720555</v>
      </c>
    </row>
    <row r="444" spans="1:31">
      <c r="A444" s="166"/>
      <c r="B444" s="182" t="s">
        <v>58</v>
      </c>
      <c r="C444" s="177">
        <v>12228909</v>
      </c>
      <c r="D444" s="177"/>
      <c r="E444" s="177"/>
      <c r="F444" s="177"/>
      <c r="G444" s="177"/>
      <c r="H444" s="177"/>
      <c r="I444" s="177"/>
      <c r="J444" s="177"/>
      <c r="K444" s="177">
        <v>215709</v>
      </c>
      <c r="L444" s="178">
        <v>0</v>
      </c>
      <c r="M444" s="177">
        <v>0</v>
      </c>
      <c r="N444" s="177">
        <v>6001.34</v>
      </c>
      <c r="O444" s="177">
        <v>12013200</v>
      </c>
      <c r="P444" s="179">
        <v>0</v>
      </c>
      <c r="Q444" s="177">
        <v>0</v>
      </c>
      <c r="R444" s="179">
        <v>0</v>
      </c>
      <c r="S444" s="177">
        <v>0</v>
      </c>
      <c r="T444" s="178">
        <v>0</v>
      </c>
      <c r="U444" s="248">
        <v>0</v>
      </c>
      <c r="V444" s="241"/>
      <c r="W444" s="241"/>
      <c r="X444" s="241"/>
    </row>
    <row r="445" spans="1:31" ht="30">
      <c r="A445" s="166"/>
      <c r="B445" s="180" t="s">
        <v>87</v>
      </c>
      <c r="C445" s="177">
        <v>12228909</v>
      </c>
      <c r="D445" s="177"/>
      <c r="E445" s="177"/>
      <c r="F445" s="177"/>
      <c r="G445" s="177"/>
      <c r="H445" s="177"/>
      <c r="I445" s="177"/>
      <c r="J445" s="177"/>
      <c r="K445" s="177">
        <v>215709</v>
      </c>
      <c r="L445" s="178">
        <v>0</v>
      </c>
      <c r="M445" s="177">
        <v>0</v>
      </c>
      <c r="N445" s="177">
        <v>6001.34</v>
      </c>
      <c r="O445" s="177">
        <v>12013200</v>
      </c>
      <c r="P445" s="179">
        <v>0</v>
      </c>
      <c r="Q445" s="177">
        <v>0</v>
      </c>
      <c r="R445" s="179">
        <v>0</v>
      </c>
      <c r="S445" s="177">
        <v>0</v>
      </c>
      <c r="T445" s="178">
        <v>0</v>
      </c>
      <c r="U445" s="248">
        <v>0</v>
      </c>
      <c r="V445" s="241"/>
      <c r="W445" s="241"/>
      <c r="X445" s="241"/>
    </row>
    <row r="446" spans="1:31" s="23" customFormat="1">
      <c r="A446" s="166">
        <v>366</v>
      </c>
      <c r="B446" s="203" t="s">
        <v>84</v>
      </c>
      <c r="C446" s="198">
        <v>1668544</v>
      </c>
      <c r="D446" s="198"/>
      <c r="E446" s="198"/>
      <c r="F446" s="198"/>
      <c r="G446" s="198"/>
      <c r="H446" s="198"/>
      <c r="I446" s="198"/>
      <c r="J446" s="198"/>
      <c r="K446" s="164">
        <v>0</v>
      </c>
      <c r="L446" s="162">
        <v>0</v>
      </c>
      <c r="M446" s="175">
        <v>0</v>
      </c>
      <c r="N446" s="167">
        <v>840</v>
      </c>
      <c r="O446" s="202">
        <v>1668544</v>
      </c>
      <c r="P446" s="168">
        <v>0</v>
      </c>
      <c r="Q446" s="167">
        <v>0</v>
      </c>
      <c r="R446" s="168">
        <v>0</v>
      </c>
      <c r="S446" s="167">
        <v>0</v>
      </c>
      <c r="T446" s="169">
        <v>0</v>
      </c>
      <c r="U446" s="252">
        <v>0</v>
      </c>
      <c r="V446" s="241"/>
      <c r="W446" s="241"/>
      <c r="X446" s="241"/>
    </row>
    <row r="447" spans="1:31" s="23" customFormat="1">
      <c r="A447" s="166">
        <v>367</v>
      </c>
      <c r="B447" s="203" t="s">
        <v>425</v>
      </c>
      <c r="C447" s="177">
        <v>2239107</v>
      </c>
      <c r="D447" s="177"/>
      <c r="E447" s="177"/>
      <c r="F447" s="177"/>
      <c r="G447" s="177"/>
      <c r="H447" s="177"/>
      <c r="I447" s="177"/>
      <c r="J447" s="177"/>
      <c r="K447" s="164">
        <v>0</v>
      </c>
      <c r="L447" s="162">
        <v>0</v>
      </c>
      <c r="M447" s="175">
        <v>0</v>
      </c>
      <c r="N447" s="167">
        <v>1101</v>
      </c>
      <c r="O447" s="202">
        <v>2239107</v>
      </c>
      <c r="P447" s="168">
        <v>0</v>
      </c>
      <c r="Q447" s="167">
        <v>0</v>
      </c>
      <c r="R447" s="168">
        <v>0</v>
      </c>
      <c r="S447" s="167">
        <v>0</v>
      </c>
      <c r="T447" s="169">
        <v>0</v>
      </c>
      <c r="U447" s="252">
        <v>0</v>
      </c>
      <c r="V447" s="241"/>
      <c r="W447" s="241"/>
      <c r="X447" s="241"/>
    </row>
    <row r="448" spans="1:31" s="23" customFormat="1">
      <c r="A448" s="166">
        <v>368</v>
      </c>
      <c r="B448" s="203" t="s">
        <v>433</v>
      </c>
      <c r="C448" s="198">
        <v>215709</v>
      </c>
      <c r="D448" s="198"/>
      <c r="E448" s="198"/>
      <c r="F448" s="198"/>
      <c r="G448" s="198"/>
      <c r="H448" s="198"/>
      <c r="I448" s="198"/>
      <c r="J448" s="198"/>
      <c r="K448" s="164">
        <v>215709</v>
      </c>
      <c r="L448" s="162">
        <v>0</v>
      </c>
      <c r="M448" s="175">
        <v>0</v>
      </c>
      <c r="N448" s="167">
        <v>0</v>
      </c>
      <c r="O448" s="202">
        <v>0</v>
      </c>
      <c r="P448" s="168">
        <v>0</v>
      </c>
      <c r="Q448" s="167">
        <v>0</v>
      </c>
      <c r="R448" s="168">
        <v>0</v>
      </c>
      <c r="S448" s="167">
        <v>0</v>
      </c>
      <c r="T448" s="169">
        <v>0</v>
      </c>
      <c r="U448" s="252">
        <v>0</v>
      </c>
      <c r="V448" s="241"/>
      <c r="W448" s="241"/>
      <c r="X448" s="241"/>
    </row>
    <row r="449" spans="1:33" s="23" customFormat="1">
      <c r="A449" s="166">
        <v>369</v>
      </c>
      <c r="B449" s="203" t="s">
        <v>79</v>
      </c>
      <c r="C449" s="177">
        <v>706234</v>
      </c>
      <c r="D449" s="177"/>
      <c r="E449" s="177"/>
      <c r="F449" s="177"/>
      <c r="G449" s="177"/>
      <c r="H449" s="177"/>
      <c r="I449" s="177"/>
      <c r="J449" s="177"/>
      <c r="K449" s="164">
        <v>0</v>
      </c>
      <c r="L449" s="162">
        <v>0</v>
      </c>
      <c r="M449" s="175">
        <v>0</v>
      </c>
      <c r="N449" s="167">
        <v>348</v>
      </c>
      <c r="O449" s="202">
        <v>706234</v>
      </c>
      <c r="P449" s="168">
        <v>0</v>
      </c>
      <c r="Q449" s="167">
        <v>0</v>
      </c>
      <c r="R449" s="168">
        <v>0</v>
      </c>
      <c r="S449" s="167">
        <v>0</v>
      </c>
      <c r="T449" s="169">
        <v>0</v>
      </c>
      <c r="U449" s="252">
        <v>0</v>
      </c>
      <c r="V449" s="241"/>
      <c r="W449" s="241"/>
      <c r="X449" s="241"/>
    </row>
    <row r="450" spans="1:33" s="23" customFormat="1">
      <c r="A450" s="166">
        <v>370</v>
      </c>
      <c r="B450" s="203" t="s">
        <v>78</v>
      </c>
      <c r="C450" s="177">
        <v>651603</v>
      </c>
      <c r="D450" s="177"/>
      <c r="E450" s="177"/>
      <c r="F450" s="177"/>
      <c r="G450" s="177"/>
      <c r="H450" s="177"/>
      <c r="I450" s="177"/>
      <c r="J450" s="177"/>
      <c r="K450" s="164">
        <v>0</v>
      </c>
      <c r="L450" s="162">
        <v>0</v>
      </c>
      <c r="M450" s="175">
        <v>0</v>
      </c>
      <c r="N450" s="167">
        <v>320</v>
      </c>
      <c r="O450" s="202">
        <v>651603</v>
      </c>
      <c r="P450" s="168">
        <v>0</v>
      </c>
      <c r="Q450" s="167">
        <v>0</v>
      </c>
      <c r="R450" s="168">
        <v>0</v>
      </c>
      <c r="S450" s="167">
        <v>0</v>
      </c>
      <c r="T450" s="169">
        <v>0</v>
      </c>
      <c r="U450" s="252">
        <v>0</v>
      </c>
      <c r="V450" s="241"/>
      <c r="W450" s="241"/>
      <c r="X450" s="241"/>
    </row>
    <row r="451" spans="1:33" s="23" customFormat="1">
      <c r="A451" s="166">
        <v>371</v>
      </c>
      <c r="B451" s="203" t="s">
        <v>426</v>
      </c>
      <c r="C451" s="198">
        <v>698701</v>
      </c>
      <c r="D451" s="198"/>
      <c r="E451" s="198"/>
      <c r="F451" s="198"/>
      <c r="G451" s="198"/>
      <c r="H451" s="198"/>
      <c r="I451" s="198"/>
      <c r="J451" s="198"/>
      <c r="K451" s="164">
        <v>0</v>
      </c>
      <c r="L451" s="162">
        <v>0</v>
      </c>
      <c r="M451" s="175">
        <v>0</v>
      </c>
      <c r="N451" s="167">
        <v>352</v>
      </c>
      <c r="O451" s="202">
        <v>698701</v>
      </c>
      <c r="P451" s="168">
        <v>0</v>
      </c>
      <c r="Q451" s="167">
        <v>0</v>
      </c>
      <c r="R451" s="168">
        <v>0</v>
      </c>
      <c r="S451" s="167">
        <v>0</v>
      </c>
      <c r="T451" s="169">
        <v>0</v>
      </c>
      <c r="U451" s="252">
        <v>0</v>
      </c>
      <c r="V451" s="241"/>
      <c r="W451" s="241"/>
      <c r="X451" s="241"/>
    </row>
    <row r="452" spans="1:33" s="23" customFormat="1">
      <c r="A452" s="166">
        <v>372</v>
      </c>
      <c r="B452" s="203" t="s">
        <v>80</v>
      </c>
      <c r="C452" s="198">
        <v>1512903</v>
      </c>
      <c r="D452" s="198"/>
      <c r="E452" s="198"/>
      <c r="F452" s="198"/>
      <c r="G452" s="198"/>
      <c r="H452" s="198"/>
      <c r="I452" s="198"/>
      <c r="J452" s="198"/>
      <c r="K452" s="164">
        <v>0</v>
      </c>
      <c r="L452" s="162">
        <v>0</v>
      </c>
      <c r="M452" s="175">
        <v>0</v>
      </c>
      <c r="N452" s="167">
        <v>762</v>
      </c>
      <c r="O452" s="202">
        <v>1512903</v>
      </c>
      <c r="P452" s="168">
        <v>0</v>
      </c>
      <c r="Q452" s="167">
        <v>0</v>
      </c>
      <c r="R452" s="168">
        <v>0</v>
      </c>
      <c r="S452" s="167">
        <v>0</v>
      </c>
      <c r="T452" s="169">
        <v>0</v>
      </c>
      <c r="U452" s="252">
        <v>0</v>
      </c>
      <c r="V452" s="241"/>
      <c r="W452" s="241"/>
      <c r="X452" s="241"/>
    </row>
    <row r="453" spans="1:33" s="23" customFormat="1">
      <c r="A453" s="166">
        <v>373</v>
      </c>
      <c r="B453" s="203" t="s">
        <v>81</v>
      </c>
      <c r="C453" s="198">
        <v>2294873</v>
      </c>
      <c r="D453" s="198"/>
      <c r="E453" s="198"/>
      <c r="F453" s="198"/>
      <c r="G453" s="198"/>
      <c r="H453" s="198"/>
      <c r="I453" s="198"/>
      <c r="J453" s="198"/>
      <c r="K453" s="164">
        <v>0</v>
      </c>
      <c r="L453" s="162">
        <v>0</v>
      </c>
      <c r="M453" s="175">
        <v>0</v>
      </c>
      <c r="N453" s="167">
        <v>1162</v>
      </c>
      <c r="O453" s="202">
        <v>2294873</v>
      </c>
      <c r="P453" s="168">
        <v>0</v>
      </c>
      <c r="Q453" s="167">
        <v>0</v>
      </c>
      <c r="R453" s="196">
        <v>0</v>
      </c>
      <c r="S453" s="202">
        <v>0</v>
      </c>
      <c r="T453" s="169">
        <v>0</v>
      </c>
      <c r="U453" s="252">
        <v>0</v>
      </c>
      <c r="V453" s="241"/>
      <c r="W453" s="241"/>
      <c r="X453" s="241"/>
    </row>
    <row r="454" spans="1:33" s="23" customFormat="1">
      <c r="A454" s="166">
        <v>374</v>
      </c>
      <c r="B454" s="203" t="s">
        <v>82</v>
      </c>
      <c r="C454" s="198">
        <v>879987</v>
      </c>
      <c r="D454" s="198"/>
      <c r="E454" s="198"/>
      <c r="F454" s="198"/>
      <c r="G454" s="198"/>
      <c r="H454" s="198"/>
      <c r="I454" s="198"/>
      <c r="J454" s="198"/>
      <c r="K454" s="164">
        <v>0</v>
      </c>
      <c r="L454" s="162">
        <v>0</v>
      </c>
      <c r="M454" s="175">
        <v>0</v>
      </c>
      <c r="N454" s="167">
        <v>436.34</v>
      </c>
      <c r="O454" s="202">
        <v>879987</v>
      </c>
      <c r="P454" s="168">
        <v>0</v>
      </c>
      <c r="Q454" s="167">
        <v>0</v>
      </c>
      <c r="R454" s="168">
        <v>0</v>
      </c>
      <c r="S454" s="202">
        <v>0</v>
      </c>
      <c r="T454" s="169">
        <v>0</v>
      </c>
      <c r="U454" s="252">
        <v>0</v>
      </c>
      <c r="V454" s="241"/>
      <c r="W454" s="241"/>
      <c r="X454" s="241"/>
    </row>
    <row r="455" spans="1:33" s="23" customFormat="1">
      <c r="A455" s="166">
        <v>375</v>
      </c>
      <c r="B455" s="203" t="s">
        <v>83</v>
      </c>
      <c r="C455" s="198">
        <v>1361248</v>
      </c>
      <c r="D455" s="198"/>
      <c r="E455" s="198"/>
      <c r="F455" s="198"/>
      <c r="G455" s="198"/>
      <c r="H455" s="198"/>
      <c r="I455" s="198"/>
      <c r="J455" s="198"/>
      <c r="K455" s="164">
        <v>0</v>
      </c>
      <c r="L455" s="162">
        <v>0</v>
      </c>
      <c r="M455" s="175">
        <v>0</v>
      </c>
      <c r="N455" s="167">
        <v>680</v>
      </c>
      <c r="O455" s="202">
        <v>1361248</v>
      </c>
      <c r="P455" s="168">
        <v>0</v>
      </c>
      <c r="Q455" s="167">
        <v>0</v>
      </c>
      <c r="R455" s="196">
        <v>0</v>
      </c>
      <c r="S455" s="202">
        <v>0</v>
      </c>
      <c r="T455" s="169">
        <v>0</v>
      </c>
      <c r="U455" s="252">
        <v>0</v>
      </c>
      <c r="V455" s="241"/>
      <c r="W455" s="241"/>
      <c r="X455" s="241"/>
    </row>
    <row r="456" spans="1:33" ht="24" customHeight="1">
      <c r="A456" s="374"/>
      <c r="B456" s="405" t="s">
        <v>59</v>
      </c>
      <c r="C456" s="383">
        <f>C457+C465</f>
        <v>4724118</v>
      </c>
      <c r="D456" s="383">
        <f t="shared" ref="D456:V456" si="54">D457+D465</f>
        <v>1051127</v>
      </c>
      <c r="E456" s="383">
        <f t="shared" si="54"/>
        <v>210013</v>
      </c>
      <c r="F456" s="383">
        <f t="shared" si="54"/>
        <v>0</v>
      </c>
      <c r="G456" s="383">
        <f t="shared" si="54"/>
        <v>483326</v>
      </c>
      <c r="H456" s="383">
        <f t="shared" si="54"/>
        <v>162505</v>
      </c>
      <c r="I456" s="383">
        <f t="shared" si="54"/>
        <v>0</v>
      </c>
      <c r="J456" s="383">
        <f t="shared" si="54"/>
        <v>195283</v>
      </c>
      <c r="K456" s="383">
        <f t="shared" si="54"/>
        <v>0</v>
      </c>
      <c r="L456" s="383">
        <f t="shared" si="54"/>
        <v>0</v>
      </c>
      <c r="M456" s="383">
        <f t="shared" si="54"/>
        <v>0</v>
      </c>
      <c r="N456" s="383">
        <f t="shared" si="54"/>
        <v>1617</v>
      </c>
      <c r="O456" s="383">
        <f t="shared" si="54"/>
        <v>1131900</v>
      </c>
      <c r="P456" s="383">
        <f t="shared" si="54"/>
        <v>0</v>
      </c>
      <c r="Q456" s="383">
        <f t="shared" si="54"/>
        <v>0</v>
      </c>
      <c r="R456" s="383">
        <f t="shared" si="54"/>
        <v>136.30000000000004</v>
      </c>
      <c r="S456" s="383">
        <f t="shared" si="54"/>
        <v>1812817</v>
      </c>
      <c r="T456" s="383">
        <f t="shared" si="54"/>
        <v>799</v>
      </c>
      <c r="U456" s="383">
        <f t="shared" si="54"/>
        <v>728274</v>
      </c>
      <c r="V456" s="383">
        <f t="shared" si="54"/>
        <v>0</v>
      </c>
      <c r="W456" s="241"/>
      <c r="X456" s="241"/>
    </row>
    <row r="457" spans="1:33" ht="30">
      <c r="A457" s="374"/>
      <c r="B457" s="406" t="s">
        <v>86</v>
      </c>
      <c r="C457" s="489">
        <f>C458+C459+C460+C461+C462+C463+C464</f>
        <v>1839043</v>
      </c>
      <c r="D457" s="489">
        <f t="shared" ref="D457:U457" si="55">D458+D459+D460+D461+D462+D463+D464</f>
        <v>567801</v>
      </c>
      <c r="E457" s="489">
        <f t="shared" si="55"/>
        <v>210013</v>
      </c>
      <c r="F457" s="489">
        <f t="shared" si="55"/>
        <v>0</v>
      </c>
      <c r="G457" s="489">
        <f t="shared" si="55"/>
        <v>0</v>
      </c>
      <c r="H457" s="489">
        <f t="shared" si="55"/>
        <v>162505</v>
      </c>
      <c r="I457" s="489">
        <f t="shared" si="55"/>
        <v>0</v>
      </c>
      <c r="J457" s="489">
        <f t="shared" si="55"/>
        <v>195283</v>
      </c>
      <c r="K457" s="489">
        <f t="shared" si="55"/>
        <v>0</v>
      </c>
      <c r="L457" s="489">
        <f t="shared" si="55"/>
        <v>0</v>
      </c>
      <c r="M457" s="489">
        <f t="shared" si="55"/>
        <v>0</v>
      </c>
      <c r="N457" s="489">
        <f t="shared" si="55"/>
        <v>1617</v>
      </c>
      <c r="O457" s="489">
        <f t="shared" si="55"/>
        <v>1131900</v>
      </c>
      <c r="P457" s="489">
        <f t="shared" si="55"/>
        <v>0</v>
      </c>
      <c r="Q457" s="489">
        <f t="shared" si="55"/>
        <v>0</v>
      </c>
      <c r="R457" s="489">
        <f t="shared" si="55"/>
        <v>0</v>
      </c>
      <c r="S457" s="489">
        <f t="shared" si="55"/>
        <v>0</v>
      </c>
      <c r="T457" s="489">
        <f t="shared" si="55"/>
        <v>471</v>
      </c>
      <c r="U457" s="489">
        <f t="shared" si="55"/>
        <v>139342</v>
      </c>
      <c r="V457" s="241"/>
      <c r="W457" s="241"/>
      <c r="X457" s="241"/>
      <c r="Y457" s="24"/>
      <c r="Z457" s="24"/>
    </row>
    <row r="458" spans="1:33" ht="15.75">
      <c r="A458" s="374">
        <v>376</v>
      </c>
      <c r="B458" s="259" t="s">
        <v>361</v>
      </c>
      <c r="C458" s="489">
        <f>'часть 1'!L538</f>
        <v>392000</v>
      </c>
      <c r="D458" s="489">
        <f>E458+F458+G458+H458+I458+J458+K458</f>
        <v>0</v>
      </c>
      <c r="E458" s="489">
        <v>0</v>
      </c>
      <c r="F458" s="489">
        <v>0</v>
      </c>
      <c r="G458" s="489">
        <v>0</v>
      </c>
      <c r="H458" s="489">
        <v>0</v>
      </c>
      <c r="I458" s="489">
        <v>0</v>
      </c>
      <c r="J458" s="489">
        <v>0</v>
      </c>
      <c r="K458" s="489">
        <v>0</v>
      </c>
      <c r="L458" s="800">
        <v>0</v>
      </c>
      <c r="M458" s="489">
        <v>0</v>
      </c>
      <c r="N458" s="489">
        <v>560</v>
      </c>
      <c r="O458" s="489">
        <v>392000</v>
      </c>
      <c r="P458" s="801">
        <v>0</v>
      </c>
      <c r="Q458" s="489">
        <v>0</v>
      </c>
      <c r="R458" s="489">
        <v>0</v>
      </c>
      <c r="S458" s="489">
        <v>0</v>
      </c>
      <c r="T458" s="800">
        <v>0</v>
      </c>
      <c r="U458" s="802">
        <v>0</v>
      </c>
      <c r="V458" s="241"/>
      <c r="W458" s="241">
        <f>O458/N458</f>
        <v>700</v>
      </c>
      <c r="X458" s="241"/>
      <c r="Y458" s="73"/>
      <c r="Z458" s="73"/>
    </row>
    <row r="459" spans="1:33" ht="15.75">
      <c r="A459" s="374">
        <v>377</v>
      </c>
      <c r="B459" s="259" t="s">
        <v>434</v>
      </c>
      <c r="C459" s="489">
        <f>'часть 1'!L539</f>
        <v>340900</v>
      </c>
      <c r="D459" s="489">
        <f t="shared" ref="D459:D464" si="56">E459+F459+G459+H459+I459+J459+K459</f>
        <v>0</v>
      </c>
      <c r="E459" s="489">
        <v>0</v>
      </c>
      <c r="F459" s="489">
        <v>0</v>
      </c>
      <c r="G459" s="489">
        <v>0</v>
      </c>
      <c r="H459" s="489">
        <v>0</v>
      </c>
      <c r="I459" s="489">
        <v>0</v>
      </c>
      <c r="J459" s="489">
        <v>0</v>
      </c>
      <c r="K459" s="489">
        <v>0</v>
      </c>
      <c r="L459" s="800">
        <v>0</v>
      </c>
      <c r="M459" s="489">
        <v>0</v>
      </c>
      <c r="N459" s="489">
        <v>487</v>
      </c>
      <c r="O459" s="489">
        <v>340900</v>
      </c>
      <c r="P459" s="801">
        <v>0</v>
      </c>
      <c r="Q459" s="489">
        <v>0</v>
      </c>
      <c r="R459" s="803">
        <v>0</v>
      </c>
      <c r="S459" s="489">
        <v>0</v>
      </c>
      <c r="T459" s="800">
        <v>0</v>
      </c>
      <c r="U459" s="802">
        <v>0</v>
      </c>
      <c r="V459" s="241"/>
      <c r="W459" s="241">
        <f>O459/N459</f>
        <v>700</v>
      </c>
      <c r="X459" s="241"/>
      <c r="Y459" s="73"/>
      <c r="Z459" s="73"/>
    </row>
    <row r="460" spans="1:33" ht="25.15" customHeight="1">
      <c r="A460" s="374">
        <v>378</v>
      </c>
      <c r="B460" s="259" t="s">
        <v>362</v>
      </c>
      <c r="C460" s="489">
        <f>'часть 1'!L540</f>
        <v>399000</v>
      </c>
      <c r="D460" s="489">
        <f t="shared" si="56"/>
        <v>0</v>
      </c>
      <c r="E460" s="489">
        <v>0</v>
      </c>
      <c r="F460" s="489">
        <v>0</v>
      </c>
      <c r="G460" s="489">
        <v>0</v>
      </c>
      <c r="H460" s="489">
        <v>0</v>
      </c>
      <c r="I460" s="489">
        <v>0</v>
      </c>
      <c r="J460" s="489">
        <v>0</v>
      </c>
      <c r="K460" s="489">
        <v>0</v>
      </c>
      <c r="L460" s="800">
        <v>0</v>
      </c>
      <c r="M460" s="489">
        <v>0</v>
      </c>
      <c r="N460" s="489">
        <v>570</v>
      </c>
      <c r="O460" s="489">
        <v>399000</v>
      </c>
      <c r="P460" s="801">
        <v>0</v>
      </c>
      <c r="Q460" s="489">
        <v>0</v>
      </c>
      <c r="R460" s="489">
        <v>0</v>
      </c>
      <c r="S460" s="489">
        <v>0</v>
      </c>
      <c r="T460" s="800">
        <v>0</v>
      </c>
      <c r="U460" s="802">
        <v>0</v>
      </c>
      <c r="V460" s="241"/>
      <c r="W460" s="241">
        <f>O460/N460</f>
        <v>700</v>
      </c>
      <c r="X460" s="241"/>
      <c r="Y460" s="73"/>
      <c r="Z460" s="73"/>
    </row>
    <row r="461" spans="1:33" ht="15.75">
      <c r="A461" s="374">
        <v>379</v>
      </c>
      <c r="B461" s="259" t="s">
        <v>363</v>
      </c>
      <c r="C461" s="489">
        <f>'часть 1'!L541</f>
        <v>216335</v>
      </c>
      <c r="D461" s="489">
        <f t="shared" si="56"/>
        <v>216335</v>
      </c>
      <c r="E461" s="489">
        <v>0</v>
      </c>
      <c r="F461" s="489">
        <v>0</v>
      </c>
      <c r="G461" s="489">
        <v>0</v>
      </c>
      <c r="H461" s="489">
        <v>60242</v>
      </c>
      <c r="I461" s="489"/>
      <c r="J461" s="489">
        <v>156093</v>
      </c>
      <c r="K461" s="489">
        <v>0</v>
      </c>
      <c r="L461" s="800">
        <v>0</v>
      </c>
      <c r="M461" s="489">
        <v>0</v>
      </c>
      <c r="N461" s="489">
        <v>0</v>
      </c>
      <c r="O461" s="489">
        <v>0</v>
      </c>
      <c r="P461" s="801">
        <v>0</v>
      </c>
      <c r="Q461" s="489">
        <v>0</v>
      </c>
      <c r="R461" s="489">
        <v>0</v>
      </c>
      <c r="S461" s="489">
        <v>0</v>
      </c>
      <c r="T461" s="800">
        <v>0</v>
      </c>
      <c r="U461" s="802">
        <v>0</v>
      </c>
      <c r="V461" s="241"/>
      <c r="W461" s="241"/>
      <c r="X461" s="241"/>
      <c r="Y461" s="73"/>
      <c r="Z461" s="73"/>
      <c r="AB461" s="1">
        <f>H461/'часть 1'!I541</f>
        <v>78.064014513411948</v>
      </c>
      <c r="AD461" s="1">
        <f>J461/'часть 1'!I541</f>
        <v>202.27160813787739</v>
      </c>
    </row>
    <row r="462" spans="1:33" ht="19.899999999999999" customHeight="1">
      <c r="A462" s="374">
        <v>380</v>
      </c>
      <c r="B462" s="259" t="s">
        <v>364</v>
      </c>
      <c r="C462" s="489">
        <f>'часть 1'!L542</f>
        <v>243345</v>
      </c>
      <c r="D462" s="489">
        <f t="shared" si="56"/>
        <v>243345</v>
      </c>
      <c r="E462" s="489">
        <v>210013</v>
      </c>
      <c r="F462" s="489">
        <v>0</v>
      </c>
      <c r="G462" s="489">
        <v>0</v>
      </c>
      <c r="H462" s="489">
        <v>0</v>
      </c>
      <c r="I462" s="489">
        <v>0</v>
      </c>
      <c r="J462" s="489">
        <v>33332</v>
      </c>
      <c r="K462" s="489">
        <v>0</v>
      </c>
      <c r="L462" s="800">
        <v>0</v>
      </c>
      <c r="M462" s="489">
        <v>0</v>
      </c>
      <c r="N462" s="489">
        <v>0</v>
      </c>
      <c r="O462" s="489">
        <v>0</v>
      </c>
      <c r="P462" s="801">
        <v>0</v>
      </c>
      <c r="Q462" s="489">
        <v>0</v>
      </c>
      <c r="R462" s="803">
        <v>0</v>
      </c>
      <c r="S462" s="489">
        <v>0</v>
      </c>
      <c r="T462" s="800">
        <v>0</v>
      </c>
      <c r="U462" s="802">
        <v>0</v>
      </c>
      <c r="V462" s="241"/>
      <c r="W462" s="241"/>
      <c r="X462" s="241"/>
      <c r="Y462" s="73">
        <f>E462/'часть 1'!I542</f>
        <v>695.40728476821187</v>
      </c>
      <c r="Z462" s="73"/>
      <c r="AD462" s="1">
        <f>J462/'часть 1'!I542</f>
        <v>110.37086092715232</v>
      </c>
    </row>
    <row r="463" spans="1:33" ht="22.15" customHeight="1">
      <c r="A463" s="374">
        <v>381</v>
      </c>
      <c r="B463" s="259" t="s">
        <v>365</v>
      </c>
      <c r="C463" s="489">
        <f>'часть 1'!L543</f>
        <v>139342</v>
      </c>
      <c r="D463" s="489">
        <f t="shared" si="56"/>
        <v>0</v>
      </c>
      <c r="E463" s="489">
        <v>0</v>
      </c>
      <c r="F463" s="489">
        <v>0</v>
      </c>
      <c r="G463" s="489">
        <v>0</v>
      </c>
      <c r="H463" s="489">
        <v>0</v>
      </c>
      <c r="I463" s="489">
        <v>0</v>
      </c>
      <c r="J463" s="489">
        <v>0</v>
      </c>
      <c r="K463" s="489">
        <v>0</v>
      </c>
      <c r="L463" s="800">
        <v>0</v>
      </c>
      <c r="M463" s="489">
        <v>0</v>
      </c>
      <c r="N463" s="489">
        <v>0</v>
      </c>
      <c r="O463" s="489">
        <v>0</v>
      </c>
      <c r="P463" s="801">
        <v>0</v>
      </c>
      <c r="Q463" s="489">
        <v>0</v>
      </c>
      <c r="R463" s="489">
        <v>0</v>
      </c>
      <c r="S463" s="489">
        <v>0</v>
      </c>
      <c r="T463" s="800">
        <v>471</v>
      </c>
      <c r="U463" s="802">
        <v>139342</v>
      </c>
      <c r="V463" s="241"/>
      <c r="W463" s="241"/>
      <c r="X463" s="241"/>
      <c r="Y463" s="73"/>
      <c r="Z463" s="73"/>
      <c r="AG463" s="1">
        <f>U463/T463</f>
        <v>295.84288747346073</v>
      </c>
    </row>
    <row r="464" spans="1:33" ht="29.45" customHeight="1">
      <c r="A464" s="374">
        <v>382</v>
      </c>
      <c r="B464" s="259" t="s">
        <v>366</v>
      </c>
      <c r="C464" s="489">
        <f>'часть 1'!L544</f>
        <v>108121</v>
      </c>
      <c r="D464" s="489">
        <f t="shared" si="56"/>
        <v>108121</v>
      </c>
      <c r="E464" s="489">
        <v>0</v>
      </c>
      <c r="F464" s="489">
        <v>0</v>
      </c>
      <c r="G464" s="489">
        <v>0</v>
      </c>
      <c r="H464" s="489">
        <v>102263</v>
      </c>
      <c r="I464" s="489">
        <v>0</v>
      </c>
      <c r="J464" s="489">
        <v>5858</v>
      </c>
      <c r="K464" s="489">
        <v>0</v>
      </c>
      <c r="L464" s="800">
        <v>0</v>
      </c>
      <c r="M464" s="489">
        <v>0</v>
      </c>
      <c r="N464" s="489">
        <v>0</v>
      </c>
      <c r="O464" s="489">
        <v>0</v>
      </c>
      <c r="P464" s="801">
        <v>0</v>
      </c>
      <c r="Q464" s="489">
        <v>0</v>
      </c>
      <c r="R464" s="489">
        <v>0</v>
      </c>
      <c r="S464" s="489">
        <v>0</v>
      </c>
      <c r="T464" s="800">
        <v>0</v>
      </c>
      <c r="U464" s="802">
        <v>0</v>
      </c>
      <c r="V464" s="241"/>
      <c r="W464" s="241"/>
      <c r="X464" s="241"/>
      <c r="Y464" s="73"/>
      <c r="Z464" s="73"/>
      <c r="AB464" s="1">
        <f>H464/'часть 1'!I544</f>
        <v>103.6834634492548</v>
      </c>
    </row>
    <row r="465" spans="1:33" ht="30">
      <c r="A465" s="374"/>
      <c r="B465" s="406" t="s">
        <v>85</v>
      </c>
      <c r="C465" s="489">
        <f>C466+C467+C468+C469+C470+C471+C472+C473+C474+C475+C476+C477+C478+C479+C480+C481+C482+C483+C484+C485+C486+C487+C488+C489+C490+C491+C492+C493+C494+C495+C496+C497+C498+C499+C500</f>
        <v>2885075</v>
      </c>
      <c r="D465" s="489">
        <f t="shared" ref="D465:V465" si="57">D466+D467+D468+D469+D470+D471+D472+D473+D474+D475+D476+D477+D478+D479+D480+D481+D482+D483+D484+D485+D486+D487+D488+D489+D490+D491+D492+D493+D494+D495+D496+D497+D498+D499+D500</f>
        <v>483326</v>
      </c>
      <c r="E465" s="489">
        <f t="shared" si="57"/>
        <v>0</v>
      </c>
      <c r="F465" s="489">
        <f t="shared" si="57"/>
        <v>0</v>
      </c>
      <c r="G465" s="489">
        <f t="shared" si="57"/>
        <v>483326</v>
      </c>
      <c r="H465" s="489">
        <f t="shared" si="57"/>
        <v>0</v>
      </c>
      <c r="I465" s="489">
        <f t="shared" si="57"/>
        <v>0</v>
      </c>
      <c r="J465" s="489">
        <f t="shared" si="57"/>
        <v>0</v>
      </c>
      <c r="K465" s="489">
        <f t="shared" si="57"/>
        <v>0</v>
      </c>
      <c r="L465" s="489">
        <f t="shared" si="57"/>
        <v>0</v>
      </c>
      <c r="M465" s="489">
        <f t="shared" si="57"/>
        <v>0</v>
      </c>
      <c r="N465" s="489">
        <f t="shared" si="57"/>
        <v>0</v>
      </c>
      <c r="O465" s="489">
        <f t="shared" si="57"/>
        <v>0</v>
      </c>
      <c r="P465" s="489">
        <f t="shared" si="57"/>
        <v>0</v>
      </c>
      <c r="Q465" s="489">
        <f t="shared" si="57"/>
        <v>0</v>
      </c>
      <c r="R465" s="489">
        <f t="shared" si="57"/>
        <v>136.30000000000004</v>
      </c>
      <c r="S465" s="489">
        <f t="shared" si="57"/>
        <v>1812817</v>
      </c>
      <c r="T465" s="489">
        <f t="shared" si="57"/>
        <v>328</v>
      </c>
      <c r="U465" s="489">
        <f t="shared" si="57"/>
        <v>588932</v>
      </c>
      <c r="V465" s="176">
        <f t="shared" si="57"/>
        <v>0</v>
      </c>
      <c r="W465" s="241"/>
      <c r="X465" s="241"/>
      <c r="Y465" s="73"/>
      <c r="Z465" s="73"/>
    </row>
    <row r="466" spans="1:33" ht="15.75">
      <c r="A466" s="374">
        <v>1</v>
      </c>
      <c r="B466" s="259" t="s">
        <v>890</v>
      </c>
      <c r="C466" s="489">
        <f>'часть 1'!L546</f>
        <v>25264</v>
      </c>
      <c r="D466" s="489">
        <f>E466+F466+G466+H466+I466+J466+K466</f>
        <v>0</v>
      </c>
      <c r="E466" s="489">
        <v>0</v>
      </c>
      <c r="F466" s="489">
        <v>0</v>
      </c>
      <c r="G466" s="489">
        <v>0</v>
      </c>
      <c r="H466" s="489">
        <v>0</v>
      </c>
      <c r="I466" s="489">
        <v>0</v>
      </c>
      <c r="J466" s="489">
        <v>0</v>
      </c>
      <c r="K466" s="489">
        <v>0</v>
      </c>
      <c r="L466" s="800">
        <v>0</v>
      </c>
      <c r="M466" s="489">
        <v>0</v>
      </c>
      <c r="N466" s="489">
        <v>0</v>
      </c>
      <c r="O466" s="489">
        <v>0</v>
      </c>
      <c r="P466" s="801">
        <v>0</v>
      </c>
      <c r="Q466" s="489">
        <v>0</v>
      </c>
      <c r="R466" s="489">
        <v>2.1</v>
      </c>
      <c r="S466" s="489">
        <v>25264</v>
      </c>
      <c r="T466" s="804">
        <v>0</v>
      </c>
      <c r="U466" s="805">
        <v>0</v>
      </c>
      <c r="V466" s="241"/>
      <c r="W466" s="241">
        <f>S466/R466</f>
        <v>12030.476190476191</v>
      </c>
      <c r="X466" s="241"/>
      <c r="Y466" s="73"/>
      <c r="Z466" s="73"/>
    </row>
    <row r="467" spans="1:33" ht="15.75">
      <c r="A467" s="374">
        <v>2</v>
      </c>
      <c r="B467" s="259" t="s">
        <v>891</v>
      </c>
      <c r="C467" s="489">
        <f>'часть 1'!L547</f>
        <v>25312</v>
      </c>
      <c r="D467" s="489">
        <f t="shared" ref="D467:D500" si="58">E467+F467+G467+H467+I467+J467+K467</f>
        <v>0</v>
      </c>
      <c r="E467" s="489">
        <v>0</v>
      </c>
      <c r="F467" s="489">
        <v>0</v>
      </c>
      <c r="G467" s="489">
        <v>0</v>
      </c>
      <c r="H467" s="489">
        <v>0</v>
      </c>
      <c r="I467" s="489">
        <v>0</v>
      </c>
      <c r="J467" s="489">
        <v>0</v>
      </c>
      <c r="K467" s="489">
        <v>0</v>
      </c>
      <c r="L467" s="800">
        <v>0</v>
      </c>
      <c r="M467" s="489">
        <v>0</v>
      </c>
      <c r="N467" s="489">
        <v>0</v>
      </c>
      <c r="O467" s="489">
        <v>0</v>
      </c>
      <c r="P467" s="801">
        <v>0</v>
      </c>
      <c r="Q467" s="489">
        <v>0</v>
      </c>
      <c r="R467" s="489">
        <v>2.1</v>
      </c>
      <c r="S467" s="489">
        <v>25312</v>
      </c>
      <c r="T467" s="804">
        <v>0</v>
      </c>
      <c r="U467" s="805">
        <v>0</v>
      </c>
      <c r="V467" s="241"/>
      <c r="W467" s="241"/>
      <c r="X467" s="241"/>
      <c r="Y467" s="73"/>
      <c r="Z467" s="73"/>
    </row>
    <row r="468" spans="1:33" ht="15.75">
      <c r="A468" s="374">
        <v>3</v>
      </c>
      <c r="B468" s="259" t="s">
        <v>892</v>
      </c>
      <c r="C468" s="489">
        <f>'часть 1'!L548</f>
        <v>25264</v>
      </c>
      <c r="D468" s="489">
        <f t="shared" si="58"/>
        <v>0</v>
      </c>
      <c r="E468" s="489">
        <v>0</v>
      </c>
      <c r="F468" s="489">
        <v>0</v>
      </c>
      <c r="G468" s="489">
        <v>0</v>
      </c>
      <c r="H468" s="489">
        <v>0</v>
      </c>
      <c r="I468" s="489">
        <v>0</v>
      </c>
      <c r="J468" s="489">
        <v>0</v>
      </c>
      <c r="K468" s="489">
        <v>0</v>
      </c>
      <c r="L468" s="800">
        <v>0</v>
      </c>
      <c r="M468" s="489">
        <v>0</v>
      </c>
      <c r="N468" s="489">
        <v>0</v>
      </c>
      <c r="O468" s="489">
        <v>0</v>
      </c>
      <c r="P468" s="801">
        <v>0</v>
      </c>
      <c r="Q468" s="489">
        <v>0</v>
      </c>
      <c r="R468" s="489">
        <v>1.9</v>
      </c>
      <c r="S468" s="489">
        <v>25264</v>
      </c>
      <c r="T468" s="804">
        <v>0</v>
      </c>
      <c r="U468" s="805">
        <v>0</v>
      </c>
      <c r="V468" s="241"/>
      <c r="W468" s="241"/>
      <c r="X468" s="241"/>
      <c r="Y468" s="73"/>
      <c r="Z468" s="73"/>
    </row>
    <row r="469" spans="1:33" ht="15.75">
      <c r="A469" s="374">
        <v>4</v>
      </c>
      <c r="B469" s="259" t="s">
        <v>893</v>
      </c>
      <c r="C469" s="489">
        <f>'часть 1'!L549</f>
        <v>284600</v>
      </c>
      <c r="D469" s="489">
        <f t="shared" si="58"/>
        <v>234120</v>
      </c>
      <c r="E469" s="489">
        <v>0</v>
      </c>
      <c r="F469" s="489">
        <v>0</v>
      </c>
      <c r="G469" s="489">
        <v>234120</v>
      </c>
      <c r="H469" s="489">
        <v>0</v>
      </c>
      <c r="I469" s="489">
        <v>0</v>
      </c>
      <c r="J469" s="489">
        <v>0</v>
      </c>
      <c r="K469" s="489">
        <v>0</v>
      </c>
      <c r="L469" s="800">
        <v>0</v>
      </c>
      <c r="M469" s="489">
        <v>0</v>
      </c>
      <c r="N469" s="489">
        <v>0</v>
      </c>
      <c r="O469" s="489">
        <v>0</v>
      </c>
      <c r="P469" s="801">
        <v>0</v>
      </c>
      <c r="Q469" s="489">
        <v>0</v>
      </c>
      <c r="R469" s="489">
        <v>4.3</v>
      </c>
      <c r="S469" s="489">
        <v>50480</v>
      </c>
      <c r="T469" s="804">
        <v>0</v>
      </c>
      <c r="U469" s="805">
        <v>0</v>
      </c>
      <c r="V469" s="241"/>
      <c r="W469" s="241"/>
      <c r="X469" s="241"/>
      <c r="Y469" s="73"/>
      <c r="Z469" s="73"/>
    </row>
    <row r="470" spans="1:33" ht="15.75">
      <c r="A470" s="374">
        <v>5</v>
      </c>
      <c r="B470" s="259" t="s">
        <v>894</v>
      </c>
      <c r="C470" s="489">
        <f>'часть 1'!L550</f>
        <v>25505</v>
      </c>
      <c r="D470" s="489">
        <f t="shared" si="58"/>
        <v>0</v>
      </c>
      <c r="E470" s="489">
        <v>0</v>
      </c>
      <c r="F470" s="489">
        <v>0</v>
      </c>
      <c r="G470" s="489">
        <v>0</v>
      </c>
      <c r="H470" s="489">
        <v>0</v>
      </c>
      <c r="I470" s="489">
        <v>0</v>
      </c>
      <c r="J470" s="489">
        <v>0</v>
      </c>
      <c r="K470" s="489">
        <v>0</v>
      </c>
      <c r="L470" s="800">
        <v>0</v>
      </c>
      <c r="M470" s="489">
        <v>0</v>
      </c>
      <c r="N470" s="489">
        <v>0</v>
      </c>
      <c r="O470" s="489">
        <v>0</v>
      </c>
      <c r="P470" s="801">
        <v>0</v>
      </c>
      <c r="Q470" s="489">
        <v>0</v>
      </c>
      <c r="R470" s="489">
        <v>1.9</v>
      </c>
      <c r="S470" s="489">
        <v>25505</v>
      </c>
      <c r="T470" s="804">
        <v>0</v>
      </c>
      <c r="U470" s="805">
        <v>0</v>
      </c>
      <c r="V470" s="241"/>
      <c r="W470" s="241"/>
      <c r="X470" s="241"/>
      <c r="Y470" s="73"/>
      <c r="Z470" s="73"/>
    </row>
    <row r="471" spans="1:33" ht="15.75">
      <c r="A471" s="374">
        <v>6</v>
      </c>
      <c r="B471" s="259" t="s">
        <v>895</v>
      </c>
      <c r="C471" s="489">
        <f>'часть 1'!L551</f>
        <v>25168</v>
      </c>
      <c r="D471" s="489">
        <f t="shared" si="58"/>
        <v>0</v>
      </c>
      <c r="E471" s="489">
        <v>0</v>
      </c>
      <c r="F471" s="489">
        <v>0</v>
      </c>
      <c r="G471" s="489">
        <v>0</v>
      </c>
      <c r="H471" s="489">
        <v>0</v>
      </c>
      <c r="I471" s="489">
        <v>0</v>
      </c>
      <c r="J471" s="489">
        <v>0</v>
      </c>
      <c r="K471" s="489">
        <v>0</v>
      </c>
      <c r="L471" s="800">
        <v>0</v>
      </c>
      <c r="M471" s="489">
        <v>0</v>
      </c>
      <c r="N471" s="489">
        <v>0</v>
      </c>
      <c r="O471" s="489">
        <v>0</v>
      </c>
      <c r="P471" s="801">
        <v>0</v>
      </c>
      <c r="Q471" s="489">
        <v>0</v>
      </c>
      <c r="R471" s="489">
        <v>2.1</v>
      </c>
      <c r="S471" s="489">
        <v>25168</v>
      </c>
      <c r="T471" s="804">
        <v>0</v>
      </c>
      <c r="U471" s="805">
        <v>0</v>
      </c>
      <c r="V471" s="241"/>
      <c r="W471" s="241"/>
      <c r="X471" s="241"/>
      <c r="Y471" s="73"/>
      <c r="Z471" s="73"/>
    </row>
    <row r="472" spans="1:33" ht="15.75">
      <c r="A472" s="374">
        <v>7</v>
      </c>
      <c r="B472" s="259" t="s">
        <v>896</v>
      </c>
      <c r="C472" s="489">
        <f>'часть 1'!L552</f>
        <v>299445</v>
      </c>
      <c r="D472" s="489">
        <f t="shared" si="58"/>
        <v>249206</v>
      </c>
      <c r="E472" s="489">
        <v>0</v>
      </c>
      <c r="F472" s="489">
        <v>0</v>
      </c>
      <c r="G472" s="489">
        <v>249206</v>
      </c>
      <c r="H472" s="489">
        <v>0</v>
      </c>
      <c r="I472" s="489">
        <v>0</v>
      </c>
      <c r="J472" s="489">
        <v>0</v>
      </c>
      <c r="K472" s="489">
        <v>0</v>
      </c>
      <c r="L472" s="800">
        <v>0</v>
      </c>
      <c r="M472" s="489">
        <v>0</v>
      </c>
      <c r="N472" s="489">
        <v>0</v>
      </c>
      <c r="O472" s="489">
        <v>0</v>
      </c>
      <c r="P472" s="801">
        <v>0</v>
      </c>
      <c r="Q472" s="489">
        <v>0</v>
      </c>
      <c r="R472" s="489">
        <v>4.2</v>
      </c>
      <c r="S472" s="489">
        <v>50239</v>
      </c>
      <c r="T472" s="804">
        <v>0</v>
      </c>
      <c r="U472" s="805">
        <v>0</v>
      </c>
      <c r="V472" s="241"/>
      <c r="W472" s="241"/>
      <c r="X472" s="241"/>
      <c r="Y472" s="73"/>
      <c r="Z472" s="73"/>
    </row>
    <row r="473" spans="1:33" ht="15.75">
      <c r="A473" s="374">
        <v>8</v>
      </c>
      <c r="B473" s="259" t="s">
        <v>897</v>
      </c>
      <c r="C473" s="489">
        <f>'часть 1'!L553</f>
        <v>32502</v>
      </c>
      <c r="D473" s="489">
        <f t="shared" si="58"/>
        <v>0</v>
      </c>
      <c r="E473" s="489">
        <v>0</v>
      </c>
      <c r="F473" s="489">
        <v>0</v>
      </c>
      <c r="G473" s="489">
        <v>0</v>
      </c>
      <c r="H473" s="489">
        <v>0</v>
      </c>
      <c r="I473" s="489">
        <v>0</v>
      </c>
      <c r="J473" s="489">
        <v>0</v>
      </c>
      <c r="K473" s="489">
        <v>0</v>
      </c>
      <c r="L473" s="800">
        <v>0</v>
      </c>
      <c r="M473" s="489">
        <v>0</v>
      </c>
      <c r="N473" s="489">
        <v>0</v>
      </c>
      <c r="O473" s="489">
        <v>0</v>
      </c>
      <c r="P473" s="801">
        <v>0</v>
      </c>
      <c r="Q473" s="489">
        <v>0</v>
      </c>
      <c r="R473" s="489">
        <v>3.7</v>
      </c>
      <c r="S473" s="489">
        <v>32502</v>
      </c>
      <c r="T473" s="804">
        <v>0</v>
      </c>
      <c r="U473" s="805">
        <v>0</v>
      </c>
      <c r="V473" s="241"/>
      <c r="W473" s="241"/>
      <c r="X473" s="241"/>
      <c r="Y473" s="73"/>
      <c r="Z473" s="73"/>
    </row>
    <row r="474" spans="1:33" ht="15.75">
      <c r="A474" s="374">
        <v>9</v>
      </c>
      <c r="B474" s="259" t="s">
        <v>898</v>
      </c>
      <c r="C474" s="489">
        <f>'часть 1'!L554</f>
        <v>50721</v>
      </c>
      <c r="D474" s="489">
        <f t="shared" si="58"/>
        <v>0</v>
      </c>
      <c r="E474" s="489">
        <v>0</v>
      </c>
      <c r="F474" s="489">
        <v>0</v>
      </c>
      <c r="G474" s="489">
        <v>0</v>
      </c>
      <c r="H474" s="489">
        <v>0</v>
      </c>
      <c r="I474" s="489">
        <v>0</v>
      </c>
      <c r="J474" s="489">
        <v>0</v>
      </c>
      <c r="K474" s="489">
        <v>0</v>
      </c>
      <c r="L474" s="800">
        <v>0</v>
      </c>
      <c r="M474" s="489">
        <v>0</v>
      </c>
      <c r="N474" s="489">
        <v>0</v>
      </c>
      <c r="O474" s="489">
        <v>0</v>
      </c>
      <c r="P474" s="801">
        <v>0</v>
      </c>
      <c r="Q474" s="489">
        <v>0</v>
      </c>
      <c r="R474" s="489">
        <v>4.3</v>
      </c>
      <c r="S474" s="489">
        <v>50721</v>
      </c>
      <c r="T474" s="804">
        <v>0</v>
      </c>
      <c r="U474" s="805">
        <v>0</v>
      </c>
      <c r="V474" s="241"/>
      <c r="W474" s="241"/>
      <c r="X474" s="241"/>
      <c r="Y474" s="73"/>
      <c r="Z474" s="73"/>
    </row>
    <row r="475" spans="1:33" ht="15.75">
      <c r="A475" s="374">
        <v>10</v>
      </c>
      <c r="B475" s="259" t="s">
        <v>899</v>
      </c>
      <c r="C475" s="489">
        <f>'часть 1'!L555</f>
        <v>257869</v>
      </c>
      <c r="D475" s="489">
        <f t="shared" si="58"/>
        <v>0</v>
      </c>
      <c r="E475" s="489">
        <v>0</v>
      </c>
      <c r="F475" s="489">
        <v>0</v>
      </c>
      <c r="G475" s="489">
        <v>0</v>
      </c>
      <c r="H475" s="489">
        <v>0</v>
      </c>
      <c r="I475" s="489">
        <v>0</v>
      </c>
      <c r="J475" s="489">
        <v>0</v>
      </c>
      <c r="K475" s="489">
        <v>0</v>
      </c>
      <c r="L475" s="800">
        <v>0</v>
      </c>
      <c r="M475" s="489">
        <v>0</v>
      </c>
      <c r="N475" s="489">
        <v>0</v>
      </c>
      <c r="O475" s="489">
        <v>0</v>
      </c>
      <c r="P475" s="801">
        <v>0</v>
      </c>
      <c r="Q475" s="489">
        <v>0</v>
      </c>
      <c r="R475" s="489">
        <v>4.2</v>
      </c>
      <c r="S475" s="489">
        <v>50335</v>
      </c>
      <c r="T475" s="804">
        <v>116</v>
      </c>
      <c r="U475" s="805">
        <v>207534</v>
      </c>
      <c r="V475" s="241"/>
      <c r="W475" s="241"/>
      <c r="X475" s="241"/>
      <c r="Y475" s="73"/>
      <c r="Z475" s="73"/>
      <c r="AG475" s="1">
        <f>U475/T475</f>
        <v>1789.0862068965516</v>
      </c>
    </row>
    <row r="476" spans="1:33" ht="15.75">
      <c r="A476" s="374">
        <v>11</v>
      </c>
      <c r="B476" s="259" t="s">
        <v>900</v>
      </c>
      <c r="C476" s="489">
        <f>'часть 1'!L556</f>
        <v>28738</v>
      </c>
      <c r="D476" s="489">
        <f t="shared" si="58"/>
        <v>0</v>
      </c>
      <c r="E476" s="489">
        <v>0</v>
      </c>
      <c r="F476" s="489">
        <v>0</v>
      </c>
      <c r="G476" s="489">
        <v>0</v>
      </c>
      <c r="H476" s="489">
        <v>0</v>
      </c>
      <c r="I476" s="489">
        <v>0</v>
      </c>
      <c r="J476" s="489">
        <v>0</v>
      </c>
      <c r="K476" s="489">
        <v>0</v>
      </c>
      <c r="L476" s="800">
        <v>0</v>
      </c>
      <c r="M476" s="489">
        <v>0</v>
      </c>
      <c r="N476" s="489">
        <v>0</v>
      </c>
      <c r="O476" s="489">
        <v>0</v>
      </c>
      <c r="P476" s="801">
        <v>0</v>
      </c>
      <c r="Q476" s="489">
        <v>0</v>
      </c>
      <c r="R476" s="489">
        <v>2.6</v>
      </c>
      <c r="S476" s="489">
        <v>28738</v>
      </c>
      <c r="T476" s="804">
        <v>0</v>
      </c>
      <c r="U476" s="805">
        <v>0</v>
      </c>
      <c r="V476" s="241"/>
      <c r="W476" s="241"/>
      <c r="X476" s="241"/>
      <c r="Y476" s="73"/>
      <c r="Z476" s="73"/>
    </row>
    <row r="477" spans="1:33" ht="15.75">
      <c r="A477" s="374">
        <v>12</v>
      </c>
      <c r="B477" s="259" t="s">
        <v>901</v>
      </c>
      <c r="C477" s="489">
        <f>'часть 1'!L557</f>
        <v>32453</v>
      </c>
      <c r="D477" s="489">
        <f t="shared" si="58"/>
        <v>0</v>
      </c>
      <c r="E477" s="489">
        <v>0</v>
      </c>
      <c r="F477" s="489">
        <v>0</v>
      </c>
      <c r="G477" s="489">
        <v>0</v>
      </c>
      <c r="H477" s="489">
        <v>0</v>
      </c>
      <c r="I477" s="489">
        <v>0</v>
      </c>
      <c r="J477" s="489">
        <v>0</v>
      </c>
      <c r="K477" s="489">
        <v>0</v>
      </c>
      <c r="L477" s="800">
        <v>0</v>
      </c>
      <c r="M477" s="489">
        <v>0</v>
      </c>
      <c r="N477" s="489">
        <v>0</v>
      </c>
      <c r="O477" s="489">
        <v>0</v>
      </c>
      <c r="P477" s="801">
        <v>0</v>
      </c>
      <c r="Q477" s="489">
        <v>0</v>
      </c>
      <c r="R477" s="489">
        <v>3.7</v>
      </c>
      <c r="S477" s="489">
        <v>32453</v>
      </c>
      <c r="T477" s="804">
        <v>0</v>
      </c>
      <c r="U477" s="805">
        <v>0</v>
      </c>
      <c r="V477" s="241"/>
      <c r="W477" s="241"/>
      <c r="X477" s="241"/>
      <c r="Y477" s="73"/>
      <c r="Z477" s="73"/>
    </row>
    <row r="478" spans="1:33" ht="15.75">
      <c r="A478" s="374">
        <v>13</v>
      </c>
      <c r="B478" s="259" t="s">
        <v>902</v>
      </c>
      <c r="C478" s="489">
        <f>'часть 1'!L558</f>
        <v>25023</v>
      </c>
      <c r="D478" s="489">
        <f t="shared" si="58"/>
        <v>0</v>
      </c>
      <c r="E478" s="489">
        <v>0</v>
      </c>
      <c r="F478" s="489">
        <v>0</v>
      </c>
      <c r="G478" s="489">
        <v>0</v>
      </c>
      <c r="H478" s="489">
        <v>0</v>
      </c>
      <c r="I478" s="489">
        <v>0</v>
      </c>
      <c r="J478" s="489">
        <v>0</v>
      </c>
      <c r="K478" s="489">
        <v>0</v>
      </c>
      <c r="L478" s="800">
        <v>0</v>
      </c>
      <c r="M478" s="489">
        <v>0</v>
      </c>
      <c r="N478" s="489">
        <v>0</v>
      </c>
      <c r="O478" s="489">
        <v>0</v>
      </c>
      <c r="P478" s="801">
        <v>0</v>
      </c>
      <c r="Q478" s="489">
        <v>0</v>
      </c>
      <c r="R478" s="489">
        <v>2.1</v>
      </c>
      <c r="S478" s="489">
        <v>25023</v>
      </c>
      <c r="T478" s="804">
        <v>0</v>
      </c>
      <c r="U478" s="805">
        <v>0</v>
      </c>
      <c r="V478" s="241"/>
      <c r="W478" s="241"/>
      <c r="X478" s="241"/>
      <c r="Y478" s="73"/>
      <c r="Z478" s="73"/>
    </row>
    <row r="479" spans="1:33" ht="15.75">
      <c r="A479" s="374">
        <v>14</v>
      </c>
      <c r="B479" s="259" t="s">
        <v>903</v>
      </c>
      <c r="C479" s="489">
        <f>'часть 1'!L559</f>
        <v>25119</v>
      </c>
      <c r="D479" s="489">
        <f t="shared" si="58"/>
        <v>0</v>
      </c>
      <c r="E479" s="489">
        <v>0</v>
      </c>
      <c r="F479" s="489">
        <v>0</v>
      </c>
      <c r="G479" s="489">
        <v>0</v>
      </c>
      <c r="H479" s="489">
        <v>0</v>
      </c>
      <c r="I479" s="489">
        <v>0</v>
      </c>
      <c r="J479" s="489">
        <v>0</v>
      </c>
      <c r="K479" s="489">
        <v>0</v>
      </c>
      <c r="L479" s="800">
        <v>0</v>
      </c>
      <c r="M479" s="489">
        <v>0</v>
      </c>
      <c r="N479" s="489">
        <v>0</v>
      </c>
      <c r="O479" s="489">
        <v>0</v>
      </c>
      <c r="P479" s="801">
        <v>0</v>
      </c>
      <c r="Q479" s="489">
        <v>0</v>
      </c>
      <c r="R479" s="489">
        <v>2.1</v>
      </c>
      <c r="S479" s="489">
        <v>25119</v>
      </c>
      <c r="T479" s="804">
        <v>0</v>
      </c>
      <c r="U479" s="805">
        <v>0</v>
      </c>
      <c r="V479" s="241"/>
      <c r="W479" s="241"/>
      <c r="X479" s="241"/>
      <c r="Y479" s="73"/>
      <c r="Z479" s="73"/>
    </row>
    <row r="480" spans="1:33" ht="15.75">
      <c r="A480" s="374">
        <v>15</v>
      </c>
      <c r="B480" s="259" t="s">
        <v>904</v>
      </c>
      <c r="C480" s="489">
        <f>'часть 1'!L560</f>
        <v>51107</v>
      </c>
      <c r="D480" s="489">
        <f t="shared" si="58"/>
        <v>0</v>
      </c>
      <c r="E480" s="489">
        <v>0</v>
      </c>
      <c r="F480" s="489">
        <v>0</v>
      </c>
      <c r="G480" s="489">
        <v>0</v>
      </c>
      <c r="H480" s="489">
        <v>0</v>
      </c>
      <c r="I480" s="489">
        <v>0</v>
      </c>
      <c r="J480" s="489">
        <v>0</v>
      </c>
      <c r="K480" s="489">
        <v>0</v>
      </c>
      <c r="L480" s="800">
        <v>0</v>
      </c>
      <c r="M480" s="489">
        <v>0</v>
      </c>
      <c r="N480" s="489">
        <v>0</v>
      </c>
      <c r="O480" s="489">
        <v>0</v>
      </c>
      <c r="P480" s="801">
        <v>0</v>
      </c>
      <c r="Q480" s="489">
        <v>0</v>
      </c>
      <c r="R480" s="489">
        <v>4.5</v>
      </c>
      <c r="S480" s="489">
        <v>51107</v>
      </c>
      <c r="T480" s="804">
        <v>0</v>
      </c>
      <c r="U480" s="805">
        <v>0</v>
      </c>
      <c r="V480" s="241"/>
      <c r="W480" s="241"/>
      <c r="X480" s="241"/>
      <c r="Y480" s="73"/>
      <c r="Z480" s="73"/>
    </row>
    <row r="481" spans="1:33" ht="15.75">
      <c r="A481" s="374">
        <v>16</v>
      </c>
      <c r="B481" s="259" t="s">
        <v>905</v>
      </c>
      <c r="C481" s="489">
        <f>'часть 1'!L561</f>
        <v>87488</v>
      </c>
      <c r="D481" s="489">
        <f t="shared" si="58"/>
        <v>0</v>
      </c>
      <c r="E481" s="489">
        <v>0</v>
      </c>
      <c r="F481" s="489">
        <v>0</v>
      </c>
      <c r="G481" s="489">
        <v>0</v>
      </c>
      <c r="H481" s="489">
        <v>0</v>
      </c>
      <c r="I481" s="489">
        <v>0</v>
      </c>
      <c r="J481" s="489">
        <v>0</v>
      </c>
      <c r="K481" s="489">
        <v>0</v>
      </c>
      <c r="L481" s="800">
        <v>0</v>
      </c>
      <c r="M481" s="489">
        <v>0</v>
      </c>
      <c r="N481" s="489">
        <v>0</v>
      </c>
      <c r="O481" s="489">
        <v>0</v>
      </c>
      <c r="P481" s="801">
        <v>0</v>
      </c>
      <c r="Q481" s="489">
        <v>0</v>
      </c>
      <c r="R481" s="489">
        <v>1.5</v>
      </c>
      <c r="S481" s="489">
        <v>87488</v>
      </c>
      <c r="T481" s="804">
        <v>0</v>
      </c>
      <c r="U481" s="805">
        <v>0</v>
      </c>
      <c r="V481" s="241"/>
      <c r="W481" s="241"/>
      <c r="X481" s="241"/>
      <c r="Y481" s="73"/>
      <c r="Z481" s="73"/>
    </row>
    <row r="482" spans="1:33" ht="15.75">
      <c r="A482" s="374">
        <v>17</v>
      </c>
      <c r="B482" s="259" t="s">
        <v>906</v>
      </c>
      <c r="C482" s="489">
        <f>'часть 1'!L562</f>
        <v>87102</v>
      </c>
      <c r="D482" s="489">
        <f t="shared" si="58"/>
        <v>0</v>
      </c>
      <c r="E482" s="489">
        <v>0</v>
      </c>
      <c r="F482" s="489">
        <v>0</v>
      </c>
      <c r="G482" s="489">
        <v>0</v>
      </c>
      <c r="H482" s="489">
        <v>0</v>
      </c>
      <c r="I482" s="489">
        <v>0</v>
      </c>
      <c r="J482" s="489">
        <v>0</v>
      </c>
      <c r="K482" s="489">
        <v>0</v>
      </c>
      <c r="L482" s="800">
        <v>0</v>
      </c>
      <c r="M482" s="489">
        <v>0</v>
      </c>
      <c r="N482" s="489">
        <v>0</v>
      </c>
      <c r="O482" s="489">
        <v>0</v>
      </c>
      <c r="P482" s="801">
        <v>0</v>
      </c>
      <c r="Q482" s="489">
        <v>0</v>
      </c>
      <c r="R482" s="489">
        <v>1.4</v>
      </c>
      <c r="S482" s="489">
        <v>87102</v>
      </c>
      <c r="T482" s="804">
        <v>0</v>
      </c>
      <c r="U482" s="805">
        <v>0</v>
      </c>
      <c r="V482" s="241"/>
      <c r="W482" s="241"/>
      <c r="X482" s="241"/>
      <c r="Y482" s="73"/>
      <c r="Z482" s="73"/>
    </row>
    <row r="483" spans="1:33" ht="15.75">
      <c r="A483" s="374">
        <v>18</v>
      </c>
      <c r="B483" s="259" t="s">
        <v>907</v>
      </c>
      <c r="C483" s="489">
        <f>'часть 1'!L563</f>
        <v>53713</v>
      </c>
      <c r="D483" s="489">
        <f t="shared" si="58"/>
        <v>0</v>
      </c>
      <c r="E483" s="489">
        <v>0</v>
      </c>
      <c r="F483" s="489">
        <v>0</v>
      </c>
      <c r="G483" s="489">
        <v>0</v>
      </c>
      <c r="H483" s="489">
        <v>0</v>
      </c>
      <c r="I483" s="489">
        <v>0</v>
      </c>
      <c r="J483" s="489">
        <v>0</v>
      </c>
      <c r="K483" s="489">
        <v>0</v>
      </c>
      <c r="L483" s="800">
        <v>0</v>
      </c>
      <c r="M483" s="489">
        <v>0</v>
      </c>
      <c r="N483" s="489">
        <v>0</v>
      </c>
      <c r="O483" s="489">
        <v>0</v>
      </c>
      <c r="P483" s="801">
        <v>0</v>
      </c>
      <c r="Q483" s="489">
        <v>0</v>
      </c>
      <c r="R483" s="489">
        <v>5.2</v>
      </c>
      <c r="S483" s="489">
        <v>53713</v>
      </c>
      <c r="T483" s="804">
        <v>0</v>
      </c>
      <c r="U483" s="805">
        <v>0</v>
      </c>
      <c r="V483" s="241"/>
      <c r="W483" s="241"/>
      <c r="X483" s="241"/>
      <c r="Y483" s="73"/>
      <c r="Z483" s="73"/>
    </row>
    <row r="484" spans="1:33" ht="15.75">
      <c r="A484" s="374">
        <v>19</v>
      </c>
      <c r="B484" s="259" t="s">
        <v>908</v>
      </c>
      <c r="C484" s="489">
        <f>'часть 1'!L564</f>
        <v>242578</v>
      </c>
      <c r="D484" s="489">
        <f t="shared" si="58"/>
        <v>0</v>
      </c>
      <c r="E484" s="489">
        <v>0</v>
      </c>
      <c r="F484" s="489">
        <v>0</v>
      </c>
      <c r="G484" s="489">
        <v>0</v>
      </c>
      <c r="H484" s="489">
        <v>0</v>
      </c>
      <c r="I484" s="489">
        <v>0</v>
      </c>
      <c r="J484" s="489">
        <v>0</v>
      </c>
      <c r="K484" s="489">
        <v>0</v>
      </c>
      <c r="L484" s="800">
        <v>0</v>
      </c>
      <c r="M484" s="489">
        <v>0</v>
      </c>
      <c r="N484" s="489">
        <v>0</v>
      </c>
      <c r="O484" s="489">
        <v>0</v>
      </c>
      <c r="P484" s="801">
        <v>0</v>
      </c>
      <c r="Q484" s="489">
        <v>0</v>
      </c>
      <c r="R484" s="489">
        <v>4.7</v>
      </c>
      <c r="S484" s="489">
        <v>51879</v>
      </c>
      <c r="T484" s="804">
        <v>106</v>
      </c>
      <c r="U484" s="805">
        <v>190699</v>
      </c>
      <c r="V484" s="241"/>
      <c r="W484" s="241"/>
      <c r="X484" s="241"/>
      <c r="Y484" s="73"/>
      <c r="Z484" s="73"/>
      <c r="AG484" s="1">
        <f>U484/T484</f>
        <v>1799.0471698113208</v>
      </c>
    </row>
    <row r="485" spans="1:33" ht="15.75">
      <c r="A485" s="374">
        <v>20</v>
      </c>
      <c r="B485" s="259" t="s">
        <v>390</v>
      </c>
      <c r="C485" s="489">
        <f>'часть 1'!L565</f>
        <v>52265</v>
      </c>
      <c r="D485" s="489">
        <f t="shared" si="58"/>
        <v>0</v>
      </c>
      <c r="E485" s="489">
        <v>0</v>
      </c>
      <c r="F485" s="489">
        <v>0</v>
      </c>
      <c r="G485" s="489">
        <v>0</v>
      </c>
      <c r="H485" s="489">
        <v>0</v>
      </c>
      <c r="I485" s="489">
        <v>0</v>
      </c>
      <c r="J485" s="489">
        <v>0</v>
      </c>
      <c r="K485" s="489">
        <v>0</v>
      </c>
      <c r="L485" s="800">
        <v>0</v>
      </c>
      <c r="M485" s="489">
        <v>0</v>
      </c>
      <c r="N485" s="489">
        <v>0</v>
      </c>
      <c r="O485" s="489">
        <v>0</v>
      </c>
      <c r="P485" s="801">
        <v>0</v>
      </c>
      <c r="Q485" s="489">
        <v>0</v>
      </c>
      <c r="R485" s="489">
        <v>4.8</v>
      </c>
      <c r="S485" s="489">
        <v>52265</v>
      </c>
      <c r="T485" s="804">
        <v>0</v>
      </c>
      <c r="U485" s="805">
        <v>0</v>
      </c>
      <c r="V485" s="241"/>
      <c r="W485" s="241"/>
      <c r="X485" s="241"/>
      <c r="Y485" s="73"/>
      <c r="Z485" s="73"/>
    </row>
    <row r="486" spans="1:33" ht="15.75">
      <c r="A486" s="374">
        <v>21</v>
      </c>
      <c r="B486" s="259" t="s">
        <v>909</v>
      </c>
      <c r="C486" s="489">
        <f>'часть 1'!L566</f>
        <v>81602</v>
      </c>
      <c r="D486" s="489">
        <f t="shared" si="58"/>
        <v>0</v>
      </c>
      <c r="E486" s="489">
        <v>0</v>
      </c>
      <c r="F486" s="489">
        <v>0</v>
      </c>
      <c r="G486" s="489">
        <v>0</v>
      </c>
      <c r="H486" s="489">
        <v>0</v>
      </c>
      <c r="I486" s="489">
        <v>0</v>
      </c>
      <c r="J486" s="489">
        <v>0</v>
      </c>
      <c r="K486" s="489">
        <v>0</v>
      </c>
      <c r="L486" s="800">
        <v>0</v>
      </c>
      <c r="M486" s="489">
        <v>0</v>
      </c>
      <c r="N486" s="489">
        <v>0</v>
      </c>
      <c r="O486" s="489">
        <v>0</v>
      </c>
      <c r="P486" s="801">
        <v>0</v>
      </c>
      <c r="Q486" s="489">
        <v>0</v>
      </c>
      <c r="R486" s="489">
        <v>1.3</v>
      </c>
      <c r="S486" s="489">
        <v>81602</v>
      </c>
      <c r="T486" s="804">
        <v>0</v>
      </c>
      <c r="U486" s="805">
        <v>0</v>
      </c>
      <c r="V486" s="241"/>
      <c r="W486" s="241"/>
      <c r="X486" s="241"/>
      <c r="Y486" s="73"/>
      <c r="Z486" s="73"/>
    </row>
    <row r="487" spans="1:33" ht="15.75">
      <c r="A487" s="374">
        <v>22</v>
      </c>
      <c r="B487" s="259" t="s">
        <v>232</v>
      </c>
      <c r="C487" s="489">
        <f>'часть 1'!L567</f>
        <v>87295</v>
      </c>
      <c r="D487" s="489">
        <f t="shared" si="58"/>
        <v>0</v>
      </c>
      <c r="E487" s="489">
        <v>0</v>
      </c>
      <c r="F487" s="489">
        <v>0</v>
      </c>
      <c r="G487" s="489">
        <v>0</v>
      </c>
      <c r="H487" s="489">
        <v>0</v>
      </c>
      <c r="I487" s="489">
        <v>0</v>
      </c>
      <c r="J487" s="489">
        <v>0</v>
      </c>
      <c r="K487" s="489">
        <v>0</v>
      </c>
      <c r="L487" s="800">
        <v>0</v>
      </c>
      <c r="M487" s="489">
        <v>0</v>
      </c>
      <c r="N487" s="489">
        <v>0</v>
      </c>
      <c r="O487" s="489">
        <v>0</v>
      </c>
      <c r="P487" s="801">
        <v>0</v>
      </c>
      <c r="Q487" s="489">
        <v>0</v>
      </c>
      <c r="R487" s="489">
        <v>1.4</v>
      </c>
      <c r="S487" s="489">
        <v>87295</v>
      </c>
      <c r="T487" s="804">
        <v>0</v>
      </c>
      <c r="U487" s="805">
        <v>0</v>
      </c>
      <c r="V487" s="241"/>
      <c r="W487" s="241"/>
      <c r="X487" s="241"/>
      <c r="Y487" s="73"/>
      <c r="Z487" s="73"/>
    </row>
    <row r="488" spans="1:33" ht="15.75">
      <c r="A488" s="374">
        <v>23</v>
      </c>
      <c r="B488" s="259" t="s">
        <v>910</v>
      </c>
      <c r="C488" s="489">
        <f>'часть 1'!L568</f>
        <v>51879</v>
      </c>
      <c r="D488" s="489">
        <f t="shared" si="58"/>
        <v>0</v>
      </c>
      <c r="E488" s="489">
        <v>0</v>
      </c>
      <c r="F488" s="489">
        <v>0</v>
      </c>
      <c r="G488" s="489">
        <v>0</v>
      </c>
      <c r="H488" s="489">
        <v>0</v>
      </c>
      <c r="I488" s="489">
        <v>0</v>
      </c>
      <c r="J488" s="489">
        <v>0</v>
      </c>
      <c r="K488" s="489">
        <v>0</v>
      </c>
      <c r="L488" s="800">
        <v>0</v>
      </c>
      <c r="M488" s="489">
        <v>0</v>
      </c>
      <c r="N488" s="489">
        <v>0</v>
      </c>
      <c r="O488" s="489">
        <v>0</v>
      </c>
      <c r="P488" s="801">
        <v>0</v>
      </c>
      <c r="Q488" s="489">
        <v>0</v>
      </c>
      <c r="R488" s="489">
        <v>7</v>
      </c>
      <c r="S488" s="489">
        <v>51879</v>
      </c>
      <c r="T488" s="804">
        <v>0</v>
      </c>
      <c r="U488" s="805">
        <v>0</v>
      </c>
      <c r="V488" s="241"/>
      <c r="W488" s="241"/>
      <c r="X488" s="241"/>
      <c r="Y488" s="73"/>
      <c r="Z488" s="73"/>
    </row>
    <row r="489" spans="1:33" ht="15.75">
      <c r="A489" s="374">
        <v>24</v>
      </c>
      <c r="B489" s="259" t="s">
        <v>911</v>
      </c>
      <c r="C489" s="489">
        <f>'часть 1'!L569</f>
        <v>51879</v>
      </c>
      <c r="D489" s="489">
        <f t="shared" si="58"/>
        <v>0</v>
      </c>
      <c r="E489" s="489">
        <v>0</v>
      </c>
      <c r="F489" s="489">
        <v>0</v>
      </c>
      <c r="G489" s="489">
        <v>0</v>
      </c>
      <c r="H489" s="489">
        <v>0</v>
      </c>
      <c r="I489" s="489">
        <v>0</v>
      </c>
      <c r="J489" s="489">
        <v>0</v>
      </c>
      <c r="K489" s="489">
        <v>0</v>
      </c>
      <c r="L489" s="800">
        <v>0</v>
      </c>
      <c r="M489" s="489">
        <v>0</v>
      </c>
      <c r="N489" s="489">
        <v>0</v>
      </c>
      <c r="O489" s="489">
        <v>0</v>
      </c>
      <c r="P489" s="801">
        <v>0</v>
      </c>
      <c r="Q489" s="489">
        <v>0</v>
      </c>
      <c r="R489" s="489">
        <v>4.7</v>
      </c>
      <c r="S489" s="489">
        <v>51879</v>
      </c>
      <c r="T489" s="804">
        <v>0</v>
      </c>
      <c r="U489" s="805">
        <v>0</v>
      </c>
      <c r="V489" s="241"/>
      <c r="W489" s="241"/>
      <c r="X489" s="241"/>
      <c r="Y489" s="73"/>
      <c r="Z489" s="73"/>
    </row>
    <row r="490" spans="1:33" ht="15.75">
      <c r="A490" s="374">
        <v>25</v>
      </c>
      <c r="B490" s="259" t="s">
        <v>912</v>
      </c>
      <c r="C490" s="489">
        <f>'часть 1'!L570</f>
        <v>52072</v>
      </c>
      <c r="D490" s="489">
        <f t="shared" si="58"/>
        <v>0</v>
      </c>
      <c r="E490" s="489">
        <v>0</v>
      </c>
      <c r="F490" s="489">
        <v>0</v>
      </c>
      <c r="G490" s="489">
        <v>0</v>
      </c>
      <c r="H490" s="489">
        <v>0</v>
      </c>
      <c r="I490" s="489">
        <v>0</v>
      </c>
      <c r="J490" s="489">
        <v>0</v>
      </c>
      <c r="K490" s="489">
        <v>0</v>
      </c>
      <c r="L490" s="800">
        <v>0</v>
      </c>
      <c r="M490" s="489">
        <v>0</v>
      </c>
      <c r="N490" s="489">
        <v>0</v>
      </c>
      <c r="O490" s="489">
        <v>0</v>
      </c>
      <c r="P490" s="801">
        <v>0</v>
      </c>
      <c r="Q490" s="489">
        <v>0</v>
      </c>
      <c r="R490" s="489">
        <v>4.7</v>
      </c>
      <c r="S490" s="489">
        <v>52072</v>
      </c>
      <c r="T490" s="804">
        <v>0</v>
      </c>
      <c r="U490" s="805">
        <v>0</v>
      </c>
      <c r="V490" s="241"/>
      <c r="W490" s="241"/>
      <c r="X490" s="241"/>
      <c r="Y490" s="73"/>
      <c r="Z490" s="73"/>
    </row>
    <row r="491" spans="1:33" ht="15.75">
      <c r="A491" s="374">
        <v>26</v>
      </c>
      <c r="B491" s="259" t="s">
        <v>913</v>
      </c>
      <c r="C491" s="489">
        <f>'часть 1'!L571</f>
        <v>51879</v>
      </c>
      <c r="D491" s="489">
        <f t="shared" si="58"/>
        <v>0</v>
      </c>
      <c r="E491" s="489">
        <v>0</v>
      </c>
      <c r="F491" s="489">
        <v>0</v>
      </c>
      <c r="G491" s="489">
        <v>0</v>
      </c>
      <c r="H491" s="489">
        <v>0</v>
      </c>
      <c r="I491" s="489">
        <v>0</v>
      </c>
      <c r="J491" s="489">
        <v>0</v>
      </c>
      <c r="K491" s="489">
        <v>0</v>
      </c>
      <c r="L491" s="800">
        <v>0</v>
      </c>
      <c r="M491" s="489">
        <v>0</v>
      </c>
      <c r="N491" s="489">
        <v>0</v>
      </c>
      <c r="O491" s="489">
        <v>0</v>
      </c>
      <c r="P491" s="801">
        <v>0</v>
      </c>
      <c r="Q491" s="489">
        <v>0</v>
      </c>
      <c r="R491" s="489">
        <v>4.7</v>
      </c>
      <c r="S491" s="489">
        <v>51879</v>
      </c>
      <c r="T491" s="804">
        <v>0</v>
      </c>
      <c r="U491" s="805">
        <v>0</v>
      </c>
      <c r="V491" s="241"/>
      <c r="W491" s="241"/>
      <c r="X491" s="241"/>
      <c r="Y491" s="73"/>
      <c r="Z491" s="73"/>
    </row>
    <row r="492" spans="1:33" ht="15.75">
      <c r="A492" s="374">
        <v>27</v>
      </c>
      <c r="B492" s="259" t="s">
        <v>914</v>
      </c>
      <c r="C492" s="489">
        <f>'часть 1'!L572</f>
        <v>77819</v>
      </c>
      <c r="D492" s="489">
        <f t="shared" si="58"/>
        <v>0</v>
      </c>
      <c r="E492" s="489">
        <v>0</v>
      </c>
      <c r="F492" s="489">
        <v>0</v>
      </c>
      <c r="G492" s="489">
        <v>0</v>
      </c>
      <c r="H492" s="489">
        <v>0</v>
      </c>
      <c r="I492" s="489">
        <v>0</v>
      </c>
      <c r="J492" s="489">
        <v>0</v>
      </c>
      <c r="K492" s="489">
        <v>0</v>
      </c>
      <c r="L492" s="800">
        <v>0</v>
      </c>
      <c r="M492" s="489">
        <v>0</v>
      </c>
      <c r="N492" s="489">
        <v>0</v>
      </c>
      <c r="O492" s="489">
        <v>0</v>
      </c>
      <c r="P492" s="801">
        <v>0</v>
      </c>
      <c r="Q492" s="489">
        <v>0</v>
      </c>
      <c r="R492" s="489">
        <v>7.6</v>
      </c>
      <c r="S492" s="489">
        <v>77819</v>
      </c>
      <c r="T492" s="804">
        <v>0</v>
      </c>
      <c r="U492" s="805">
        <v>0</v>
      </c>
      <c r="V492" s="241"/>
      <c r="W492" s="241"/>
      <c r="X492" s="241"/>
      <c r="Y492" s="73"/>
      <c r="Z492" s="73"/>
    </row>
    <row r="493" spans="1:33" ht="15.75">
      <c r="A493" s="374">
        <v>28</v>
      </c>
      <c r="B493" s="259" t="s">
        <v>915</v>
      </c>
      <c r="C493" s="489">
        <f>'часть 1'!L573</f>
        <v>51879</v>
      </c>
      <c r="D493" s="489">
        <f t="shared" si="58"/>
        <v>0</v>
      </c>
      <c r="E493" s="489">
        <v>0</v>
      </c>
      <c r="F493" s="489">
        <v>0</v>
      </c>
      <c r="G493" s="489">
        <v>0</v>
      </c>
      <c r="H493" s="489">
        <v>0</v>
      </c>
      <c r="I493" s="489">
        <v>0</v>
      </c>
      <c r="J493" s="489">
        <v>0</v>
      </c>
      <c r="K493" s="489">
        <v>0</v>
      </c>
      <c r="L493" s="800">
        <v>0</v>
      </c>
      <c r="M493" s="489">
        <v>0</v>
      </c>
      <c r="N493" s="489">
        <v>0</v>
      </c>
      <c r="O493" s="489">
        <v>0</v>
      </c>
      <c r="P493" s="801">
        <v>0</v>
      </c>
      <c r="Q493" s="489">
        <v>0</v>
      </c>
      <c r="R493" s="489">
        <v>4.7</v>
      </c>
      <c r="S493" s="489">
        <v>51879</v>
      </c>
      <c r="T493" s="806">
        <v>0</v>
      </c>
      <c r="U493" s="805">
        <v>0</v>
      </c>
      <c r="V493" s="241"/>
      <c r="W493" s="241"/>
      <c r="X493" s="241"/>
      <c r="Y493" s="73"/>
      <c r="Z493" s="73"/>
    </row>
    <row r="494" spans="1:33" ht="15.75">
      <c r="A494" s="374">
        <v>29</v>
      </c>
      <c r="B494" s="259" t="s">
        <v>916</v>
      </c>
      <c r="C494" s="489">
        <f>'часть 1'!L574</f>
        <v>51783</v>
      </c>
      <c r="D494" s="489">
        <f t="shared" si="58"/>
        <v>0</v>
      </c>
      <c r="E494" s="489">
        <v>0</v>
      </c>
      <c r="F494" s="489">
        <v>0</v>
      </c>
      <c r="G494" s="489">
        <v>0</v>
      </c>
      <c r="H494" s="489">
        <v>0</v>
      </c>
      <c r="I494" s="489">
        <v>0</v>
      </c>
      <c r="J494" s="489">
        <v>0</v>
      </c>
      <c r="K494" s="489">
        <v>0</v>
      </c>
      <c r="L494" s="800">
        <v>0</v>
      </c>
      <c r="M494" s="489">
        <v>0</v>
      </c>
      <c r="N494" s="489">
        <v>0</v>
      </c>
      <c r="O494" s="489">
        <v>0</v>
      </c>
      <c r="P494" s="801">
        <v>0</v>
      </c>
      <c r="Q494" s="489">
        <v>0</v>
      </c>
      <c r="R494" s="489">
        <v>4.7</v>
      </c>
      <c r="S494" s="489">
        <v>51783</v>
      </c>
      <c r="T494" s="804">
        <v>0</v>
      </c>
      <c r="U494" s="805">
        <v>0</v>
      </c>
      <c r="V494" s="241"/>
      <c r="W494" s="241"/>
      <c r="X494" s="241"/>
      <c r="Y494" s="73"/>
      <c r="Z494" s="73"/>
    </row>
    <row r="495" spans="1:33" ht="15.75">
      <c r="A495" s="374">
        <v>30</v>
      </c>
      <c r="B495" s="259" t="s">
        <v>917</v>
      </c>
      <c r="C495" s="489">
        <f>'часть 1'!L575</f>
        <v>51011</v>
      </c>
      <c r="D495" s="489">
        <f t="shared" si="58"/>
        <v>0</v>
      </c>
      <c r="E495" s="489">
        <v>0</v>
      </c>
      <c r="F495" s="489">
        <v>0</v>
      </c>
      <c r="G495" s="489">
        <v>0</v>
      </c>
      <c r="H495" s="489">
        <v>0</v>
      </c>
      <c r="I495" s="489">
        <v>0</v>
      </c>
      <c r="J495" s="489">
        <v>0</v>
      </c>
      <c r="K495" s="489">
        <v>0</v>
      </c>
      <c r="L495" s="800">
        <v>0</v>
      </c>
      <c r="M495" s="489">
        <v>0</v>
      </c>
      <c r="N495" s="489">
        <v>0</v>
      </c>
      <c r="O495" s="489">
        <v>0</v>
      </c>
      <c r="P495" s="801">
        <v>0</v>
      </c>
      <c r="Q495" s="489">
        <v>0</v>
      </c>
      <c r="R495" s="489">
        <v>4.4000000000000004</v>
      </c>
      <c r="S495" s="489">
        <v>51011</v>
      </c>
      <c r="T495" s="806">
        <v>0</v>
      </c>
      <c r="U495" s="805">
        <v>0</v>
      </c>
      <c r="V495" s="241"/>
      <c r="W495" s="241"/>
      <c r="X495" s="241"/>
      <c r="Y495" s="73"/>
      <c r="Z495" s="73"/>
    </row>
    <row r="496" spans="1:33" ht="15.75">
      <c r="A496" s="374">
        <v>31</v>
      </c>
      <c r="B496" s="259" t="s">
        <v>918</v>
      </c>
      <c r="C496" s="489">
        <f>'часть 1'!L576</f>
        <v>78398</v>
      </c>
      <c r="D496" s="489">
        <f t="shared" si="58"/>
        <v>0</v>
      </c>
      <c r="E496" s="489">
        <v>0</v>
      </c>
      <c r="F496" s="489">
        <v>0</v>
      </c>
      <c r="G496" s="489">
        <v>0</v>
      </c>
      <c r="H496" s="489">
        <v>0</v>
      </c>
      <c r="I496" s="489">
        <v>0</v>
      </c>
      <c r="J496" s="489">
        <v>0</v>
      </c>
      <c r="K496" s="489">
        <v>0</v>
      </c>
      <c r="L496" s="800">
        <v>0</v>
      </c>
      <c r="M496" s="489">
        <v>0</v>
      </c>
      <c r="N496" s="489">
        <v>0</v>
      </c>
      <c r="O496" s="489">
        <v>0</v>
      </c>
      <c r="P496" s="801">
        <v>0</v>
      </c>
      <c r="Q496" s="489">
        <v>0</v>
      </c>
      <c r="R496" s="489">
        <v>7.2</v>
      </c>
      <c r="S496" s="489">
        <v>78398</v>
      </c>
      <c r="T496" s="804">
        <v>0</v>
      </c>
      <c r="U496" s="805">
        <v>0</v>
      </c>
      <c r="V496" s="241"/>
      <c r="W496" s="241"/>
      <c r="X496" s="241"/>
      <c r="Y496" s="73"/>
      <c r="Z496" s="73"/>
    </row>
    <row r="497" spans="1:26" ht="15.75">
      <c r="A497" s="374">
        <v>32</v>
      </c>
      <c r="B497" s="259" t="s">
        <v>919</v>
      </c>
      <c r="C497" s="489">
        <f>'часть 1'!L577</f>
        <v>78012</v>
      </c>
      <c r="D497" s="489">
        <f t="shared" si="58"/>
        <v>0</v>
      </c>
      <c r="E497" s="489">
        <v>0</v>
      </c>
      <c r="F497" s="489">
        <v>0</v>
      </c>
      <c r="G497" s="489">
        <v>0</v>
      </c>
      <c r="H497" s="489">
        <v>0</v>
      </c>
      <c r="I497" s="489">
        <v>0</v>
      </c>
      <c r="J497" s="489">
        <v>0</v>
      </c>
      <c r="K497" s="489">
        <v>0</v>
      </c>
      <c r="L497" s="800">
        <v>0</v>
      </c>
      <c r="M497" s="489">
        <v>0</v>
      </c>
      <c r="N497" s="489">
        <v>0</v>
      </c>
      <c r="O497" s="489">
        <v>0</v>
      </c>
      <c r="P497" s="801">
        <v>0</v>
      </c>
      <c r="Q497" s="489">
        <v>0</v>
      </c>
      <c r="R497" s="489">
        <v>7.1</v>
      </c>
      <c r="S497" s="489">
        <v>78012</v>
      </c>
      <c r="T497" s="806">
        <v>0</v>
      </c>
      <c r="U497" s="805">
        <v>0</v>
      </c>
      <c r="V497" s="241"/>
      <c r="W497" s="241"/>
      <c r="X497" s="241"/>
      <c r="Y497" s="73"/>
      <c r="Z497" s="73"/>
    </row>
    <row r="498" spans="1:26" ht="15.75">
      <c r="A498" s="374">
        <v>33</v>
      </c>
      <c r="B498" s="259" t="s">
        <v>920</v>
      </c>
      <c r="C498" s="489">
        <f>'часть 1'!L578</f>
        <v>52265</v>
      </c>
      <c r="D498" s="489">
        <f t="shared" si="58"/>
        <v>0</v>
      </c>
      <c r="E498" s="489">
        <v>0</v>
      </c>
      <c r="F498" s="489">
        <v>0</v>
      </c>
      <c r="G498" s="489">
        <v>0</v>
      </c>
      <c r="H498" s="489">
        <v>0</v>
      </c>
      <c r="I498" s="489">
        <v>0</v>
      </c>
      <c r="J498" s="489">
        <v>0</v>
      </c>
      <c r="K498" s="489">
        <v>0</v>
      </c>
      <c r="L498" s="800">
        <v>0</v>
      </c>
      <c r="M498" s="489">
        <v>0</v>
      </c>
      <c r="N498" s="489">
        <v>0</v>
      </c>
      <c r="O498" s="489">
        <v>0</v>
      </c>
      <c r="P498" s="801">
        <v>0</v>
      </c>
      <c r="Q498" s="489">
        <v>0</v>
      </c>
      <c r="R498" s="489">
        <v>7.2</v>
      </c>
      <c r="S498" s="489">
        <v>52265</v>
      </c>
      <c r="T498" s="804">
        <v>0</v>
      </c>
      <c r="U498" s="805">
        <v>0</v>
      </c>
      <c r="V498" s="241"/>
      <c r="W498" s="241"/>
      <c r="X498" s="241"/>
      <c r="Y498" s="73"/>
      <c r="Z498" s="73"/>
    </row>
    <row r="499" spans="1:26" ht="15.75">
      <c r="A499" s="374">
        <v>34</v>
      </c>
      <c r="B499" s="259" t="s">
        <v>921</v>
      </c>
      <c r="C499" s="489">
        <f>'часть 1'!L579</f>
        <v>242964</v>
      </c>
      <c r="D499" s="489">
        <f t="shared" si="58"/>
        <v>0</v>
      </c>
      <c r="E499" s="489">
        <v>0</v>
      </c>
      <c r="F499" s="489">
        <v>0</v>
      </c>
      <c r="G499" s="489">
        <v>0</v>
      </c>
      <c r="H499" s="489">
        <v>0</v>
      </c>
      <c r="I499" s="489">
        <v>0</v>
      </c>
      <c r="J499" s="489">
        <v>0</v>
      </c>
      <c r="K499" s="489">
        <v>0</v>
      </c>
      <c r="L499" s="800">
        <v>0</v>
      </c>
      <c r="M499" s="489">
        <v>0</v>
      </c>
      <c r="N499" s="489">
        <v>0</v>
      </c>
      <c r="O499" s="489">
        <v>0</v>
      </c>
      <c r="P499" s="801">
        <v>0</v>
      </c>
      <c r="Q499" s="489">
        <v>0</v>
      </c>
      <c r="R499" s="489">
        <v>4.8</v>
      </c>
      <c r="S499" s="489">
        <v>52265</v>
      </c>
      <c r="T499" s="804">
        <v>106</v>
      </c>
      <c r="U499" s="805">
        <v>190699</v>
      </c>
      <c r="V499" s="241"/>
      <c r="W499" s="241"/>
      <c r="X499" s="241"/>
      <c r="Y499" s="73"/>
      <c r="Z499" s="73"/>
    </row>
    <row r="500" spans="1:26" ht="15.75">
      <c r="A500" s="374">
        <v>35</v>
      </c>
      <c r="B500" s="259" t="s">
        <v>922</v>
      </c>
      <c r="C500" s="489">
        <f>'часть 1'!L580</f>
        <v>87102</v>
      </c>
      <c r="D500" s="489">
        <f t="shared" si="58"/>
        <v>0</v>
      </c>
      <c r="E500" s="489">
        <v>0</v>
      </c>
      <c r="F500" s="489">
        <v>0</v>
      </c>
      <c r="G500" s="489">
        <v>0</v>
      </c>
      <c r="H500" s="489">
        <v>0</v>
      </c>
      <c r="I500" s="489">
        <v>0</v>
      </c>
      <c r="J500" s="489">
        <v>0</v>
      </c>
      <c r="K500" s="489">
        <v>0</v>
      </c>
      <c r="L500" s="800">
        <v>0</v>
      </c>
      <c r="M500" s="489">
        <v>0</v>
      </c>
      <c r="N500" s="489">
        <v>0</v>
      </c>
      <c r="O500" s="489">
        <v>0</v>
      </c>
      <c r="P500" s="801">
        <v>0</v>
      </c>
      <c r="Q500" s="489">
        <v>0</v>
      </c>
      <c r="R500" s="489">
        <v>1.4</v>
      </c>
      <c r="S500" s="489">
        <v>87102</v>
      </c>
      <c r="T500" s="800">
        <v>0</v>
      </c>
      <c r="U500" s="805">
        <v>0</v>
      </c>
      <c r="V500" s="241"/>
      <c r="W500" s="241"/>
      <c r="X500" s="241"/>
      <c r="Y500" s="73"/>
      <c r="Z500" s="73"/>
    </row>
    <row r="501" spans="1:26">
      <c r="A501" s="166"/>
      <c r="B501" s="182" t="s">
        <v>60</v>
      </c>
      <c r="C501" s="177">
        <v>9462538</v>
      </c>
      <c r="D501" s="177"/>
      <c r="E501" s="177"/>
      <c r="F501" s="177"/>
      <c r="G501" s="177"/>
      <c r="H501" s="177"/>
      <c r="I501" s="177"/>
      <c r="J501" s="177"/>
      <c r="K501" s="177">
        <v>0</v>
      </c>
      <c r="L501" s="178">
        <v>0</v>
      </c>
      <c r="M501" s="177">
        <v>0</v>
      </c>
      <c r="N501" s="177">
        <v>0</v>
      </c>
      <c r="O501" s="177">
        <v>0</v>
      </c>
      <c r="P501" s="179">
        <v>0</v>
      </c>
      <c r="Q501" s="177">
        <v>0</v>
      </c>
      <c r="R501" s="177">
        <v>4347</v>
      </c>
      <c r="S501" s="177">
        <v>6288728</v>
      </c>
      <c r="T501" s="178">
        <v>0</v>
      </c>
      <c r="U501" s="248">
        <v>0</v>
      </c>
      <c r="V501" s="241"/>
      <c r="W501" s="241"/>
      <c r="X501" s="241"/>
    </row>
    <row r="502" spans="1:26" ht="30">
      <c r="A502" s="166"/>
      <c r="B502" s="180" t="s">
        <v>113</v>
      </c>
      <c r="C502" s="177">
        <v>9462538</v>
      </c>
      <c r="D502" s="177"/>
      <c r="E502" s="177"/>
      <c r="F502" s="177"/>
      <c r="G502" s="177"/>
      <c r="H502" s="177"/>
      <c r="I502" s="177"/>
      <c r="J502" s="177"/>
      <c r="K502" s="177">
        <v>0</v>
      </c>
      <c r="L502" s="178">
        <v>0</v>
      </c>
      <c r="M502" s="177">
        <v>0</v>
      </c>
      <c r="N502" s="177">
        <v>1596</v>
      </c>
      <c r="O502" s="177">
        <v>3173810</v>
      </c>
      <c r="P502" s="179">
        <v>0</v>
      </c>
      <c r="Q502" s="177">
        <v>0</v>
      </c>
      <c r="R502" s="177">
        <v>4347</v>
      </c>
      <c r="S502" s="177">
        <v>6288728</v>
      </c>
      <c r="T502" s="178">
        <v>0</v>
      </c>
      <c r="U502" s="248">
        <v>0</v>
      </c>
      <c r="V502" s="241"/>
      <c r="W502" s="241"/>
      <c r="X502" s="241"/>
    </row>
    <row r="503" spans="1:26" s="25" customFormat="1">
      <c r="A503" s="166">
        <v>435</v>
      </c>
      <c r="B503" s="173" t="s">
        <v>887</v>
      </c>
      <c r="C503" s="198">
        <f>'часть 1'!L462</f>
        <v>3626543</v>
      </c>
      <c r="D503" s="198"/>
      <c r="E503" s="198"/>
      <c r="F503" s="198"/>
      <c r="G503" s="198"/>
      <c r="H503" s="198"/>
      <c r="I503" s="198"/>
      <c r="J503" s="198"/>
      <c r="K503" s="177">
        <v>0</v>
      </c>
      <c r="L503" s="178">
        <v>0</v>
      </c>
      <c r="M503" s="177">
        <v>0</v>
      </c>
      <c r="N503" s="177">
        <v>0</v>
      </c>
      <c r="O503" s="177">
        <v>0</v>
      </c>
      <c r="P503" s="179">
        <v>0</v>
      </c>
      <c r="Q503" s="177">
        <v>0</v>
      </c>
      <c r="R503" s="198">
        <v>2511</v>
      </c>
      <c r="S503" s="198">
        <v>3626543</v>
      </c>
      <c r="T503" s="178">
        <v>0</v>
      </c>
      <c r="U503" s="248">
        <v>0</v>
      </c>
      <c r="V503" s="241"/>
      <c r="W503" s="241"/>
      <c r="X503" s="241"/>
    </row>
    <row r="504" spans="1:26" s="25" customFormat="1">
      <c r="A504" s="166">
        <v>436</v>
      </c>
      <c r="B504" s="173" t="s">
        <v>888</v>
      </c>
      <c r="C504" s="198">
        <f>'часть 1'!L463</f>
        <v>2160246</v>
      </c>
      <c r="D504" s="198"/>
      <c r="E504" s="198"/>
      <c r="F504" s="198"/>
      <c r="G504" s="198"/>
      <c r="H504" s="198"/>
      <c r="I504" s="198"/>
      <c r="J504" s="198"/>
      <c r="K504" s="177">
        <v>0</v>
      </c>
      <c r="L504" s="178">
        <v>0</v>
      </c>
      <c r="M504" s="177">
        <v>0</v>
      </c>
      <c r="N504" s="198">
        <v>1092</v>
      </c>
      <c r="O504" s="198">
        <v>2160246</v>
      </c>
      <c r="P504" s="179">
        <v>0</v>
      </c>
      <c r="Q504" s="177">
        <v>0</v>
      </c>
      <c r="R504" s="179">
        <v>0</v>
      </c>
      <c r="S504" s="177">
        <v>0</v>
      </c>
      <c r="T504" s="178">
        <v>0</v>
      </c>
      <c r="U504" s="248">
        <v>0</v>
      </c>
      <c r="V504" s="241"/>
      <c r="W504" s="241"/>
      <c r="X504" s="241"/>
    </row>
    <row r="505" spans="1:26" s="25" customFormat="1">
      <c r="A505" s="166">
        <v>437</v>
      </c>
      <c r="B505" s="173" t="s">
        <v>889</v>
      </c>
      <c r="C505" s="198">
        <f>'часть 1'!L464</f>
        <v>1013564</v>
      </c>
      <c r="D505" s="198"/>
      <c r="E505" s="198"/>
      <c r="F505" s="198"/>
      <c r="G505" s="198"/>
      <c r="H505" s="198"/>
      <c r="I505" s="198"/>
      <c r="J505" s="198"/>
      <c r="K505" s="177">
        <v>0</v>
      </c>
      <c r="L505" s="178">
        <v>0</v>
      </c>
      <c r="M505" s="177">
        <v>0</v>
      </c>
      <c r="N505" s="198">
        <v>504</v>
      </c>
      <c r="O505" s="198">
        <v>1013564</v>
      </c>
      <c r="P505" s="179">
        <v>0</v>
      </c>
      <c r="Q505" s="177">
        <v>0</v>
      </c>
      <c r="R505" s="179">
        <v>0</v>
      </c>
      <c r="S505" s="177">
        <v>0</v>
      </c>
      <c r="T505" s="178">
        <v>0</v>
      </c>
      <c r="U505" s="248">
        <v>0</v>
      </c>
      <c r="V505" s="241"/>
      <c r="W505" s="241"/>
      <c r="X505" s="241"/>
    </row>
    <row r="506" spans="1:26" s="25" customFormat="1">
      <c r="A506" s="166"/>
      <c r="B506" s="173" t="s">
        <v>208</v>
      </c>
      <c r="C506" s="198">
        <v>562350</v>
      </c>
      <c r="D506" s="198"/>
      <c r="E506" s="198"/>
      <c r="F506" s="198"/>
      <c r="G506" s="198"/>
      <c r="H506" s="198"/>
      <c r="I506" s="198"/>
      <c r="J506" s="198"/>
      <c r="K506" s="198">
        <v>0</v>
      </c>
      <c r="L506" s="204">
        <v>0</v>
      </c>
      <c r="M506" s="198">
        <v>0</v>
      </c>
      <c r="N506" s="198">
        <v>275</v>
      </c>
      <c r="O506" s="198">
        <v>562350</v>
      </c>
      <c r="P506" s="196">
        <v>0</v>
      </c>
      <c r="Q506" s="198">
        <v>0</v>
      </c>
      <c r="R506" s="196">
        <v>0</v>
      </c>
      <c r="S506" s="198">
        <v>0</v>
      </c>
      <c r="T506" s="196">
        <v>0</v>
      </c>
      <c r="U506" s="253">
        <v>0</v>
      </c>
      <c r="V506" s="241"/>
      <c r="W506" s="241"/>
      <c r="X506" s="241"/>
    </row>
    <row r="507" spans="1:26" s="25" customFormat="1" ht="30">
      <c r="A507" s="166"/>
      <c r="B507" s="180" t="s">
        <v>209</v>
      </c>
      <c r="C507" s="198">
        <f>C508</f>
        <v>1167102</v>
      </c>
      <c r="D507" s="198">
        <f t="shared" ref="D507:U507" si="59">D508</f>
        <v>0</v>
      </c>
      <c r="E507" s="198">
        <f t="shared" si="59"/>
        <v>0</v>
      </c>
      <c r="F507" s="198">
        <f t="shared" si="59"/>
        <v>0</v>
      </c>
      <c r="G507" s="198">
        <f t="shared" si="59"/>
        <v>0</v>
      </c>
      <c r="H507" s="198">
        <f t="shared" si="59"/>
        <v>0</v>
      </c>
      <c r="I507" s="198">
        <f t="shared" si="59"/>
        <v>0</v>
      </c>
      <c r="J507" s="198">
        <f t="shared" si="59"/>
        <v>0</v>
      </c>
      <c r="K507" s="198">
        <f t="shared" si="59"/>
        <v>0</v>
      </c>
      <c r="L507" s="198">
        <f t="shared" si="59"/>
        <v>0</v>
      </c>
      <c r="M507" s="198">
        <f t="shared" si="59"/>
        <v>0</v>
      </c>
      <c r="N507" s="198">
        <f t="shared" si="59"/>
        <v>368</v>
      </c>
      <c r="O507" s="198">
        <f t="shared" si="59"/>
        <v>1167102</v>
      </c>
      <c r="P507" s="198">
        <f t="shared" si="59"/>
        <v>0</v>
      </c>
      <c r="Q507" s="198">
        <f t="shared" si="59"/>
        <v>0</v>
      </c>
      <c r="R507" s="198">
        <f t="shared" si="59"/>
        <v>0</v>
      </c>
      <c r="S507" s="198">
        <f t="shared" si="59"/>
        <v>0</v>
      </c>
      <c r="T507" s="198">
        <f t="shared" si="59"/>
        <v>0</v>
      </c>
      <c r="U507" s="198">
        <f t="shared" si="59"/>
        <v>0</v>
      </c>
      <c r="V507" s="241"/>
      <c r="W507" s="241"/>
      <c r="X507" s="241"/>
    </row>
    <row r="508" spans="1:26" s="25" customFormat="1">
      <c r="A508" s="374">
        <v>439</v>
      </c>
      <c r="B508" s="407" t="s">
        <v>478</v>
      </c>
      <c r="C508" s="408">
        <v>1167102</v>
      </c>
      <c r="D508" s="408">
        <v>0</v>
      </c>
      <c r="E508" s="408">
        <v>0</v>
      </c>
      <c r="F508" s="408">
        <v>0</v>
      </c>
      <c r="G508" s="408">
        <v>0</v>
      </c>
      <c r="H508" s="408">
        <v>0</v>
      </c>
      <c r="I508" s="408">
        <v>0</v>
      </c>
      <c r="J508" s="408">
        <v>0</v>
      </c>
      <c r="K508" s="383">
        <v>0</v>
      </c>
      <c r="L508" s="384">
        <v>0</v>
      </c>
      <c r="M508" s="383">
        <v>0</v>
      </c>
      <c r="N508" s="383">
        <v>368</v>
      </c>
      <c r="O508" s="383">
        <v>1167102</v>
      </c>
      <c r="P508" s="386">
        <v>0</v>
      </c>
      <c r="Q508" s="383">
        <v>0</v>
      </c>
      <c r="R508" s="409">
        <v>0</v>
      </c>
      <c r="S508" s="408">
        <v>0</v>
      </c>
      <c r="T508" s="384">
        <v>0</v>
      </c>
      <c r="U508" s="387">
        <v>0</v>
      </c>
      <c r="V508" s="241"/>
      <c r="W508" s="241">
        <f>O508/N508</f>
        <v>3171.4728260869565</v>
      </c>
      <c r="X508" s="241"/>
    </row>
    <row r="509" spans="1:26">
      <c r="A509" s="166"/>
      <c r="B509" s="182" t="s">
        <v>61</v>
      </c>
      <c r="C509" s="177">
        <v>1267050</v>
      </c>
      <c r="D509" s="177"/>
      <c r="E509" s="177"/>
      <c r="F509" s="177"/>
      <c r="G509" s="177"/>
      <c r="H509" s="177"/>
      <c r="I509" s="177"/>
      <c r="J509" s="177"/>
      <c r="K509" s="177">
        <v>0</v>
      </c>
      <c r="L509" s="178">
        <v>0</v>
      </c>
      <c r="M509" s="177">
        <v>0</v>
      </c>
      <c r="N509" s="177">
        <v>643</v>
      </c>
      <c r="O509" s="177">
        <v>1267050</v>
      </c>
      <c r="P509" s="179">
        <v>0</v>
      </c>
      <c r="Q509" s="177">
        <v>0</v>
      </c>
      <c r="R509" s="179">
        <v>0</v>
      </c>
      <c r="S509" s="177">
        <v>0</v>
      </c>
      <c r="T509" s="178">
        <v>0</v>
      </c>
      <c r="U509" s="248">
        <v>0</v>
      </c>
      <c r="V509" s="241"/>
      <c r="W509" s="241"/>
      <c r="X509" s="241"/>
    </row>
    <row r="510" spans="1:26" ht="30">
      <c r="A510" s="166"/>
      <c r="B510" s="180" t="s">
        <v>118</v>
      </c>
      <c r="C510" s="177">
        <f>C511+C512</f>
        <v>3666180</v>
      </c>
      <c r="D510" s="177">
        <f t="shared" ref="D510:U510" si="60">D511+D512</f>
        <v>0</v>
      </c>
      <c r="E510" s="177">
        <f t="shared" si="60"/>
        <v>0</v>
      </c>
      <c r="F510" s="177">
        <f t="shared" si="60"/>
        <v>0</v>
      </c>
      <c r="G510" s="177">
        <f t="shared" si="60"/>
        <v>0</v>
      </c>
      <c r="H510" s="177">
        <f t="shared" si="60"/>
        <v>0</v>
      </c>
      <c r="I510" s="177">
        <f t="shared" si="60"/>
        <v>0</v>
      </c>
      <c r="J510" s="177">
        <f t="shared" si="60"/>
        <v>0</v>
      </c>
      <c r="K510" s="177">
        <f t="shared" si="60"/>
        <v>0</v>
      </c>
      <c r="L510" s="177">
        <f t="shared" si="60"/>
        <v>0</v>
      </c>
      <c r="M510" s="177">
        <f t="shared" si="60"/>
        <v>0</v>
      </c>
      <c r="N510" s="177">
        <f t="shared" si="60"/>
        <v>1481.5</v>
      </c>
      <c r="O510" s="177">
        <f t="shared" si="60"/>
        <v>3666180</v>
      </c>
      <c r="P510" s="177">
        <f t="shared" si="60"/>
        <v>0</v>
      </c>
      <c r="Q510" s="177">
        <f t="shared" si="60"/>
        <v>0</v>
      </c>
      <c r="R510" s="177">
        <f t="shared" si="60"/>
        <v>0</v>
      </c>
      <c r="S510" s="177">
        <f t="shared" si="60"/>
        <v>0</v>
      </c>
      <c r="T510" s="177">
        <f t="shared" si="60"/>
        <v>0</v>
      </c>
      <c r="U510" s="177">
        <f t="shared" si="60"/>
        <v>0</v>
      </c>
      <c r="V510" s="241"/>
      <c r="W510" s="241"/>
      <c r="X510" s="241"/>
    </row>
    <row r="511" spans="1:26">
      <c r="A511" s="374">
        <v>440</v>
      </c>
      <c r="B511" s="382" t="s">
        <v>495</v>
      </c>
      <c r="C511" s="383">
        <v>2553216</v>
      </c>
      <c r="D511" s="383">
        <v>0</v>
      </c>
      <c r="E511" s="383">
        <v>0</v>
      </c>
      <c r="F511" s="383">
        <v>0</v>
      </c>
      <c r="G511" s="383">
        <v>0</v>
      </c>
      <c r="H511" s="383">
        <v>0</v>
      </c>
      <c r="I511" s="383">
        <v>0</v>
      </c>
      <c r="J511" s="383">
        <v>0</v>
      </c>
      <c r="K511" s="383">
        <v>0</v>
      </c>
      <c r="L511" s="384">
        <v>0</v>
      </c>
      <c r="M511" s="383">
        <v>0</v>
      </c>
      <c r="N511" s="383">
        <v>1032</v>
      </c>
      <c r="O511" s="383">
        <v>2553216</v>
      </c>
      <c r="P511" s="386">
        <v>0</v>
      </c>
      <c r="Q511" s="383">
        <v>0</v>
      </c>
      <c r="R511" s="386">
        <v>0</v>
      </c>
      <c r="S511" s="383">
        <v>0</v>
      </c>
      <c r="T511" s="384">
        <v>0</v>
      </c>
      <c r="U511" s="387">
        <v>0</v>
      </c>
      <c r="V511" s="241"/>
      <c r="W511" s="241">
        <f>O511/N511</f>
        <v>2474.046511627907</v>
      </c>
      <c r="X511" s="241"/>
    </row>
    <row r="512" spans="1:26">
      <c r="A512" s="374"/>
      <c r="B512" s="382" t="s">
        <v>496</v>
      </c>
      <c r="C512" s="383">
        <v>1112964</v>
      </c>
      <c r="D512" s="383">
        <v>0</v>
      </c>
      <c r="E512" s="383">
        <v>0</v>
      </c>
      <c r="F512" s="383">
        <v>0</v>
      </c>
      <c r="G512" s="383">
        <v>0</v>
      </c>
      <c r="H512" s="383">
        <v>0</v>
      </c>
      <c r="I512" s="383">
        <v>0</v>
      </c>
      <c r="J512" s="383">
        <v>0</v>
      </c>
      <c r="K512" s="383">
        <v>0</v>
      </c>
      <c r="L512" s="384">
        <v>0</v>
      </c>
      <c r="M512" s="383">
        <v>0</v>
      </c>
      <c r="N512" s="383">
        <v>449.5</v>
      </c>
      <c r="O512" s="383">
        <v>1112964</v>
      </c>
      <c r="P512" s="386">
        <v>0</v>
      </c>
      <c r="Q512" s="383">
        <v>0</v>
      </c>
      <c r="R512" s="386">
        <v>0</v>
      </c>
      <c r="S512" s="383">
        <v>0</v>
      </c>
      <c r="T512" s="384">
        <v>0</v>
      </c>
      <c r="U512" s="387">
        <v>0</v>
      </c>
      <c r="V512" s="241"/>
      <c r="W512" s="241">
        <f>O512/N512</f>
        <v>2476.0044493882092</v>
      </c>
      <c r="X512" s="241"/>
    </row>
    <row r="513" spans="1:31" ht="25.15" customHeight="1">
      <c r="A513" s="162"/>
      <c r="B513" s="182" t="s">
        <v>649</v>
      </c>
      <c r="C513" s="177"/>
      <c r="D513" s="177">
        <f>D514</f>
        <v>204131</v>
      </c>
      <c r="E513" s="177">
        <f t="shared" ref="E513:U513" si="61">E514</f>
        <v>204131</v>
      </c>
      <c r="F513" s="177">
        <f t="shared" si="61"/>
        <v>0</v>
      </c>
      <c r="G513" s="177">
        <f t="shared" si="61"/>
        <v>0</v>
      </c>
      <c r="H513" s="177">
        <f t="shared" si="61"/>
        <v>0</v>
      </c>
      <c r="I513" s="177">
        <f t="shared" si="61"/>
        <v>0</v>
      </c>
      <c r="J513" s="177">
        <f t="shared" si="61"/>
        <v>0</v>
      </c>
      <c r="K513" s="177">
        <f t="shared" si="61"/>
        <v>0</v>
      </c>
      <c r="L513" s="177">
        <f t="shared" si="61"/>
        <v>0</v>
      </c>
      <c r="M513" s="177">
        <f t="shared" si="61"/>
        <v>0</v>
      </c>
      <c r="N513" s="177">
        <f t="shared" si="61"/>
        <v>0</v>
      </c>
      <c r="O513" s="177">
        <f t="shared" si="61"/>
        <v>0</v>
      </c>
      <c r="P513" s="177">
        <f t="shared" si="61"/>
        <v>0</v>
      </c>
      <c r="Q513" s="177">
        <f t="shared" si="61"/>
        <v>0</v>
      </c>
      <c r="R513" s="177">
        <f t="shared" si="61"/>
        <v>0</v>
      </c>
      <c r="S513" s="177">
        <f t="shared" si="61"/>
        <v>0</v>
      </c>
      <c r="T513" s="177">
        <f t="shared" si="61"/>
        <v>0</v>
      </c>
      <c r="U513" s="177">
        <f t="shared" si="61"/>
        <v>0</v>
      </c>
      <c r="V513" s="241"/>
      <c r="W513" s="241"/>
      <c r="X513" s="241"/>
    </row>
    <row r="514" spans="1:31" ht="30">
      <c r="A514" s="162"/>
      <c r="B514" s="180" t="s">
        <v>658</v>
      </c>
      <c r="C514" s="177"/>
      <c r="D514" s="177">
        <f>D515</f>
        <v>204131</v>
      </c>
      <c r="E514" s="177">
        <f t="shared" ref="E514:V514" si="62">E515</f>
        <v>204131</v>
      </c>
      <c r="F514" s="177">
        <f t="shared" si="62"/>
        <v>0</v>
      </c>
      <c r="G514" s="177">
        <f t="shared" si="62"/>
        <v>0</v>
      </c>
      <c r="H514" s="177">
        <f t="shared" si="62"/>
        <v>0</v>
      </c>
      <c r="I514" s="177">
        <f t="shared" si="62"/>
        <v>0</v>
      </c>
      <c r="J514" s="177">
        <f t="shared" si="62"/>
        <v>0</v>
      </c>
      <c r="K514" s="177">
        <f t="shared" si="62"/>
        <v>0</v>
      </c>
      <c r="L514" s="177">
        <f t="shared" si="62"/>
        <v>0</v>
      </c>
      <c r="M514" s="177">
        <f t="shared" si="62"/>
        <v>0</v>
      </c>
      <c r="N514" s="177">
        <f t="shared" si="62"/>
        <v>0</v>
      </c>
      <c r="O514" s="177">
        <f t="shared" si="62"/>
        <v>0</v>
      </c>
      <c r="P514" s="177">
        <f t="shared" si="62"/>
        <v>0</v>
      </c>
      <c r="Q514" s="177">
        <f t="shared" si="62"/>
        <v>0</v>
      </c>
      <c r="R514" s="177">
        <f t="shared" si="62"/>
        <v>0</v>
      </c>
      <c r="S514" s="177">
        <f t="shared" si="62"/>
        <v>0</v>
      </c>
      <c r="T514" s="177">
        <f t="shared" si="62"/>
        <v>0</v>
      </c>
      <c r="U514" s="177">
        <f t="shared" si="62"/>
        <v>0</v>
      </c>
      <c r="V514" s="177">
        <f t="shared" si="62"/>
        <v>0</v>
      </c>
      <c r="W514" s="241"/>
      <c r="X514" s="241"/>
    </row>
    <row r="515" spans="1:31">
      <c r="A515" s="162"/>
      <c r="B515" s="180" t="s">
        <v>651</v>
      </c>
      <c r="C515" s="177">
        <v>204131</v>
      </c>
      <c r="D515" s="177">
        <f>E515+F515+G515+H515+I515+J515+K515</f>
        <v>204131</v>
      </c>
      <c r="E515" s="177">
        <v>204131</v>
      </c>
      <c r="F515" s="177">
        <v>0</v>
      </c>
      <c r="G515" s="177">
        <v>0</v>
      </c>
      <c r="H515" s="177">
        <v>0</v>
      </c>
      <c r="I515" s="177">
        <v>0</v>
      </c>
      <c r="J515" s="177">
        <v>0</v>
      </c>
      <c r="K515" s="177">
        <v>0</v>
      </c>
      <c r="L515" s="178">
        <v>0</v>
      </c>
      <c r="M515" s="177">
        <v>0</v>
      </c>
      <c r="N515" s="177">
        <v>0</v>
      </c>
      <c r="O515" s="177">
        <v>0</v>
      </c>
      <c r="P515" s="179">
        <v>0</v>
      </c>
      <c r="Q515" s="177">
        <v>0</v>
      </c>
      <c r="R515" s="179">
        <v>0</v>
      </c>
      <c r="S515" s="177">
        <v>0</v>
      </c>
      <c r="T515" s="178">
        <v>0</v>
      </c>
      <c r="U515" s="248">
        <v>0</v>
      </c>
      <c r="V515" s="241"/>
      <c r="W515" s="241"/>
      <c r="X515" s="241"/>
      <c r="Y515" s="1">
        <f>E515/'часть 1'!I475</f>
        <v>465.62728102189783</v>
      </c>
    </row>
    <row r="516" spans="1:31">
      <c r="A516" s="166"/>
      <c r="B516" s="182" t="s">
        <v>62</v>
      </c>
      <c r="C516" s="177">
        <v>974618</v>
      </c>
      <c r="D516" s="177"/>
      <c r="E516" s="177"/>
      <c r="F516" s="177"/>
      <c r="G516" s="177"/>
      <c r="H516" s="177"/>
      <c r="I516" s="177"/>
      <c r="J516" s="177"/>
      <c r="K516" s="177">
        <v>0</v>
      </c>
      <c r="L516" s="178">
        <v>0</v>
      </c>
      <c r="M516" s="177">
        <v>0</v>
      </c>
      <c r="N516" s="177">
        <v>484</v>
      </c>
      <c r="O516" s="177">
        <v>974618</v>
      </c>
      <c r="P516" s="179">
        <v>0</v>
      </c>
      <c r="Q516" s="177">
        <v>0</v>
      </c>
      <c r="R516" s="179">
        <v>0</v>
      </c>
      <c r="S516" s="177">
        <v>0</v>
      </c>
      <c r="T516" s="178">
        <v>0</v>
      </c>
      <c r="U516" s="248">
        <v>0</v>
      </c>
      <c r="V516" s="241"/>
      <c r="W516" s="241"/>
      <c r="X516" s="241"/>
    </row>
    <row r="517" spans="1:31" ht="30">
      <c r="A517" s="166"/>
      <c r="B517" s="203" t="s">
        <v>117</v>
      </c>
      <c r="C517" s="177">
        <f>C518</f>
        <v>1214790</v>
      </c>
      <c r="D517" s="177">
        <f t="shared" ref="D517:V517" si="63">D518</f>
        <v>0</v>
      </c>
      <c r="E517" s="177">
        <f t="shared" si="63"/>
        <v>0</v>
      </c>
      <c r="F517" s="177">
        <f t="shared" si="63"/>
        <v>0</v>
      </c>
      <c r="G517" s="177">
        <f t="shared" si="63"/>
        <v>0</v>
      </c>
      <c r="H517" s="177">
        <f t="shared" si="63"/>
        <v>0</v>
      </c>
      <c r="I517" s="177">
        <f t="shared" si="63"/>
        <v>0</v>
      </c>
      <c r="J517" s="177">
        <f t="shared" si="63"/>
        <v>0</v>
      </c>
      <c r="K517" s="177">
        <f t="shared" si="63"/>
        <v>0</v>
      </c>
      <c r="L517" s="177">
        <f t="shared" si="63"/>
        <v>0</v>
      </c>
      <c r="M517" s="177">
        <f t="shared" si="63"/>
        <v>0</v>
      </c>
      <c r="N517" s="177">
        <f t="shared" si="63"/>
        <v>383</v>
      </c>
      <c r="O517" s="177">
        <f t="shared" si="63"/>
        <v>1214790</v>
      </c>
      <c r="P517" s="177">
        <f t="shared" si="63"/>
        <v>0</v>
      </c>
      <c r="Q517" s="177">
        <f t="shared" si="63"/>
        <v>0</v>
      </c>
      <c r="R517" s="177">
        <f t="shared" si="63"/>
        <v>0</v>
      </c>
      <c r="S517" s="177">
        <f t="shared" si="63"/>
        <v>0</v>
      </c>
      <c r="T517" s="177">
        <f t="shared" si="63"/>
        <v>0</v>
      </c>
      <c r="U517" s="177">
        <f t="shared" si="63"/>
        <v>0</v>
      </c>
      <c r="V517" s="177">
        <f t="shared" si="63"/>
        <v>0</v>
      </c>
      <c r="W517" s="177"/>
      <c r="X517" s="177"/>
      <c r="Y517" s="177"/>
      <c r="Z517" s="177"/>
      <c r="AA517" s="177"/>
      <c r="AB517" s="177"/>
      <c r="AC517" s="177"/>
      <c r="AD517" s="177"/>
      <c r="AE517" s="177"/>
    </row>
    <row r="518" spans="1:31">
      <c r="A518" s="374">
        <v>441</v>
      </c>
      <c r="B518" s="382" t="s">
        <v>486</v>
      </c>
      <c r="C518" s="383">
        <v>1214790</v>
      </c>
      <c r="D518" s="383">
        <v>0</v>
      </c>
      <c r="E518" s="383">
        <v>0</v>
      </c>
      <c r="F518" s="383">
        <v>0</v>
      </c>
      <c r="G518" s="383">
        <v>0</v>
      </c>
      <c r="H518" s="383">
        <v>0</v>
      </c>
      <c r="I518" s="383">
        <v>0</v>
      </c>
      <c r="J518" s="383">
        <v>0</v>
      </c>
      <c r="K518" s="383">
        <v>0</v>
      </c>
      <c r="L518" s="384">
        <v>0</v>
      </c>
      <c r="M518" s="383">
        <v>0</v>
      </c>
      <c r="N518" s="383">
        <v>383</v>
      </c>
      <c r="O518" s="383">
        <v>1214790</v>
      </c>
      <c r="P518" s="386">
        <v>0</v>
      </c>
      <c r="Q518" s="383">
        <v>0</v>
      </c>
      <c r="R518" s="386">
        <v>0</v>
      </c>
      <c r="S518" s="383">
        <v>0</v>
      </c>
      <c r="T518" s="384">
        <v>0</v>
      </c>
      <c r="U518" s="387">
        <v>0</v>
      </c>
      <c r="V518" s="241"/>
      <c r="W518" s="241">
        <f>O518/N518</f>
        <v>3171.7754569190602</v>
      </c>
      <c r="X518" s="241"/>
    </row>
    <row r="519" spans="1:31" ht="18.600000000000001" customHeight="1">
      <c r="A519" s="374"/>
      <c r="B519" s="405" t="s">
        <v>63</v>
      </c>
      <c r="C519" s="383">
        <f>C520</f>
        <v>3037109</v>
      </c>
      <c r="D519" s="383">
        <f t="shared" ref="D519:V519" si="64">D520</f>
        <v>0</v>
      </c>
      <c r="E519" s="383">
        <f t="shared" si="64"/>
        <v>0</v>
      </c>
      <c r="F519" s="383">
        <f t="shared" si="64"/>
        <v>0</v>
      </c>
      <c r="G519" s="383">
        <f t="shared" si="64"/>
        <v>0</v>
      </c>
      <c r="H519" s="383">
        <f t="shared" si="64"/>
        <v>0</v>
      </c>
      <c r="I519" s="383">
        <f t="shared" si="64"/>
        <v>0</v>
      </c>
      <c r="J519" s="383">
        <f t="shared" si="64"/>
        <v>0</v>
      </c>
      <c r="K519" s="383">
        <f t="shared" si="64"/>
        <v>0</v>
      </c>
      <c r="L519" s="383">
        <f t="shared" si="64"/>
        <v>0</v>
      </c>
      <c r="M519" s="383">
        <f t="shared" si="64"/>
        <v>0</v>
      </c>
      <c r="N519" s="383">
        <f t="shared" si="64"/>
        <v>1220.54</v>
      </c>
      <c r="O519" s="383">
        <f t="shared" si="64"/>
        <v>3037109</v>
      </c>
      <c r="P519" s="383">
        <f t="shared" si="64"/>
        <v>0</v>
      </c>
      <c r="Q519" s="383">
        <f t="shared" si="64"/>
        <v>0</v>
      </c>
      <c r="R519" s="383">
        <f t="shared" si="64"/>
        <v>0</v>
      </c>
      <c r="S519" s="383">
        <f t="shared" si="64"/>
        <v>0</v>
      </c>
      <c r="T519" s="383">
        <f t="shared" si="64"/>
        <v>0</v>
      </c>
      <c r="U519" s="383">
        <f t="shared" si="64"/>
        <v>0</v>
      </c>
      <c r="V519" s="177">
        <f t="shared" si="64"/>
        <v>0</v>
      </c>
      <c r="W519" s="241"/>
      <c r="X519" s="241"/>
    </row>
    <row r="520" spans="1:31" ht="30">
      <c r="A520" s="374"/>
      <c r="B520" s="382" t="s">
        <v>116</v>
      </c>
      <c r="C520" s="383">
        <f>C521+C522</f>
        <v>3037109</v>
      </c>
      <c r="D520" s="383">
        <f t="shared" ref="D520:U520" si="65">D521+D522</f>
        <v>0</v>
      </c>
      <c r="E520" s="383">
        <f t="shared" si="65"/>
        <v>0</v>
      </c>
      <c r="F520" s="383">
        <f t="shared" si="65"/>
        <v>0</v>
      </c>
      <c r="G520" s="383">
        <f t="shared" si="65"/>
        <v>0</v>
      </c>
      <c r="H520" s="383">
        <f t="shared" si="65"/>
        <v>0</v>
      </c>
      <c r="I520" s="383">
        <f t="shared" si="65"/>
        <v>0</v>
      </c>
      <c r="J520" s="383">
        <f t="shared" si="65"/>
        <v>0</v>
      </c>
      <c r="K520" s="383">
        <f t="shared" si="65"/>
        <v>0</v>
      </c>
      <c r="L520" s="383">
        <f t="shared" si="65"/>
        <v>0</v>
      </c>
      <c r="M520" s="383">
        <f t="shared" si="65"/>
        <v>0</v>
      </c>
      <c r="N520" s="383">
        <f t="shared" si="65"/>
        <v>1220.54</v>
      </c>
      <c r="O520" s="383">
        <f t="shared" si="65"/>
        <v>3037109</v>
      </c>
      <c r="P520" s="383">
        <f t="shared" si="65"/>
        <v>0</v>
      </c>
      <c r="Q520" s="383">
        <f t="shared" si="65"/>
        <v>0</v>
      </c>
      <c r="R520" s="383">
        <f t="shared" si="65"/>
        <v>0</v>
      </c>
      <c r="S520" s="383">
        <f t="shared" si="65"/>
        <v>0</v>
      </c>
      <c r="T520" s="383">
        <f t="shared" si="65"/>
        <v>0</v>
      </c>
      <c r="U520" s="383">
        <f t="shared" si="65"/>
        <v>0</v>
      </c>
      <c r="V520" s="241"/>
      <c r="W520" s="241"/>
      <c r="X520" s="241"/>
    </row>
    <row r="521" spans="1:31" ht="17.45" customHeight="1">
      <c r="A521" s="374">
        <v>442</v>
      </c>
      <c r="B521" s="382" t="s">
        <v>675</v>
      </c>
      <c r="C521" s="383">
        <f>'часть 1'!L481</f>
        <v>2012761</v>
      </c>
      <c r="D521" s="383">
        <v>0</v>
      </c>
      <c r="E521" s="383">
        <v>0</v>
      </c>
      <c r="F521" s="383">
        <v>0</v>
      </c>
      <c r="G521" s="383">
        <v>0</v>
      </c>
      <c r="H521" s="383">
        <v>0</v>
      </c>
      <c r="I521" s="383">
        <v>0</v>
      </c>
      <c r="J521" s="383">
        <v>0</v>
      </c>
      <c r="K521" s="383">
        <v>0</v>
      </c>
      <c r="L521" s="384">
        <v>0</v>
      </c>
      <c r="M521" s="383">
        <v>0</v>
      </c>
      <c r="N521" s="383">
        <v>811.74</v>
      </c>
      <c r="O521" s="383">
        <v>2012761</v>
      </c>
      <c r="P521" s="386">
        <v>0</v>
      </c>
      <c r="Q521" s="383">
        <v>0</v>
      </c>
      <c r="R521" s="386">
        <v>0</v>
      </c>
      <c r="S521" s="383">
        <v>0</v>
      </c>
      <c r="T521" s="384">
        <v>0</v>
      </c>
      <c r="U521" s="387">
        <v>0</v>
      </c>
      <c r="V521" s="241"/>
      <c r="W521" s="241">
        <f>O521/N521</f>
        <v>2479.5636533865522</v>
      </c>
      <c r="X521" s="241"/>
    </row>
    <row r="522" spans="1:31" ht="17.45" customHeight="1">
      <c r="A522" s="374"/>
      <c r="B522" s="382" t="s">
        <v>676</v>
      </c>
      <c r="C522" s="383">
        <f>'часть 1'!L482</f>
        <v>1024348</v>
      </c>
      <c r="D522" s="383">
        <v>0</v>
      </c>
      <c r="E522" s="383">
        <v>0</v>
      </c>
      <c r="F522" s="383">
        <v>0</v>
      </c>
      <c r="G522" s="383">
        <v>0</v>
      </c>
      <c r="H522" s="383">
        <v>0</v>
      </c>
      <c r="I522" s="383">
        <v>0</v>
      </c>
      <c r="J522" s="383">
        <v>0</v>
      </c>
      <c r="K522" s="383">
        <v>0</v>
      </c>
      <c r="L522" s="384">
        <v>0</v>
      </c>
      <c r="M522" s="383">
        <v>0</v>
      </c>
      <c r="N522" s="383">
        <v>408.8</v>
      </c>
      <c r="O522" s="383">
        <v>1024348</v>
      </c>
      <c r="P522" s="386">
        <v>0</v>
      </c>
      <c r="Q522" s="383">
        <v>0</v>
      </c>
      <c r="R522" s="386">
        <v>0</v>
      </c>
      <c r="S522" s="383">
        <v>0</v>
      </c>
      <c r="T522" s="384">
        <v>0</v>
      </c>
      <c r="U522" s="387">
        <v>0</v>
      </c>
      <c r="V522" s="241"/>
      <c r="W522" s="241">
        <f>O522/N522</f>
        <v>2505.7436399217222</v>
      </c>
      <c r="X522" s="241"/>
    </row>
    <row r="523" spans="1:31" ht="18.600000000000001" customHeight="1">
      <c r="A523" s="374"/>
      <c r="B523" s="382" t="s">
        <v>663</v>
      </c>
      <c r="C523" s="383">
        <f>C524</f>
        <v>1402598</v>
      </c>
      <c r="D523" s="383">
        <f t="shared" ref="D523:V524" si="66">D524</f>
        <v>0</v>
      </c>
      <c r="E523" s="383">
        <f t="shared" si="66"/>
        <v>0</v>
      </c>
      <c r="F523" s="383">
        <f t="shared" si="66"/>
        <v>0</v>
      </c>
      <c r="G523" s="383">
        <f t="shared" si="66"/>
        <v>0</v>
      </c>
      <c r="H523" s="383">
        <f t="shared" si="66"/>
        <v>0</v>
      </c>
      <c r="I523" s="383">
        <f t="shared" si="66"/>
        <v>0</v>
      </c>
      <c r="J523" s="383">
        <f t="shared" si="66"/>
        <v>0</v>
      </c>
      <c r="K523" s="383">
        <f t="shared" si="66"/>
        <v>0</v>
      </c>
      <c r="L523" s="383">
        <f t="shared" si="66"/>
        <v>0</v>
      </c>
      <c r="M523" s="383">
        <f t="shared" si="66"/>
        <v>0</v>
      </c>
      <c r="N523" s="383">
        <f t="shared" si="66"/>
        <v>443.4</v>
      </c>
      <c r="O523" s="383">
        <f t="shared" si="66"/>
        <v>1402598</v>
      </c>
      <c r="P523" s="383">
        <f t="shared" si="66"/>
        <v>0</v>
      </c>
      <c r="Q523" s="383">
        <f t="shared" si="66"/>
        <v>0</v>
      </c>
      <c r="R523" s="383">
        <f t="shared" si="66"/>
        <v>0</v>
      </c>
      <c r="S523" s="383">
        <f t="shared" si="66"/>
        <v>0</v>
      </c>
      <c r="T523" s="383">
        <f t="shared" si="66"/>
        <v>0</v>
      </c>
      <c r="U523" s="383">
        <f t="shared" si="66"/>
        <v>0</v>
      </c>
      <c r="V523" s="177">
        <f t="shared" si="66"/>
        <v>0</v>
      </c>
      <c r="W523" s="241"/>
      <c r="X523" s="241"/>
    </row>
    <row r="524" spans="1:31" ht="30">
      <c r="A524" s="374"/>
      <c r="B524" s="382" t="s">
        <v>667</v>
      </c>
      <c r="C524" s="383">
        <f>C525</f>
        <v>1402598</v>
      </c>
      <c r="D524" s="383">
        <f t="shared" si="66"/>
        <v>0</v>
      </c>
      <c r="E524" s="383">
        <f t="shared" si="66"/>
        <v>0</v>
      </c>
      <c r="F524" s="383">
        <f t="shared" si="66"/>
        <v>0</v>
      </c>
      <c r="G524" s="383">
        <f t="shared" si="66"/>
        <v>0</v>
      </c>
      <c r="H524" s="383">
        <f t="shared" si="66"/>
        <v>0</v>
      </c>
      <c r="I524" s="383">
        <f t="shared" si="66"/>
        <v>0</v>
      </c>
      <c r="J524" s="383">
        <f t="shared" si="66"/>
        <v>0</v>
      </c>
      <c r="K524" s="383">
        <f t="shared" si="66"/>
        <v>0</v>
      </c>
      <c r="L524" s="383">
        <f t="shared" si="66"/>
        <v>0</v>
      </c>
      <c r="M524" s="383">
        <f t="shared" si="66"/>
        <v>0</v>
      </c>
      <c r="N524" s="383">
        <f t="shared" si="66"/>
        <v>443.4</v>
      </c>
      <c r="O524" s="383">
        <f t="shared" si="66"/>
        <v>1402598</v>
      </c>
      <c r="P524" s="383">
        <f t="shared" si="66"/>
        <v>0</v>
      </c>
      <c r="Q524" s="383">
        <f t="shared" si="66"/>
        <v>0</v>
      </c>
      <c r="R524" s="383">
        <f t="shared" si="66"/>
        <v>0</v>
      </c>
      <c r="S524" s="383">
        <f t="shared" si="66"/>
        <v>0</v>
      </c>
      <c r="T524" s="383">
        <f t="shared" si="66"/>
        <v>0</v>
      </c>
      <c r="U524" s="383">
        <f t="shared" si="66"/>
        <v>0</v>
      </c>
      <c r="V524" s="383">
        <f t="shared" si="66"/>
        <v>0</v>
      </c>
      <c r="W524" s="241"/>
      <c r="X524" s="241"/>
    </row>
    <row r="525" spans="1:31" ht="17.45" customHeight="1">
      <c r="A525" s="374">
        <v>443</v>
      </c>
      <c r="B525" s="382" t="s">
        <v>835</v>
      </c>
      <c r="C525" s="383">
        <f>'часть 1'!L484</f>
        <v>1402598</v>
      </c>
      <c r="D525" s="383">
        <v>0</v>
      </c>
      <c r="E525" s="383">
        <v>0</v>
      </c>
      <c r="F525" s="383">
        <v>0</v>
      </c>
      <c r="G525" s="383">
        <v>0</v>
      </c>
      <c r="H525" s="383">
        <v>0</v>
      </c>
      <c r="I525" s="383">
        <v>0</v>
      </c>
      <c r="J525" s="383">
        <v>0</v>
      </c>
      <c r="K525" s="383">
        <v>0</v>
      </c>
      <c r="L525" s="384">
        <v>0</v>
      </c>
      <c r="M525" s="383">
        <v>0</v>
      </c>
      <c r="N525" s="376">
        <v>443.4</v>
      </c>
      <c r="O525" s="383">
        <v>1402598</v>
      </c>
      <c r="P525" s="386">
        <v>0</v>
      </c>
      <c r="Q525" s="383">
        <v>0</v>
      </c>
      <c r="R525" s="386">
        <v>0</v>
      </c>
      <c r="S525" s="383">
        <v>0</v>
      </c>
      <c r="T525" s="384">
        <v>0</v>
      </c>
      <c r="U525" s="387">
        <v>0</v>
      </c>
      <c r="V525" s="241"/>
      <c r="W525" s="241">
        <f>O525/N525</f>
        <v>3163.2792061344162</v>
      </c>
      <c r="X525" s="241"/>
    </row>
    <row r="526" spans="1:31">
      <c r="A526" s="166"/>
      <c r="B526" s="182" t="s">
        <v>64</v>
      </c>
      <c r="C526" s="177">
        <v>6928539</v>
      </c>
      <c r="D526" s="177"/>
      <c r="E526" s="177"/>
      <c r="F526" s="177"/>
      <c r="G526" s="177"/>
      <c r="H526" s="177"/>
      <c r="I526" s="177"/>
      <c r="J526" s="177"/>
      <c r="K526" s="177">
        <v>0</v>
      </c>
      <c r="L526" s="178">
        <v>0</v>
      </c>
      <c r="M526" s="177">
        <v>0</v>
      </c>
      <c r="N526" s="177">
        <v>3103</v>
      </c>
      <c r="O526" s="177">
        <v>6183896</v>
      </c>
      <c r="P526" s="179">
        <v>0</v>
      </c>
      <c r="Q526" s="177">
        <v>0</v>
      </c>
      <c r="R526" s="177">
        <v>512.4</v>
      </c>
      <c r="S526" s="177">
        <v>744643</v>
      </c>
      <c r="T526" s="178">
        <v>0</v>
      </c>
      <c r="U526" s="248">
        <v>0</v>
      </c>
      <c r="V526" s="241"/>
      <c r="W526" s="241"/>
      <c r="X526" s="241"/>
    </row>
    <row r="527" spans="1:31" ht="30">
      <c r="A527" s="374"/>
      <c r="B527" s="382" t="s">
        <v>115</v>
      </c>
      <c r="C527" s="383">
        <f>C528+C529+C530+C531</f>
        <v>5743338</v>
      </c>
      <c r="D527" s="383">
        <f t="shared" ref="D527:U527" si="67">D528+D529+D530+D531</f>
        <v>287932</v>
      </c>
      <c r="E527" s="383">
        <f t="shared" si="67"/>
        <v>287932</v>
      </c>
      <c r="F527" s="383">
        <f t="shared" si="67"/>
        <v>0</v>
      </c>
      <c r="G527" s="383">
        <f t="shared" si="67"/>
        <v>0</v>
      </c>
      <c r="H527" s="383">
        <f t="shared" si="67"/>
        <v>0</v>
      </c>
      <c r="I527" s="383">
        <f t="shared" si="67"/>
        <v>0</v>
      </c>
      <c r="J527" s="383">
        <f t="shared" si="67"/>
        <v>0</v>
      </c>
      <c r="K527" s="383">
        <f t="shared" si="67"/>
        <v>0</v>
      </c>
      <c r="L527" s="383">
        <f t="shared" si="67"/>
        <v>0</v>
      </c>
      <c r="M527" s="383">
        <f t="shared" si="67"/>
        <v>0</v>
      </c>
      <c r="N527" s="383">
        <f t="shared" si="67"/>
        <v>1384</v>
      </c>
      <c r="O527" s="383">
        <f t="shared" si="67"/>
        <v>4388060</v>
      </c>
      <c r="P527" s="383">
        <f t="shared" si="67"/>
        <v>0</v>
      </c>
      <c r="Q527" s="383">
        <f t="shared" si="67"/>
        <v>0</v>
      </c>
      <c r="R527" s="383">
        <f t="shared" si="67"/>
        <v>703</v>
      </c>
      <c r="S527" s="383">
        <f t="shared" si="67"/>
        <v>1067346</v>
      </c>
      <c r="T527" s="383">
        <f t="shared" si="67"/>
        <v>0</v>
      </c>
      <c r="U527" s="383">
        <f t="shared" si="67"/>
        <v>0</v>
      </c>
      <c r="V527" s="241"/>
      <c r="W527" s="241"/>
      <c r="X527" s="241"/>
      <c r="Y527" s="20"/>
      <c r="Z527" s="20"/>
    </row>
    <row r="528" spans="1:31">
      <c r="A528" s="166">
        <v>444</v>
      </c>
      <c r="B528" s="180" t="s">
        <v>608</v>
      </c>
      <c r="C528" s="177">
        <f>E528+O528+S528</f>
        <v>2311572</v>
      </c>
      <c r="D528" s="177">
        <f>E528+F528+G528+H528+I528+J528+K528</f>
        <v>203804</v>
      </c>
      <c r="E528" s="177">
        <v>203804</v>
      </c>
      <c r="F528" s="177">
        <v>0</v>
      </c>
      <c r="G528" s="177">
        <v>0</v>
      </c>
      <c r="H528" s="177">
        <v>0</v>
      </c>
      <c r="I528" s="177">
        <v>0</v>
      </c>
      <c r="J528" s="177">
        <v>0</v>
      </c>
      <c r="K528" s="177">
        <v>0</v>
      </c>
      <c r="L528" s="178">
        <v>0</v>
      </c>
      <c r="M528" s="177">
        <v>0</v>
      </c>
      <c r="N528" s="177">
        <v>413</v>
      </c>
      <c r="O528" s="177">
        <v>1306584</v>
      </c>
      <c r="P528" s="179">
        <v>0</v>
      </c>
      <c r="Q528" s="177">
        <v>0</v>
      </c>
      <c r="R528" s="179">
        <v>530</v>
      </c>
      <c r="S528" s="177">
        <v>801184</v>
      </c>
      <c r="T528" s="178">
        <v>0</v>
      </c>
      <c r="U528" s="248">
        <v>0</v>
      </c>
      <c r="V528" s="241"/>
      <c r="W528" s="241">
        <f>O528/N528</f>
        <v>3163.641646489104</v>
      </c>
      <c r="X528" s="774">
        <f>S528/R528</f>
        <v>1511.6679245283019</v>
      </c>
      <c r="Y528" s="1">
        <f>E528/'часть 1'!I487</f>
        <v>700.35738831615117</v>
      </c>
    </row>
    <row r="529" spans="1:35" ht="30">
      <c r="A529" s="166">
        <v>445</v>
      </c>
      <c r="B529" s="180" t="s">
        <v>609</v>
      </c>
      <c r="C529" s="177">
        <f>E529+O529+S529</f>
        <v>968625</v>
      </c>
      <c r="D529" s="177">
        <f>E529+F529+G529+H529+I529+J529+K529</f>
        <v>84128</v>
      </c>
      <c r="E529" s="177">
        <v>84128</v>
      </c>
      <c r="F529" s="177">
        <v>0</v>
      </c>
      <c r="G529" s="177">
        <v>0</v>
      </c>
      <c r="H529" s="177">
        <v>0</v>
      </c>
      <c r="I529" s="177">
        <v>0</v>
      </c>
      <c r="J529" s="177">
        <v>0</v>
      </c>
      <c r="K529" s="177">
        <v>0</v>
      </c>
      <c r="L529" s="178">
        <v>0</v>
      </c>
      <c r="M529" s="177">
        <v>0</v>
      </c>
      <c r="N529" s="177">
        <v>194</v>
      </c>
      <c r="O529" s="177">
        <v>618335</v>
      </c>
      <c r="P529" s="179">
        <v>0</v>
      </c>
      <c r="Q529" s="177">
        <v>0</v>
      </c>
      <c r="R529" s="179">
        <v>173</v>
      </c>
      <c r="S529" s="177">
        <v>266162</v>
      </c>
      <c r="T529" s="178">
        <v>0</v>
      </c>
      <c r="U529" s="248">
        <v>0</v>
      </c>
      <c r="V529" s="241"/>
      <c r="W529" s="241">
        <f>O529/N529</f>
        <v>3187.2938144329896</v>
      </c>
      <c r="X529" s="241">
        <f>S529/R529</f>
        <v>1538.5086705202311</v>
      </c>
      <c r="Y529" s="1">
        <f>E529/'часть 1'!I488</f>
        <v>701.06666666666672</v>
      </c>
    </row>
    <row r="530" spans="1:35">
      <c r="A530" s="166">
        <v>446</v>
      </c>
      <c r="B530" s="180" t="s">
        <v>610</v>
      </c>
      <c r="C530" s="177">
        <f>E530+O530+S530</f>
        <v>1139852</v>
      </c>
      <c r="D530" s="177">
        <f>E530+F530+G530+H530+I530+J530+K530</f>
        <v>0</v>
      </c>
      <c r="E530" s="177">
        <v>0</v>
      </c>
      <c r="F530" s="177">
        <v>0</v>
      </c>
      <c r="G530" s="177">
        <v>0</v>
      </c>
      <c r="H530" s="177">
        <v>0</v>
      </c>
      <c r="I530" s="177">
        <v>0</v>
      </c>
      <c r="J530" s="177">
        <v>0</v>
      </c>
      <c r="K530" s="177">
        <v>0</v>
      </c>
      <c r="L530" s="178">
        <v>0</v>
      </c>
      <c r="M530" s="177">
        <v>0</v>
      </c>
      <c r="N530" s="177">
        <v>359</v>
      </c>
      <c r="O530" s="177">
        <v>1139852</v>
      </c>
      <c r="P530" s="179">
        <v>0</v>
      </c>
      <c r="Q530" s="177">
        <v>0</v>
      </c>
      <c r="R530" s="177">
        <v>0</v>
      </c>
      <c r="S530" s="177">
        <v>0</v>
      </c>
      <c r="T530" s="178">
        <v>0</v>
      </c>
      <c r="U530" s="248">
        <v>0</v>
      </c>
      <c r="V530" s="241"/>
      <c r="W530" s="241">
        <f>O530/N530</f>
        <v>3175.075208913649</v>
      </c>
      <c r="X530" s="241"/>
      <c r="Y530" s="20"/>
      <c r="Z530" s="20"/>
    </row>
    <row r="531" spans="1:35">
      <c r="A531" s="166">
        <v>447</v>
      </c>
      <c r="B531" s="180" t="s">
        <v>611</v>
      </c>
      <c r="C531" s="177">
        <f>E531+O531+S531</f>
        <v>1323289</v>
      </c>
      <c r="D531" s="177">
        <f>E531+F531+G531+H531+I531+J531+K531</f>
        <v>0</v>
      </c>
      <c r="E531" s="177">
        <v>0</v>
      </c>
      <c r="F531" s="177">
        <v>0</v>
      </c>
      <c r="G531" s="177">
        <v>0</v>
      </c>
      <c r="H531" s="177">
        <v>0</v>
      </c>
      <c r="I531" s="177">
        <v>0</v>
      </c>
      <c r="J531" s="177">
        <v>0</v>
      </c>
      <c r="K531" s="177">
        <v>0</v>
      </c>
      <c r="L531" s="178">
        <v>0</v>
      </c>
      <c r="M531" s="177">
        <v>0</v>
      </c>
      <c r="N531" s="177">
        <v>418</v>
      </c>
      <c r="O531" s="177">
        <v>1323289</v>
      </c>
      <c r="P531" s="179">
        <v>0</v>
      </c>
      <c r="Q531" s="177">
        <v>0</v>
      </c>
      <c r="R531" s="179">
        <v>0</v>
      </c>
      <c r="S531" s="177">
        <v>0</v>
      </c>
      <c r="T531" s="178">
        <v>0</v>
      </c>
      <c r="U531" s="248">
        <v>0</v>
      </c>
      <c r="V531" s="241"/>
      <c r="W531" s="241">
        <f>O531/N531</f>
        <v>3165.7631578947367</v>
      </c>
      <c r="X531" s="241"/>
    </row>
    <row r="532" spans="1:35">
      <c r="A532" s="166"/>
      <c r="B532" s="182" t="s">
        <v>65</v>
      </c>
      <c r="C532" s="177">
        <f>C533+C535</f>
        <v>2988909</v>
      </c>
      <c r="D532" s="177">
        <f t="shared" ref="D532:U532" si="68">D533+D535</f>
        <v>0</v>
      </c>
      <c r="E532" s="177">
        <f t="shared" si="68"/>
        <v>0</v>
      </c>
      <c r="F532" s="177">
        <f t="shared" si="68"/>
        <v>0</v>
      </c>
      <c r="G532" s="177">
        <f t="shared" si="68"/>
        <v>0</v>
      </c>
      <c r="H532" s="177">
        <f t="shared" si="68"/>
        <v>0</v>
      </c>
      <c r="I532" s="177">
        <f t="shared" si="68"/>
        <v>0</v>
      </c>
      <c r="J532" s="177">
        <f t="shared" si="68"/>
        <v>0</v>
      </c>
      <c r="K532" s="177">
        <f t="shared" si="68"/>
        <v>0</v>
      </c>
      <c r="L532" s="177">
        <f t="shared" si="68"/>
        <v>0</v>
      </c>
      <c r="M532" s="177">
        <f t="shared" si="68"/>
        <v>0</v>
      </c>
      <c r="N532" s="177">
        <f t="shared" si="68"/>
        <v>946.68000000000006</v>
      </c>
      <c r="O532" s="177">
        <f t="shared" si="68"/>
        <v>2988909</v>
      </c>
      <c r="P532" s="177">
        <f t="shared" si="68"/>
        <v>0</v>
      </c>
      <c r="Q532" s="177">
        <f t="shared" si="68"/>
        <v>0</v>
      </c>
      <c r="R532" s="177">
        <f t="shared" si="68"/>
        <v>0</v>
      </c>
      <c r="S532" s="177">
        <f t="shared" si="68"/>
        <v>0</v>
      </c>
      <c r="T532" s="177">
        <f t="shared" si="68"/>
        <v>0</v>
      </c>
      <c r="U532" s="177">
        <f t="shared" si="68"/>
        <v>0</v>
      </c>
      <c r="V532" s="241"/>
      <c r="W532" s="241"/>
      <c r="X532" s="241"/>
    </row>
    <row r="533" spans="1:35" ht="30">
      <c r="A533" s="166"/>
      <c r="B533" s="180" t="s">
        <v>629</v>
      </c>
      <c r="C533" s="177">
        <f>C534</f>
        <v>1537679</v>
      </c>
      <c r="D533" s="177">
        <f t="shared" ref="D533:U533" si="69">D534</f>
        <v>0</v>
      </c>
      <c r="E533" s="177">
        <f t="shared" si="69"/>
        <v>0</v>
      </c>
      <c r="F533" s="177">
        <f t="shared" si="69"/>
        <v>0</v>
      </c>
      <c r="G533" s="177">
        <f t="shared" si="69"/>
        <v>0</v>
      </c>
      <c r="H533" s="177">
        <f t="shared" si="69"/>
        <v>0</v>
      </c>
      <c r="I533" s="177">
        <f t="shared" si="69"/>
        <v>0</v>
      </c>
      <c r="J533" s="177">
        <f t="shared" si="69"/>
        <v>0</v>
      </c>
      <c r="K533" s="177">
        <f t="shared" si="69"/>
        <v>0</v>
      </c>
      <c r="L533" s="177">
        <f t="shared" si="69"/>
        <v>0</v>
      </c>
      <c r="M533" s="177">
        <f t="shared" si="69"/>
        <v>0</v>
      </c>
      <c r="N533" s="177">
        <f t="shared" si="69"/>
        <v>487.68</v>
      </c>
      <c r="O533" s="177">
        <f t="shared" si="69"/>
        <v>1537679</v>
      </c>
      <c r="P533" s="177">
        <f t="shared" si="69"/>
        <v>0</v>
      </c>
      <c r="Q533" s="177">
        <f t="shared" si="69"/>
        <v>0</v>
      </c>
      <c r="R533" s="177">
        <f t="shared" si="69"/>
        <v>0</v>
      </c>
      <c r="S533" s="177">
        <f t="shared" si="69"/>
        <v>0</v>
      </c>
      <c r="T533" s="177">
        <f t="shared" si="69"/>
        <v>0</v>
      </c>
      <c r="U533" s="177">
        <f t="shared" si="69"/>
        <v>0</v>
      </c>
      <c r="V533" s="241"/>
      <c r="W533" s="241"/>
      <c r="X533" s="241"/>
    </row>
    <row r="534" spans="1:35">
      <c r="A534" s="166">
        <v>448</v>
      </c>
      <c r="B534" s="180" t="s">
        <v>630</v>
      </c>
      <c r="C534" s="177">
        <v>1537679</v>
      </c>
      <c r="D534" s="177">
        <v>0</v>
      </c>
      <c r="E534" s="177">
        <v>0</v>
      </c>
      <c r="F534" s="177">
        <v>0</v>
      </c>
      <c r="G534" s="177">
        <v>0</v>
      </c>
      <c r="H534" s="177">
        <v>0</v>
      </c>
      <c r="I534" s="177">
        <v>0</v>
      </c>
      <c r="J534" s="177">
        <v>0</v>
      </c>
      <c r="K534" s="177">
        <v>0</v>
      </c>
      <c r="L534" s="178">
        <v>0</v>
      </c>
      <c r="M534" s="177">
        <v>0</v>
      </c>
      <c r="N534" s="177">
        <v>487.68</v>
      </c>
      <c r="O534" s="177">
        <v>1537679</v>
      </c>
      <c r="P534" s="179">
        <v>0</v>
      </c>
      <c r="Q534" s="177">
        <v>0</v>
      </c>
      <c r="R534" s="179">
        <v>0</v>
      </c>
      <c r="S534" s="177">
        <v>0</v>
      </c>
      <c r="T534" s="178">
        <v>0</v>
      </c>
      <c r="U534" s="248">
        <v>0</v>
      </c>
      <c r="V534" s="241"/>
      <c r="W534" s="241">
        <f>O534/N534</f>
        <v>3153.0491305774276</v>
      </c>
      <c r="X534" s="241"/>
    </row>
    <row r="535" spans="1:35" ht="30">
      <c r="A535" s="166"/>
      <c r="B535" s="180" t="s">
        <v>631</v>
      </c>
      <c r="C535" s="177">
        <f>C536</f>
        <v>1451230</v>
      </c>
      <c r="D535" s="177">
        <f t="shared" ref="D535:V535" si="70">D536</f>
        <v>0</v>
      </c>
      <c r="E535" s="177">
        <f t="shared" si="70"/>
        <v>0</v>
      </c>
      <c r="F535" s="177">
        <f t="shared" si="70"/>
        <v>0</v>
      </c>
      <c r="G535" s="177">
        <f t="shared" si="70"/>
        <v>0</v>
      </c>
      <c r="H535" s="177">
        <f t="shared" si="70"/>
        <v>0</v>
      </c>
      <c r="I535" s="177">
        <f t="shared" si="70"/>
        <v>0</v>
      </c>
      <c r="J535" s="177">
        <f t="shared" si="70"/>
        <v>0</v>
      </c>
      <c r="K535" s="177">
        <f t="shared" si="70"/>
        <v>0</v>
      </c>
      <c r="L535" s="177">
        <f t="shared" si="70"/>
        <v>0</v>
      </c>
      <c r="M535" s="177">
        <f t="shared" si="70"/>
        <v>0</v>
      </c>
      <c r="N535" s="177">
        <f t="shared" si="70"/>
        <v>459</v>
      </c>
      <c r="O535" s="177">
        <f t="shared" si="70"/>
        <v>1451230</v>
      </c>
      <c r="P535" s="177">
        <f t="shared" si="70"/>
        <v>0</v>
      </c>
      <c r="Q535" s="177">
        <f t="shared" si="70"/>
        <v>0</v>
      </c>
      <c r="R535" s="177">
        <f t="shared" si="70"/>
        <v>0</v>
      </c>
      <c r="S535" s="177">
        <f t="shared" si="70"/>
        <v>0</v>
      </c>
      <c r="T535" s="177">
        <f t="shared" si="70"/>
        <v>0</v>
      </c>
      <c r="U535" s="177">
        <f t="shared" si="70"/>
        <v>0</v>
      </c>
      <c r="V535" s="177">
        <f t="shared" si="70"/>
        <v>0</v>
      </c>
      <c r="W535" s="241"/>
      <c r="X535" s="241"/>
    </row>
    <row r="536" spans="1:35">
      <c r="A536" s="166">
        <v>449</v>
      </c>
      <c r="B536" s="180" t="s">
        <v>632</v>
      </c>
      <c r="C536" s="177">
        <v>1451230</v>
      </c>
      <c r="D536" s="177">
        <v>0</v>
      </c>
      <c r="E536" s="177">
        <v>0</v>
      </c>
      <c r="F536" s="177">
        <v>0</v>
      </c>
      <c r="G536" s="177">
        <v>0</v>
      </c>
      <c r="H536" s="177">
        <v>0</v>
      </c>
      <c r="I536" s="177">
        <v>0</v>
      </c>
      <c r="J536" s="177">
        <v>0</v>
      </c>
      <c r="K536" s="177">
        <v>0</v>
      </c>
      <c r="L536" s="178">
        <v>0</v>
      </c>
      <c r="M536" s="177">
        <v>0</v>
      </c>
      <c r="N536" s="177">
        <v>459</v>
      </c>
      <c r="O536" s="177">
        <v>1451230</v>
      </c>
      <c r="P536" s="179">
        <v>0</v>
      </c>
      <c r="Q536" s="177">
        <v>0</v>
      </c>
      <c r="R536" s="179">
        <v>0</v>
      </c>
      <c r="S536" s="177">
        <v>0</v>
      </c>
      <c r="T536" s="178">
        <v>0</v>
      </c>
      <c r="U536" s="248">
        <v>0</v>
      </c>
      <c r="V536" s="241"/>
      <c r="W536" s="241">
        <f>O536/N536</f>
        <v>3161.7211328976036</v>
      </c>
      <c r="X536" s="241"/>
    </row>
    <row r="537" spans="1:35">
      <c r="A537" s="166"/>
      <c r="B537" s="182" t="s">
        <v>66</v>
      </c>
      <c r="C537" s="177">
        <f>C540+C538</f>
        <v>4692143</v>
      </c>
      <c r="D537" s="177">
        <f t="shared" ref="D537:V537" si="71">D540+D538</f>
        <v>346938</v>
      </c>
      <c r="E537" s="177">
        <f t="shared" si="71"/>
        <v>0</v>
      </c>
      <c r="F537" s="177">
        <f t="shared" si="71"/>
        <v>0</v>
      </c>
      <c r="G537" s="177">
        <f t="shared" si="71"/>
        <v>0</v>
      </c>
      <c r="H537" s="177">
        <f t="shared" si="71"/>
        <v>0</v>
      </c>
      <c r="I537" s="177">
        <f t="shared" si="71"/>
        <v>0</v>
      </c>
      <c r="J537" s="177">
        <f t="shared" si="71"/>
        <v>346938</v>
      </c>
      <c r="K537" s="177">
        <f t="shared" si="71"/>
        <v>0</v>
      </c>
      <c r="L537" s="177">
        <f t="shared" si="71"/>
        <v>0</v>
      </c>
      <c r="M537" s="177">
        <f t="shared" si="71"/>
        <v>0</v>
      </c>
      <c r="N537" s="177">
        <f t="shared" si="71"/>
        <v>1369.3</v>
      </c>
      <c r="O537" s="177">
        <f t="shared" si="71"/>
        <v>4345205</v>
      </c>
      <c r="P537" s="177">
        <f t="shared" si="71"/>
        <v>0</v>
      </c>
      <c r="Q537" s="177">
        <f t="shared" si="71"/>
        <v>0</v>
      </c>
      <c r="R537" s="177">
        <f t="shared" si="71"/>
        <v>0</v>
      </c>
      <c r="S537" s="177">
        <f t="shared" si="71"/>
        <v>0</v>
      </c>
      <c r="T537" s="177">
        <f t="shared" si="71"/>
        <v>0</v>
      </c>
      <c r="U537" s="177">
        <f t="shared" si="71"/>
        <v>0</v>
      </c>
      <c r="V537" s="177">
        <f t="shared" si="71"/>
        <v>0</v>
      </c>
      <c r="W537" s="241"/>
      <c r="X537" s="241"/>
    </row>
    <row r="538" spans="1:35" ht="30">
      <c r="A538" s="374"/>
      <c r="B538" s="382" t="s">
        <v>641</v>
      </c>
      <c r="C538" s="383">
        <f>C539</f>
        <v>346938</v>
      </c>
      <c r="D538" s="383">
        <f t="shared" ref="D538:V538" si="72">D539</f>
        <v>346938</v>
      </c>
      <c r="E538" s="383">
        <f t="shared" si="72"/>
        <v>0</v>
      </c>
      <c r="F538" s="383">
        <f t="shared" si="72"/>
        <v>0</v>
      </c>
      <c r="G538" s="383">
        <f t="shared" si="72"/>
        <v>0</v>
      </c>
      <c r="H538" s="383">
        <f t="shared" si="72"/>
        <v>0</v>
      </c>
      <c r="I538" s="383">
        <f t="shared" si="72"/>
        <v>0</v>
      </c>
      <c r="J538" s="383">
        <f t="shared" si="72"/>
        <v>346938</v>
      </c>
      <c r="K538" s="383">
        <f t="shared" si="72"/>
        <v>0</v>
      </c>
      <c r="L538" s="383">
        <f t="shared" si="72"/>
        <v>0</v>
      </c>
      <c r="M538" s="383">
        <f t="shared" si="72"/>
        <v>0</v>
      </c>
      <c r="N538" s="383">
        <f t="shared" si="72"/>
        <v>0</v>
      </c>
      <c r="O538" s="383">
        <f t="shared" si="72"/>
        <v>0</v>
      </c>
      <c r="P538" s="383">
        <f t="shared" si="72"/>
        <v>0</v>
      </c>
      <c r="Q538" s="383">
        <f t="shared" si="72"/>
        <v>0</v>
      </c>
      <c r="R538" s="383">
        <f t="shared" si="72"/>
        <v>0</v>
      </c>
      <c r="S538" s="383">
        <f t="shared" si="72"/>
        <v>0</v>
      </c>
      <c r="T538" s="383">
        <f t="shared" si="72"/>
        <v>0</v>
      </c>
      <c r="U538" s="383">
        <f t="shared" si="72"/>
        <v>0</v>
      </c>
      <c r="V538" s="177">
        <f t="shared" si="72"/>
        <v>0</v>
      </c>
      <c r="W538" s="241"/>
      <c r="X538" s="241"/>
    </row>
    <row r="539" spans="1:35">
      <c r="A539" s="374"/>
      <c r="B539" s="405" t="s">
        <v>642</v>
      </c>
      <c r="C539" s="383">
        <v>346938</v>
      </c>
      <c r="D539" s="383">
        <f>E539+F539+G539+H539+I539+J539+K539</f>
        <v>346938</v>
      </c>
      <c r="E539" s="383">
        <v>0</v>
      </c>
      <c r="F539" s="383">
        <v>0</v>
      </c>
      <c r="G539" s="383">
        <v>0</v>
      </c>
      <c r="H539" s="383">
        <v>0</v>
      </c>
      <c r="I539" s="383">
        <v>0</v>
      </c>
      <c r="J539" s="383">
        <v>346938</v>
      </c>
      <c r="K539" s="383">
        <v>0</v>
      </c>
      <c r="L539" s="383">
        <v>0</v>
      </c>
      <c r="M539" s="383">
        <v>0</v>
      </c>
      <c r="N539" s="383">
        <v>0</v>
      </c>
      <c r="O539" s="383">
        <v>0</v>
      </c>
      <c r="P539" s="383">
        <v>0</v>
      </c>
      <c r="Q539" s="383">
        <v>0</v>
      </c>
      <c r="R539" s="383">
        <v>0</v>
      </c>
      <c r="S539" s="383">
        <v>0</v>
      </c>
      <c r="T539" s="383">
        <v>0</v>
      </c>
      <c r="U539" s="383">
        <v>0</v>
      </c>
      <c r="V539" s="241"/>
      <c r="W539" s="241"/>
      <c r="X539" s="241"/>
      <c r="AD539" s="1">
        <f>J539/'часть 1'!I498</f>
        <v>553.86015325670496</v>
      </c>
    </row>
    <row r="540" spans="1:35" ht="30">
      <c r="A540" s="166"/>
      <c r="B540" s="180" t="s">
        <v>114</v>
      </c>
      <c r="C540" s="177">
        <f>C541+C542+C543</f>
        <v>4345205</v>
      </c>
      <c r="D540" s="177">
        <f t="shared" ref="D540:U540" si="73">D541+D542+D543</f>
        <v>0</v>
      </c>
      <c r="E540" s="177">
        <f t="shared" si="73"/>
        <v>0</v>
      </c>
      <c r="F540" s="177">
        <f t="shared" si="73"/>
        <v>0</v>
      </c>
      <c r="G540" s="177">
        <f t="shared" si="73"/>
        <v>0</v>
      </c>
      <c r="H540" s="177">
        <f t="shared" si="73"/>
        <v>0</v>
      </c>
      <c r="I540" s="177">
        <f t="shared" si="73"/>
        <v>0</v>
      </c>
      <c r="J540" s="177">
        <f t="shared" si="73"/>
        <v>0</v>
      </c>
      <c r="K540" s="177">
        <f t="shared" si="73"/>
        <v>0</v>
      </c>
      <c r="L540" s="177">
        <f>L541+L542+L543</f>
        <v>0</v>
      </c>
      <c r="M540" s="177">
        <f t="shared" si="73"/>
        <v>0</v>
      </c>
      <c r="N540" s="177">
        <f t="shared" si="73"/>
        <v>1369.3</v>
      </c>
      <c r="O540" s="177">
        <f t="shared" si="73"/>
        <v>4345205</v>
      </c>
      <c r="P540" s="177">
        <f t="shared" si="73"/>
        <v>0</v>
      </c>
      <c r="Q540" s="177">
        <f t="shared" si="73"/>
        <v>0</v>
      </c>
      <c r="R540" s="177">
        <f t="shared" si="73"/>
        <v>0</v>
      </c>
      <c r="S540" s="177">
        <f t="shared" si="73"/>
        <v>0</v>
      </c>
      <c r="T540" s="177">
        <f t="shared" si="73"/>
        <v>0</v>
      </c>
      <c r="U540" s="177">
        <f t="shared" si="73"/>
        <v>0</v>
      </c>
      <c r="V540" s="241"/>
      <c r="W540" s="241"/>
      <c r="X540" s="241"/>
    </row>
    <row r="541" spans="1:35" ht="15.75">
      <c r="A541" s="374">
        <v>450</v>
      </c>
      <c r="B541" s="310" t="s">
        <v>497</v>
      </c>
      <c r="C541" s="383">
        <v>784601</v>
      </c>
      <c r="D541" s="383">
        <v>0</v>
      </c>
      <c r="E541" s="383">
        <v>0</v>
      </c>
      <c r="F541" s="383">
        <v>0</v>
      </c>
      <c r="G541" s="383">
        <v>0</v>
      </c>
      <c r="H541" s="383">
        <v>0</v>
      </c>
      <c r="I541" s="383">
        <v>0</v>
      </c>
      <c r="J541" s="383">
        <v>0</v>
      </c>
      <c r="K541" s="383">
        <v>0</v>
      </c>
      <c r="L541" s="384">
        <v>0</v>
      </c>
      <c r="M541" s="383">
        <v>0</v>
      </c>
      <c r="N541" s="383">
        <v>245</v>
      </c>
      <c r="O541" s="383">
        <v>784601</v>
      </c>
      <c r="P541" s="386">
        <v>0</v>
      </c>
      <c r="Q541" s="383">
        <v>0</v>
      </c>
      <c r="R541" s="386">
        <v>0</v>
      </c>
      <c r="S541" s="383">
        <v>0</v>
      </c>
      <c r="T541" s="384">
        <v>0</v>
      </c>
      <c r="U541" s="387">
        <v>0</v>
      </c>
      <c r="V541" s="241"/>
      <c r="W541" s="241">
        <f>O541/N541</f>
        <v>3202.4530612244898</v>
      </c>
      <c r="X541" s="241"/>
    </row>
    <row r="542" spans="1:35" ht="15.75">
      <c r="A542" s="374">
        <v>451</v>
      </c>
      <c r="B542" s="310" t="s">
        <v>498</v>
      </c>
      <c r="C542" s="383">
        <v>1513632</v>
      </c>
      <c r="D542" s="383">
        <v>0</v>
      </c>
      <c r="E542" s="383">
        <v>0</v>
      </c>
      <c r="F542" s="383">
        <v>0</v>
      </c>
      <c r="G542" s="383">
        <v>0</v>
      </c>
      <c r="H542" s="383">
        <v>0</v>
      </c>
      <c r="I542" s="383">
        <v>0</v>
      </c>
      <c r="J542" s="383">
        <v>0</v>
      </c>
      <c r="K542" s="383">
        <v>0</v>
      </c>
      <c r="L542" s="384">
        <v>0</v>
      </c>
      <c r="M542" s="383">
        <v>0</v>
      </c>
      <c r="N542" s="383">
        <v>479.3</v>
      </c>
      <c r="O542" s="383">
        <v>1513632</v>
      </c>
      <c r="P542" s="386">
        <v>0</v>
      </c>
      <c r="Q542" s="383">
        <v>0</v>
      </c>
      <c r="R542" s="386">
        <v>0</v>
      </c>
      <c r="S542" s="383">
        <v>0</v>
      </c>
      <c r="T542" s="384">
        <v>0</v>
      </c>
      <c r="U542" s="387">
        <v>0</v>
      </c>
      <c r="V542" s="241"/>
      <c r="W542" s="241">
        <f t="shared" ref="W542:W551" si="74">O542/N542</f>
        <v>3158.0054245775086</v>
      </c>
      <c r="X542" s="241"/>
    </row>
    <row r="543" spans="1:35" ht="15.75">
      <c r="A543" s="374">
        <v>452</v>
      </c>
      <c r="B543" s="310" t="s">
        <v>499</v>
      </c>
      <c r="C543" s="383">
        <v>2046972</v>
      </c>
      <c r="D543" s="383">
        <v>0</v>
      </c>
      <c r="E543" s="383">
        <v>0</v>
      </c>
      <c r="F543" s="383">
        <v>0</v>
      </c>
      <c r="G543" s="383">
        <v>0</v>
      </c>
      <c r="H543" s="383">
        <v>0</v>
      </c>
      <c r="I543" s="383">
        <v>0</v>
      </c>
      <c r="J543" s="383">
        <v>0</v>
      </c>
      <c r="K543" s="383">
        <v>0</v>
      </c>
      <c r="L543" s="384">
        <v>0</v>
      </c>
      <c r="M543" s="383">
        <v>0</v>
      </c>
      <c r="N543" s="383">
        <v>645</v>
      </c>
      <c r="O543" s="383">
        <v>2046972</v>
      </c>
      <c r="P543" s="386">
        <v>0</v>
      </c>
      <c r="Q543" s="383">
        <v>0</v>
      </c>
      <c r="R543" s="386">
        <v>0</v>
      </c>
      <c r="S543" s="383">
        <v>0</v>
      </c>
      <c r="T543" s="384">
        <v>0</v>
      </c>
      <c r="U543" s="387">
        <v>0</v>
      </c>
      <c r="V543" s="241"/>
      <c r="W543" s="241">
        <f t="shared" si="74"/>
        <v>3173.6</v>
      </c>
      <c r="X543" s="241"/>
    </row>
    <row r="544" spans="1:35">
      <c r="A544" s="166"/>
      <c r="B544" s="180" t="s">
        <v>207</v>
      </c>
      <c r="C544" s="177">
        <f>C545+C546+C547+C548+C549+C550+C551</f>
        <v>21667282</v>
      </c>
      <c r="D544" s="177">
        <f t="shared" ref="D544:V544" si="75">D545+D546+D547+D548+D549+D550+D551</f>
        <v>0</v>
      </c>
      <c r="E544" s="177">
        <f t="shared" si="75"/>
        <v>0</v>
      </c>
      <c r="F544" s="177">
        <f t="shared" si="75"/>
        <v>0</v>
      </c>
      <c r="G544" s="177">
        <f t="shared" si="75"/>
        <v>0</v>
      </c>
      <c r="H544" s="177">
        <f t="shared" si="75"/>
        <v>0</v>
      </c>
      <c r="I544" s="177">
        <f t="shared" si="75"/>
        <v>0</v>
      </c>
      <c r="J544" s="177">
        <f t="shared" si="75"/>
        <v>0</v>
      </c>
      <c r="K544" s="177">
        <f t="shared" si="75"/>
        <v>0</v>
      </c>
      <c r="L544" s="177">
        <f t="shared" si="75"/>
        <v>0</v>
      </c>
      <c r="M544" s="177">
        <f t="shared" si="75"/>
        <v>0</v>
      </c>
      <c r="N544" s="177">
        <f t="shared" si="75"/>
        <v>8726</v>
      </c>
      <c r="O544" s="177">
        <f t="shared" si="75"/>
        <v>21667282</v>
      </c>
      <c r="P544" s="177">
        <f t="shared" si="75"/>
        <v>0</v>
      </c>
      <c r="Q544" s="177">
        <f t="shared" si="75"/>
        <v>0</v>
      </c>
      <c r="R544" s="177">
        <f t="shared" si="75"/>
        <v>0</v>
      </c>
      <c r="S544" s="177">
        <f t="shared" si="75"/>
        <v>0</v>
      </c>
      <c r="T544" s="177">
        <f t="shared" si="75"/>
        <v>0</v>
      </c>
      <c r="U544" s="177">
        <f t="shared" si="75"/>
        <v>0</v>
      </c>
      <c r="V544" s="177">
        <f t="shared" si="75"/>
        <v>0</v>
      </c>
      <c r="W544" s="241">
        <f t="shared" si="74"/>
        <v>2483.0715104286041</v>
      </c>
      <c r="X544" s="177"/>
      <c r="Y544" s="177"/>
      <c r="Z544" s="177"/>
      <c r="AA544" s="177"/>
      <c r="AB544" s="177"/>
      <c r="AC544" s="177"/>
      <c r="AD544" s="177"/>
      <c r="AE544" s="177"/>
      <c r="AF544" s="177"/>
      <c r="AG544" s="177"/>
      <c r="AH544" s="177"/>
      <c r="AI544" s="177"/>
    </row>
    <row r="545" spans="1:24">
      <c r="A545" s="374">
        <v>453</v>
      </c>
      <c r="B545" s="401" t="s">
        <v>569</v>
      </c>
      <c r="C545" s="383">
        <v>2609742</v>
      </c>
      <c r="D545" s="383">
        <v>0</v>
      </c>
      <c r="E545" s="383">
        <v>0</v>
      </c>
      <c r="F545" s="383">
        <v>0</v>
      </c>
      <c r="G545" s="383">
        <v>0</v>
      </c>
      <c r="H545" s="383">
        <v>0</v>
      </c>
      <c r="I545" s="383">
        <v>0</v>
      </c>
      <c r="J545" s="383">
        <v>0</v>
      </c>
      <c r="K545" s="383">
        <v>0</v>
      </c>
      <c r="L545" s="384">
        <v>0</v>
      </c>
      <c r="M545" s="383">
        <v>0</v>
      </c>
      <c r="N545" s="379">
        <v>1055</v>
      </c>
      <c r="O545" s="383">
        <v>2609742</v>
      </c>
      <c r="P545" s="384">
        <v>0</v>
      </c>
      <c r="Q545" s="383">
        <v>0</v>
      </c>
      <c r="R545" s="386">
        <v>0</v>
      </c>
      <c r="S545" s="383">
        <v>0</v>
      </c>
      <c r="T545" s="384">
        <v>0</v>
      </c>
      <c r="U545" s="387">
        <v>0</v>
      </c>
      <c r="V545" s="241"/>
      <c r="W545" s="241">
        <f t="shared" si="74"/>
        <v>2473.6890995260665</v>
      </c>
      <c r="X545" s="241"/>
    </row>
    <row r="546" spans="1:24">
      <c r="A546" s="374">
        <v>454</v>
      </c>
      <c r="B546" s="401" t="s">
        <v>570</v>
      </c>
      <c r="C546" s="383">
        <v>2313974</v>
      </c>
      <c r="D546" s="383">
        <v>0</v>
      </c>
      <c r="E546" s="383">
        <v>0</v>
      </c>
      <c r="F546" s="383">
        <v>0</v>
      </c>
      <c r="G546" s="383">
        <v>0</v>
      </c>
      <c r="H546" s="383">
        <v>0</v>
      </c>
      <c r="I546" s="383">
        <v>0</v>
      </c>
      <c r="J546" s="383">
        <v>0</v>
      </c>
      <c r="K546" s="383">
        <v>0</v>
      </c>
      <c r="L546" s="384">
        <v>0</v>
      </c>
      <c r="M546" s="383">
        <v>0</v>
      </c>
      <c r="N546" s="379">
        <v>927</v>
      </c>
      <c r="O546" s="383">
        <v>2313974</v>
      </c>
      <c r="P546" s="384">
        <v>0</v>
      </c>
      <c r="Q546" s="383">
        <v>0</v>
      </c>
      <c r="R546" s="386">
        <v>0</v>
      </c>
      <c r="S546" s="383">
        <v>0</v>
      </c>
      <c r="T546" s="384">
        <v>0</v>
      </c>
      <c r="U546" s="387">
        <v>0</v>
      </c>
      <c r="V546" s="241"/>
      <c r="W546" s="241">
        <f t="shared" si="74"/>
        <v>2496.1963322545848</v>
      </c>
      <c r="X546" s="241"/>
    </row>
    <row r="547" spans="1:24">
      <c r="A547" s="374">
        <v>455</v>
      </c>
      <c r="B547" s="401" t="s">
        <v>571</v>
      </c>
      <c r="C547" s="383">
        <v>4688365</v>
      </c>
      <c r="D547" s="383">
        <v>0</v>
      </c>
      <c r="E547" s="383">
        <v>0</v>
      </c>
      <c r="F547" s="383">
        <v>0</v>
      </c>
      <c r="G547" s="383">
        <v>0</v>
      </c>
      <c r="H547" s="383">
        <v>0</v>
      </c>
      <c r="I547" s="383">
        <v>0</v>
      </c>
      <c r="J547" s="383">
        <v>0</v>
      </c>
      <c r="K547" s="383">
        <v>0</v>
      </c>
      <c r="L547" s="384">
        <v>0</v>
      </c>
      <c r="M547" s="383">
        <v>0</v>
      </c>
      <c r="N547" s="383">
        <v>1894</v>
      </c>
      <c r="O547" s="383">
        <v>4688365</v>
      </c>
      <c r="P547" s="384">
        <v>0</v>
      </c>
      <c r="Q547" s="383">
        <v>0</v>
      </c>
      <c r="R547" s="386">
        <v>0</v>
      </c>
      <c r="S547" s="383">
        <v>0</v>
      </c>
      <c r="T547" s="384">
        <v>0</v>
      </c>
      <c r="U547" s="387">
        <v>0</v>
      </c>
      <c r="V547" s="241"/>
      <c r="W547" s="241">
        <f t="shared" si="74"/>
        <v>2475.3775079197467</v>
      </c>
      <c r="X547" s="241"/>
    </row>
    <row r="548" spans="1:24">
      <c r="A548" s="374">
        <v>456</v>
      </c>
      <c r="B548" s="401" t="s">
        <v>572</v>
      </c>
      <c r="C548" s="383">
        <v>924354</v>
      </c>
      <c r="D548" s="383">
        <v>0</v>
      </c>
      <c r="E548" s="383">
        <v>0</v>
      </c>
      <c r="F548" s="383">
        <v>0</v>
      </c>
      <c r="G548" s="383">
        <v>0</v>
      </c>
      <c r="H548" s="383">
        <v>0</v>
      </c>
      <c r="I548" s="383">
        <v>0</v>
      </c>
      <c r="J548" s="383">
        <v>0</v>
      </c>
      <c r="K548" s="383">
        <v>0</v>
      </c>
      <c r="L548" s="384">
        <v>0</v>
      </c>
      <c r="M548" s="383">
        <v>0</v>
      </c>
      <c r="N548" s="379">
        <v>362</v>
      </c>
      <c r="O548" s="383">
        <v>924354</v>
      </c>
      <c r="P548" s="384">
        <v>0</v>
      </c>
      <c r="Q548" s="383">
        <v>0</v>
      </c>
      <c r="R548" s="386">
        <v>0</v>
      </c>
      <c r="S548" s="383">
        <v>0</v>
      </c>
      <c r="T548" s="384">
        <v>0</v>
      </c>
      <c r="U548" s="387">
        <v>0</v>
      </c>
      <c r="V548" s="241"/>
      <c r="W548" s="241">
        <f t="shared" si="74"/>
        <v>2553.46408839779</v>
      </c>
      <c r="X548" s="241"/>
    </row>
    <row r="549" spans="1:24">
      <c r="A549" s="374">
        <v>457</v>
      </c>
      <c r="B549" s="401" t="s">
        <v>573</v>
      </c>
      <c r="C549" s="383">
        <v>1813705</v>
      </c>
      <c r="D549" s="383">
        <v>0</v>
      </c>
      <c r="E549" s="383">
        <v>0</v>
      </c>
      <c r="F549" s="383">
        <v>0</v>
      </c>
      <c r="G549" s="383">
        <v>0</v>
      </c>
      <c r="H549" s="383">
        <v>0</v>
      </c>
      <c r="I549" s="383">
        <v>0</v>
      </c>
      <c r="J549" s="383">
        <v>0</v>
      </c>
      <c r="K549" s="383">
        <v>0</v>
      </c>
      <c r="L549" s="384">
        <v>0</v>
      </c>
      <c r="M549" s="383">
        <v>0</v>
      </c>
      <c r="N549" s="379">
        <v>724</v>
      </c>
      <c r="O549" s="383">
        <v>1813705</v>
      </c>
      <c r="P549" s="384">
        <v>0</v>
      </c>
      <c r="Q549" s="383">
        <v>0</v>
      </c>
      <c r="R549" s="386">
        <v>0</v>
      </c>
      <c r="S549" s="383">
        <v>0</v>
      </c>
      <c r="T549" s="384">
        <v>0</v>
      </c>
      <c r="U549" s="387">
        <v>0</v>
      </c>
      <c r="V549" s="241"/>
      <c r="W549" s="241">
        <f t="shared" si="74"/>
        <v>2505.1174033149173</v>
      </c>
      <c r="X549" s="241"/>
    </row>
    <row r="550" spans="1:24">
      <c r="A550" s="374">
        <v>458</v>
      </c>
      <c r="B550" s="401" t="s">
        <v>574</v>
      </c>
      <c r="C550" s="383">
        <v>4665548</v>
      </c>
      <c r="D550" s="383">
        <v>0</v>
      </c>
      <c r="E550" s="383">
        <v>0</v>
      </c>
      <c r="F550" s="383">
        <v>0</v>
      </c>
      <c r="G550" s="383">
        <v>0</v>
      </c>
      <c r="H550" s="383">
        <v>0</v>
      </c>
      <c r="I550" s="383">
        <v>0</v>
      </c>
      <c r="J550" s="383">
        <v>0</v>
      </c>
      <c r="K550" s="383">
        <v>0</v>
      </c>
      <c r="L550" s="384">
        <v>0</v>
      </c>
      <c r="M550" s="383">
        <v>0</v>
      </c>
      <c r="N550" s="379">
        <v>1885</v>
      </c>
      <c r="O550" s="383">
        <v>4665548</v>
      </c>
      <c r="P550" s="384">
        <v>0</v>
      </c>
      <c r="Q550" s="383">
        <v>0</v>
      </c>
      <c r="R550" s="386">
        <v>0</v>
      </c>
      <c r="S550" s="383">
        <v>0</v>
      </c>
      <c r="T550" s="384">
        <v>0</v>
      </c>
      <c r="U550" s="387">
        <v>0</v>
      </c>
      <c r="V550" s="241"/>
      <c r="W550" s="241">
        <f t="shared" si="74"/>
        <v>2475.0917771883287</v>
      </c>
      <c r="X550" s="241"/>
    </row>
    <row r="551" spans="1:24">
      <c r="A551" s="374">
        <v>459</v>
      </c>
      <c r="B551" s="401" t="s">
        <v>575</v>
      </c>
      <c r="C551" s="383">
        <v>4651594</v>
      </c>
      <c r="D551" s="383">
        <v>0</v>
      </c>
      <c r="E551" s="383">
        <v>0</v>
      </c>
      <c r="F551" s="383">
        <v>0</v>
      </c>
      <c r="G551" s="383">
        <v>0</v>
      </c>
      <c r="H551" s="383">
        <v>0</v>
      </c>
      <c r="I551" s="383">
        <v>0</v>
      </c>
      <c r="J551" s="383">
        <v>0</v>
      </c>
      <c r="K551" s="383">
        <v>0</v>
      </c>
      <c r="L551" s="384">
        <v>0</v>
      </c>
      <c r="M551" s="383">
        <v>0</v>
      </c>
      <c r="N551" s="379">
        <v>1879</v>
      </c>
      <c r="O551" s="383">
        <v>4651594</v>
      </c>
      <c r="P551" s="384">
        <v>0</v>
      </c>
      <c r="Q551" s="383">
        <v>0</v>
      </c>
      <c r="R551" s="386">
        <v>0</v>
      </c>
      <c r="S551" s="383">
        <v>0</v>
      </c>
      <c r="T551" s="384">
        <v>0</v>
      </c>
      <c r="U551" s="387">
        <v>0</v>
      </c>
      <c r="V551" s="241"/>
      <c r="W551" s="241">
        <f t="shared" si="74"/>
        <v>2475.5689196381054</v>
      </c>
      <c r="X551" s="241"/>
    </row>
    <row r="552" spans="1:24">
      <c r="A552" s="374"/>
      <c r="B552" s="400"/>
      <c r="C552" s="383"/>
      <c r="D552" s="383"/>
      <c r="E552" s="383"/>
      <c r="F552" s="383"/>
      <c r="G552" s="383"/>
      <c r="H552" s="383"/>
      <c r="I552" s="383"/>
      <c r="J552" s="383"/>
      <c r="K552" s="383"/>
      <c r="L552" s="384"/>
      <c r="M552" s="383"/>
      <c r="N552" s="379"/>
      <c r="O552" s="383"/>
      <c r="P552" s="384"/>
      <c r="Q552" s="383"/>
      <c r="R552" s="386"/>
      <c r="S552" s="383"/>
      <c r="T552" s="384"/>
      <c r="U552" s="387"/>
      <c r="V552" s="241"/>
      <c r="W552" s="241"/>
      <c r="X552" s="241"/>
    </row>
    <row r="553" spans="1:24">
      <c r="A553" s="374"/>
      <c r="B553" s="400"/>
      <c r="C553" s="383"/>
      <c r="D553" s="383"/>
      <c r="E553" s="383"/>
      <c r="F553" s="383"/>
      <c r="G553" s="383"/>
      <c r="H553" s="383"/>
      <c r="I553" s="383"/>
      <c r="J553" s="383"/>
      <c r="K553" s="383"/>
      <c r="L553" s="384"/>
      <c r="M553" s="383"/>
      <c r="N553" s="379"/>
      <c r="O553" s="383"/>
      <c r="P553" s="384"/>
      <c r="Q553" s="383"/>
      <c r="R553" s="386"/>
      <c r="S553" s="383"/>
      <c r="T553" s="384"/>
      <c r="U553" s="387"/>
      <c r="V553" s="241"/>
      <c r="W553" s="241"/>
      <c r="X553" s="241"/>
    </row>
    <row r="554" spans="1:24">
      <c r="A554" s="374"/>
      <c r="B554" s="400"/>
      <c r="C554" s="383"/>
      <c r="D554" s="383"/>
      <c r="E554" s="383"/>
      <c r="F554" s="383"/>
      <c r="G554" s="383"/>
      <c r="H554" s="383"/>
      <c r="I554" s="383"/>
      <c r="J554" s="383"/>
      <c r="K554" s="383"/>
      <c r="L554" s="384"/>
      <c r="M554" s="383"/>
      <c r="N554" s="379"/>
      <c r="O554" s="383"/>
      <c r="P554" s="384"/>
      <c r="Q554" s="383"/>
      <c r="R554" s="386"/>
      <c r="S554" s="383"/>
      <c r="T554" s="384"/>
      <c r="U554" s="387"/>
      <c r="V554" s="241"/>
      <c r="W554" s="241"/>
      <c r="X554" s="241"/>
    </row>
    <row r="555" spans="1:24">
      <c r="A555" s="374"/>
      <c r="B555" s="400"/>
      <c r="C555" s="383"/>
      <c r="D555" s="383"/>
      <c r="E555" s="383"/>
      <c r="F555" s="383"/>
      <c r="G555" s="383"/>
      <c r="H555" s="383"/>
      <c r="I555" s="383"/>
      <c r="J555" s="383"/>
      <c r="K555" s="383"/>
      <c r="L555" s="384"/>
      <c r="M555" s="383"/>
      <c r="N555" s="379"/>
      <c r="O555" s="383"/>
      <c r="P555" s="384"/>
      <c r="Q555" s="383"/>
      <c r="R555" s="386"/>
      <c r="S555" s="383"/>
      <c r="T555" s="384"/>
      <c r="U555" s="387"/>
      <c r="V555" s="241"/>
      <c r="W555" s="241"/>
      <c r="X555" s="241"/>
    </row>
    <row r="556" spans="1:24">
      <c r="A556" s="166"/>
      <c r="B556" s="182" t="s">
        <v>67</v>
      </c>
      <c r="C556" s="177">
        <v>2507155.0699999998</v>
      </c>
      <c r="D556" s="177"/>
      <c r="E556" s="177"/>
      <c r="F556" s="177"/>
      <c r="G556" s="177"/>
      <c r="H556" s="177"/>
      <c r="I556" s="177"/>
      <c r="J556" s="177"/>
      <c r="K556" s="177">
        <v>0</v>
      </c>
      <c r="L556" s="178">
        <v>0</v>
      </c>
      <c r="M556" s="177">
        <v>0</v>
      </c>
      <c r="N556" s="177">
        <v>1630.2</v>
      </c>
      <c r="O556" s="177">
        <v>2507155.0699999998</v>
      </c>
      <c r="P556" s="178">
        <v>0</v>
      </c>
      <c r="Q556" s="177">
        <v>0</v>
      </c>
      <c r="R556" s="179">
        <v>0</v>
      </c>
      <c r="S556" s="177">
        <v>0</v>
      </c>
      <c r="T556" s="178">
        <v>0</v>
      </c>
      <c r="U556" s="248">
        <v>0</v>
      </c>
      <c r="V556" s="241"/>
      <c r="W556" s="241"/>
      <c r="X556" s="241"/>
    </row>
    <row r="557" spans="1:24" ht="30">
      <c r="A557" s="166"/>
      <c r="B557" s="180" t="s">
        <v>90</v>
      </c>
      <c r="C557" s="177">
        <v>728197.07</v>
      </c>
      <c r="D557" s="177"/>
      <c r="E557" s="177"/>
      <c r="F557" s="177"/>
      <c r="G557" s="177"/>
      <c r="H557" s="177"/>
      <c r="I557" s="177"/>
      <c r="J557" s="177"/>
      <c r="K557" s="177">
        <v>0</v>
      </c>
      <c r="L557" s="178">
        <v>0</v>
      </c>
      <c r="M557" s="177">
        <v>0</v>
      </c>
      <c r="N557" s="177">
        <v>731.2</v>
      </c>
      <c r="O557" s="177">
        <v>728197.07</v>
      </c>
      <c r="P557" s="178">
        <v>0</v>
      </c>
      <c r="Q557" s="177">
        <v>0</v>
      </c>
      <c r="R557" s="179">
        <v>0</v>
      </c>
      <c r="S557" s="177">
        <v>0</v>
      </c>
      <c r="T557" s="178">
        <v>0</v>
      </c>
      <c r="U557" s="248">
        <v>0</v>
      </c>
      <c r="V557" s="241"/>
      <c r="W557" s="241"/>
      <c r="X557" s="241"/>
    </row>
    <row r="558" spans="1:24" s="18" customFormat="1">
      <c r="A558" s="166">
        <v>464</v>
      </c>
      <c r="B558" s="206" t="s">
        <v>429</v>
      </c>
      <c r="C558" s="177">
        <v>728197.07</v>
      </c>
      <c r="D558" s="177"/>
      <c r="E558" s="177"/>
      <c r="F558" s="177"/>
      <c r="G558" s="177"/>
      <c r="H558" s="177"/>
      <c r="I558" s="177"/>
      <c r="J558" s="177"/>
      <c r="K558" s="177">
        <v>0</v>
      </c>
      <c r="L558" s="178">
        <v>0</v>
      </c>
      <c r="M558" s="177">
        <v>0</v>
      </c>
      <c r="N558" s="177">
        <v>731.2</v>
      </c>
      <c r="O558" s="177">
        <v>728197.07</v>
      </c>
      <c r="P558" s="178">
        <v>0</v>
      </c>
      <c r="Q558" s="177">
        <v>0</v>
      </c>
      <c r="R558" s="179">
        <v>0</v>
      </c>
      <c r="S558" s="177">
        <v>0</v>
      </c>
      <c r="T558" s="178">
        <v>0</v>
      </c>
      <c r="U558" s="248">
        <v>0</v>
      </c>
      <c r="V558" s="241"/>
      <c r="W558" s="241"/>
      <c r="X558" s="241"/>
    </row>
    <row r="559" spans="1:24" ht="30">
      <c r="A559" s="374"/>
      <c r="B559" s="382" t="s">
        <v>127</v>
      </c>
      <c r="C559" s="383">
        <f>C560</f>
        <v>2131086</v>
      </c>
      <c r="D559" s="383">
        <f t="shared" ref="D559:V559" si="76">D560</f>
        <v>0</v>
      </c>
      <c r="E559" s="383">
        <f t="shared" si="76"/>
        <v>0</v>
      </c>
      <c r="F559" s="383">
        <f t="shared" si="76"/>
        <v>0</v>
      </c>
      <c r="G559" s="383">
        <f t="shared" si="76"/>
        <v>0</v>
      </c>
      <c r="H559" s="383">
        <f t="shared" si="76"/>
        <v>0</v>
      </c>
      <c r="I559" s="383">
        <f t="shared" si="76"/>
        <v>0</v>
      </c>
      <c r="J559" s="383">
        <f t="shared" si="76"/>
        <v>0</v>
      </c>
      <c r="K559" s="383">
        <f t="shared" si="76"/>
        <v>0</v>
      </c>
      <c r="L559" s="383">
        <f t="shared" si="76"/>
        <v>0</v>
      </c>
      <c r="M559" s="383">
        <f t="shared" si="76"/>
        <v>0</v>
      </c>
      <c r="N559" s="383">
        <f t="shared" si="76"/>
        <v>860</v>
      </c>
      <c r="O559" s="383">
        <f t="shared" si="76"/>
        <v>2131086</v>
      </c>
      <c r="P559" s="383">
        <f t="shared" si="76"/>
        <v>0</v>
      </c>
      <c r="Q559" s="383">
        <f t="shared" si="76"/>
        <v>0</v>
      </c>
      <c r="R559" s="383">
        <f t="shared" si="76"/>
        <v>0</v>
      </c>
      <c r="S559" s="383">
        <f t="shared" si="76"/>
        <v>0</v>
      </c>
      <c r="T559" s="383">
        <f t="shared" si="76"/>
        <v>0</v>
      </c>
      <c r="U559" s="383">
        <f t="shared" si="76"/>
        <v>0</v>
      </c>
      <c r="V559" s="177">
        <f t="shared" si="76"/>
        <v>0</v>
      </c>
      <c r="W559" s="241"/>
      <c r="X559" s="241"/>
    </row>
    <row r="560" spans="1:24" ht="24" customHeight="1">
      <c r="A560" s="374">
        <v>465</v>
      </c>
      <c r="B560" s="382" t="s">
        <v>686</v>
      </c>
      <c r="C560" s="383">
        <f>'часть 1'!L519</f>
        <v>2131086</v>
      </c>
      <c r="D560" s="383">
        <v>0</v>
      </c>
      <c r="E560" s="383">
        <v>0</v>
      </c>
      <c r="F560" s="383">
        <v>0</v>
      </c>
      <c r="G560" s="383">
        <v>0</v>
      </c>
      <c r="H560" s="383">
        <v>0</v>
      </c>
      <c r="I560" s="383">
        <v>0</v>
      </c>
      <c r="J560" s="383">
        <v>0</v>
      </c>
      <c r="K560" s="383">
        <v>0</v>
      </c>
      <c r="L560" s="384">
        <v>0</v>
      </c>
      <c r="M560" s="383">
        <v>0</v>
      </c>
      <c r="N560" s="383">
        <v>860</v>
      </c>
      <c r="O560" s="383">
        <v>2131086</v>
      </c>
      <c r="P560" s="384">
        <v>0</v>
      </c>
      <c r="Q560" s="383">
        <v>0</v>
      </c>
      <c r="R560" s="386">
        <v>0</v>
      </c>
      <c r="S560" s="383">
        <v>0</v>
      </c>
      <c r="T560" s="384">
        <v>0</v>
      </c>
      <c r="U560" s="387">
        <v>0</v>
      </c>
      <c r="V560" s="241"/>
      <c r="W560" s="241">
        <f>O560/N560</f>
        <v>2478.006976744186</v>
      </c>
      <c r="X560" s="241"/>
    </row>
    <row r="561" spans="1:35" ht="18.75" customHeight="1">
      <c r="A561" s="427"/>
      <c r="B561" s="428" t="s">
        <v>89</v>
      </c>
      <c r="C561" s="429">
        <f>SUM(C562:C729)</f>
        <v>336230870.63</v>
      </c>
      <c r="D561" s="429"/>
      <c r="E561" s="429"/>
      <c r="F561" s="429"/>
      <c r="G561" s="429"/>
      <c r="H561" s="429"/>
      <c r="I561" s="429"/>
      <c r="J561" s="429"/>
      <c r="K561" s="429" t="e">
        <f>SUM(K562:K729)</f>
        <v>#REF!</v>
      </c>
      <c r="L561" s="430">
        <v>45</v>
      </c>
      <c r="M561" s="429">
        <f t="shared" ref="M561:S561" si="77">SUM(M562:M729)</f>
        <v>84665172</v>
      </c>
      <c r="N561" s="429">
        <f t="shared" si="77"/>
        <v>64824.649999999994</v>
      </c>
      <c r="O561" s="429">
        <f t="shared" si="77"/>
        <v>127943364.07000001</v>
      </c>
      <c r="P561" s="429">
        <f t="shared" si="77"/>
        <v>682</v>
      </c>
      <c r="Q561" s="429">
        <f t="shared" si="77"/>
        <v>662518</v>
      </c>
      <c r="R561" s="429">
        <f t="shared" si="77"/>
        <v>29106.850000000002</v>
      </c>
      <c r="S561" s="429">
        <f t="shared" si="77"/>
        <v>38255949.950000003</v>
      </c>
      <c r="T561" s="430">
        <v>0</v>
      </c>
      <c r="U561" s="431">
        <v>0</v>
      </c>
      <c r="V561" s="380"/>
      <c r="W561" s="380"/>
      <c r="X561" s="380"/>
      <c r="Y561" s="381"/>
      <c r="Z561" s="381"/>
      <c r="AA561" s="381"/>
      <c r="AB561" s="381"/>
      <c r="AC561" s="381"/>
      <c r="AD561" s="381"/>
      <c r="AE561" s="381"/>
      <c r="AF561" s="381"/>
      <c r="AG561" s="381"/>
      <c r="AH561" s="381"/>
      <c r="AI561" s="381"/>
    </row>
    <row r="562" spans="1:35" customFormat="1">
      <c r="A562" s="166">
        <v>1</v>
      </c>
      <c r="B562" s="163" t="s">
        <v>324</v>
      </c>
      <c r="C562" s="164">
        <v>5982216</v>
      </c>
      <c r="D562" s="164"/>
      <c r="E562" s="164"/>
      <c r="F562" s="164"/>
      <c r="G562" s="164"/>
      <c r="H562" s="164"/>
      <c r="I562" s="164"/>
      <c r="J562" s="164"/>
      <c r="K562" s="164">
        <v>0</v>
      </c>
      <c r="L562" s="162">
        <v>0</v>
      </c>
      <c r="M562" s="164">
        <v>0</v>
      </c>
      <c r="N562" s="164">
        <v>0</v>
      </c>
      <c r="O562" s="164">
        <v>0</v>
      </c>
      <c r="P562" s="162">
        <v>0</v>
      </c>
      <c r="Q562" s="164">
        <v>0</v>
      </c>
      <c r="R562" s="167">
        <v>4158.84</v>
      </c>
      <c r="S562" s="164">
        <v>5982216</v>
      </c>
      <c r="T562" s="165">
        <v>0</v>
      </c>
      <c r="U562" s="246">
        <v>0</v>
      </c>
      <c r="V562" s="241" t="e">
        <f>C562-'часть 1'!#REF!</f>
        <v>#REF!</v>
      </c>
      <c r="W562" s="241"/>
      <c r="X562" s="241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254"/>
    </row>
    <row r="563" spans="1:35" customFormat="1">
      <c r="A563" s="166">
        <v>2</v>
      </c>
      <c r="B563" s="163" t="s">
        <v>325</v>
      </c>
      <c r="C563" s="164">
        <v>9379653</v>
      </c>
      <c r="D563" s="164"/>
      <c r="E563" s="164"/>
      <c r="F563" s="164"/>
      <c r="G563" s="164"/>
      <c r="H563" s="164"/>
      <c r="I563" s="164"/>
      <c r="J563" s="164"/>
      <c r="K563" s="164">
        <v>0</v>
      </c>
      <c r="L563" s="162">
        <v>5</v>
      </c>
      <c r="M563" s="164">
        <v>9379653</v>
      </c>
      <c r="N563" s="164">
        <v>0</v>
      </c>
      <c r="O563" s="164">
        <v>0</v>
      </c>
      <c r="P563" s="162">
        <v>0</v>
      </c>
      <c r="Q563" s="164">
        <v>0</v>
      </c>
      <c r="R563" s="165">
        <v>0</v>
      </c>
      <c r="S563" s="164">
        <v>0</v>
      </c>
      <c r="T563" s="165">
        <v>0</v>
      </c>
      <c r="U563" s="246">
        <v>0</v>
      </c>
      <c r="V563" s="241" t="e">
        <f>C563-'часть 1'!#REF!</f>
        <v>#REF!</v>
      </c>
      <c r="W563" s="241"/>
      <c r="X563" s="241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254"/>
    </row>
    <row r="564" spans="1:35" customFormat="1">
      <c r="A564" s="166">
        <v>3</v>
      </c>
      <c r="B564" s="163" t="s">
        <v>321</v>
      </c>
      <c r="C564" s="164">
        <v>3763756</v>
      </c>
      <c r="D564" s="164"/>
      <c r="E564" s="164"/>
      <c r="F564" s="164"/>
      <c r="G564" s="164"/>
      <c r="H564" s="164"/>
      <c r="I564" s="164"/>
      <c r="J564" s="164"/>
      <c r="K564" s="164">
        <v>0</v>
      </c>
      <c r="L564" s="162">
        <v>2</v>
      </c>
      <c r="M564" s="164">
        <v>3763756</v>
      </c>
      <c r="N564" s="164">
        <v>0</v>
      </c>
      <c r="O564" s="164">
        <v>0</v>
      </c>
      <c r="P564" s="162">
        <v>0</v>
      </c>
      <c r="Q564" s="164">
        <v>0</v>
      </c>
      <c r="R564" s="168">
        <v>0</v>
      </c>
      <c r="S564" s="164">
        <v>0</v>
      </c>
      <c r="T564" s="165">
        <v>0</v>
      </c>
      <c r="U564" s="246">
        <v>0</v>
      </c>
      <c r="V564" s="241" t="e">
        <f>C564-'часть 1'!#REF!</f>
        <v>#REF!</v>
      </c>
      <c r="W564" s="241"/>
      <c r="X564" s="241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254"/>
    </row>
    <row r="565" spans="1:35" customFormat="1">
      <c r="A565" s="166">
        <v>4</v>
      </c>
      <c r="B565" s="163" t="s">
        <v>346</v>
      </c>
      <c r="C565" s="164">
        <v>1095812</v>
      </c>
      <c r="D565" s="164"/>
      <c r="E565" s="164"/>
      <c r="F565" s="164"/>
      <c r="G565" s="164"/>
      <c r="H565" s="164"/>
      <c r="I565" s="164"/>
      <c r="J565" s="164"/>
      <c r="K565" s="164">
        <v>1095812</v>
      </c>
      <c r="L565" s="162">
        <v>0</v>
      </c>
      <c r="M565" s="164">
        <v>0</v>
      </c>
      <c r="N565" s="164">
        <v>0</v>
      </c>
      <c r="O565" s="164">
        <v>0</v>
      </c>
      <c r="P565" s="162">
        <v>0</v>
      </c>
      <c r="Q565" s="164">
        <v>0</v>
      </c>
      <c r="R565" s="168">
        <v>0</v>
      </c>
      <c r="S565" s="164">
        <v>0</v>
      </c>
      <c r="T565" s="165">
        <v>0</v>
      </c>
      <c r="U565" s="246">
        <v>0</v>
      </c>
      <c r="V565" s="241" t="e">
        <f>C565-'часть 1'!#REF!</f>
        <v>#REF!</v>
      </c>
      <c r="W565" s="241"/>
      <c r="X565" s="241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254"/>
    </row>
    <row r="566" spans="1:35" customFormat="1">
      <c r="A566" s="166">
        <v>5</v>
      </c>
      <c r="B566" s="163" t="s">
        <v>322</v>
      </c>
      <c r="C566" s="164">
        <v>5619141</v>
      </c>
      <c r="D566" s="164"/>
      <c r="E566" s="164"/>
      <c r="F566" s="164"/>
      <c r="G566" s="164"/>
      <c r="H566" s="164"/>
      <c r="I566" s="164"/>
      <c r="J566" s="164"/>
      <c r="K566" s="164">
        <v>0</v>
      </c>
      <c r="L566" s="162">
        <v>3</v>
      </c>
      <c r="M566" s="164">
        <v>5619141</v>
      </c>
      <c r="N566" s="164">
        <v>0</v>
      </c>
      <c r="O566" s="164">
        <v>0</v>
      </c>
      <c r="P566" s="162">
        <v>0</v>
      </c>
      <c r="Q566" s="164">
        <v>0</v>
      </c>
      <c r="R566" s="168">
        <v>0</v>
      </c>
      <c r="S566" s="164">
        <v>0</v>
      </c>
      <c r="T566" s="165">
        <v>0</v>
      </c>
      <c r="U566" s="246">
        <v>0</v>
      </c>
      <c r="V566" s="241" t="e">
        <f>C566-'часть 1'!#REF!</f>
        <v>#REF!</v>
      </c>
      <c r="W566" s="241"/>
      <c r="X566" s="241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254"/>
    </row>
    <row r="567" spans="1:35" customFormat="1">
      <c r="A567" s="166">
        <v>6</v>
      </c>
      <c r="B567" s="163" t="s">
        <v>320</v>
      </c>
      <c r="C567" s="164">
        <v>3748388</v>
      </c>
      <c r="D567" s="164"/>
      <c r="E567" s="164"/>
      <c r="F567" s="164"/>
      <c r="G567" s="164"/>
      <c r="H567" s="164"/>
      <c r="I567" s="164"/>
      <c r="J567" s="164"/>
      <c r="K567" s="164">
        <v>0</v>
      </c>
      <c r="L567" s="162">
        <v>2</v>
      </c>
      <c r="M567" s="164">
        <v>3748388</v>
      </c>
      <c r="N567" s="164">
        <v>0</v>
      </c>
      <c r="O567" s="164">
        <v>0</v>
      </c>
      <c r="P567" s="162">
        <v>0</v>
      </c>
      <c r="Q567" s="164">
        <v>0</v>
      </c>
      <c r="R567" s="165">
        <v>0</v>
      </c>
      <c r="S567" s="164">
        <v>0</v>
      </c>
      <c r="T567" s="165">
        <v>0</v>
      </c>
      <c r="U567" s="246">
        <v>0</v>
      </c>
      <c r="V567" s="241" t="e">
        <f>C567-'часть 1'!#REF!</f>
        <v>#REF!</v>
      </c>
      <c r="W567" s="241"/>
      <c r="X567" s="241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254"/>
    </row>
    <row r="568" spans="1:35" customFormat="1">
      <c r="A568" s="166">
        <v>7</v>
      </c>
      <c r="B568" s="163" t="s">
        <v>327</v>
      </c>
      <c r="C568" s="164">
        <v>15157748</v>
      </c>
      <c r="D568" s="164"/>
      <c r="E568" s="164"/>
      <c r="F568" s="164"/>
      <c r="G568" s="164"/>
      <c r="H568" s="164"/>
      <c r="I568" s="164"/>
      <c r="J568" s="164"/>
      <c r="K568" s="164">
        <v>0</v>
      </c>
      <c r="L568" s="162">
        <v>8</v>
      </c>
      <c r="M568" s="164">
        <f>C568</f>
        <v>15157748</v>
      </c>
      <c r="N568" s="164">
        <v>0</v>
      </c>
      <c r="O568" s="164">
        <v>0</v>
      </c>
      <c r="P568" s="162">
        <v>0</v>
      </c>
      <c r="Q568" s="164">
        <v>0</v>
      </c>
      <c r="R568" s="165">
        <v>0</v>
      </c>
      <c r="S568" s="164">
        <v>0</v>
      </c>
      <c r="T568" s="165">
        <v>0</v>
      </c>
      <c r="U568" s="246">
        <v>0</v>
      </c>
      <c r="V568" s="241" t="e">
        <f>C568-'часть 1'!#REF!</f>
        <v>#REF!</v>
      </c>
      <c r="W568" s="241"/>
      <c r="X568" s="241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254"/>
    </row>
    <row r="569" spans="1:35" customFormat="1">
      <c r="A569" s="166">
        <v>8</v>
      </c>
      <c r="B569" s="163" t="s">
        <v>323</v>
      </c>
      <c r="C569" s="164">
        <v>1030213</v>
      </c>
      <c r="D569" s="164"/>
      <c r="E569" s="164"/>
      <c r="F569" s="164"/>
      <c r="G569" s="164"/>
      <c r="H569" s="164"/>
      <c r="I569" s="164"/>
      <c r="J569" s="164"/>
      <c r="K569" s="164">
        <v>0</v>
      </c>
      <c r="L569" s="162">
        <v>0</v>
      </c>
      <c r="M569" s="164">
        <v>0</v>
      </c>
      <c r="N569" s="164">
        <v>513.79999999999995</v>
      </c>
      <c r="O569" s="167">
        <f>C569</f>
        <v>1030213</v>
      </c>
      <c r="P569" s="162">
        <v>0</v>
      </c>
      <c r="Q569" s="164">
        <v>0</v>
      </c>
      <c r="R569" s="168">
        <v>0</v>
      </c>
      <c r="S569" s="164">
        <v>0</v>
      </c>
      <c r="T569" s="165">
        <v>0</v>
      </c>
      <c r="U569" s="246">
        <v>0</v>
      </c>
      <c r="V569" s="241" t="e">
        <f>C569-'часть 1'!#REF!</f>
        <v>#REF!</v>
      </c>
      <c r="W569" s="241"/>
      <c r="X569" s="241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254"/>
    </row>
    <row r="570" spans="1:35" customFormat="1">
      <c r="A570" s="166">
        <v>9</v>
      </c>
      <c r="B570" s="163" t="s">
        <v>319</v>
      </c>
      <c r="C570" s="164">
        <v>530465</v>
      </c>
      <c r="D570" s="164"/>
      <c r="E570" s="164"/>
      <c r="F570" s="164"/>
      <c r="G570" s="164"/>
      <c r="H570" s="164"/>
      <c r="I570" s="164"/>
      <c r="J570" s="164"/>
      <c r="K570" s="164" t="e">
        <f>#REF!</f>
        <v>#REF!</v>
      </c>
      <c r="L570" s="162">
        <v>0</v>
      </c>
      <c r="M570" s="164">
        <v>0</v>
      </c>
      <c r="N570" s="167">
        <v>0</v>
      </c>
      <c r="O570" s="164">
        <v>0</v>
      </c>
      <c r="P570" s="162">
        <v>0</v>
      </c>
      <c r="Q570" s="164">
        <v>0</v>
      </c>
      <c r="R570" s="168">
        <v>0</v>
      </c>
      <c r="S570" s="164">
        <v>0</v>
      </c>
      <c r="T570" s="165">
        <v>0</v>
      </c>
      <c r="U570" s="246">
        <v>0</v>
      </c>
      <c r="V570" s="241">
        <f>C570-'часть 1'!L581</f>
        <v>530465</v>
      </c>
      <c r="W570" s="241"/>
      <c r="X570" s="241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254"/>
    </row>
    <row r="571" spans="1:35" customFormat="1">
      <c r="A571" s="166">
        <v>10</v>
      </c>
      <c r="B571" s="163" t="s">
        <v>326</v>
      </c>
      <c r="C571" s="164">
        <v>1983854</v>
      </c>
      <c r="D571" s="164"/>
      <c r="E571" s="164"/>
      <c r="F571" s="164"/>
      <c r="G571" s="164"/>
      <c r="H571" s="164"/>
      <c r="I571" s="164"/>
      <c r="J571" s="164"/>
      <c r="K571" s="164">
        <v>0</v>
      </c>
      <c r="L571" s="162">
        <v>0</v>
      </c>
      <c r="M571" s="164">
        <v>0</v>
      </c>
      <c r="N571" s="164">
        <v>1000</v>
      </c>
      <c r="O571" s="164">
        <v>1983854</v>
      </c>
      <c r="P571" s="162">
        <v>0</v>
      </c>
      <c r="Q571" s="164">
        <v>0</v>
      </c>
      <c r="R571" s="165">
        <v>0</v>
      </c>
      <c r="S571" s="164">
        <v>0</v>
      </c>
      <c r="T571" s="165">
        <v>0</v>
      </c>
      <c r="U571" s="246">
        <v>0</v>
      </c>
      <c r="V571" s="241">
        <f>C571-'часть 1'!L582</f>
        <v>1983854</v>
      </c>
      <c r="W571" s="241"/>
      <c r="X571" s="241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254"/>
    </row>
    <row r="572" spans="1:35" customFormat="1">
      <c r="A572" s="166">
        <v>11</v>
      </c>
      <c r="B572" s="163" t="s">
        <v>388</v>
      </c>
      <c r="C572" s="164">
        <v>1206304</v>
      </c>
      <c r="D572" s="164"/>
      <c r="E572" s="164"/>
      <c r="F572" s="164"/>
      <c r="G572" s="164"/>
      <c r="H572" s="164"/>
      <c r="I572" s="164"/>
      <c r="J572" s="164"/>
      <c r="K572" s="164">
        <v>0</v>
      </c>
      <c r="L572" s="162">
        <v>0</v>
      </c>
      <c r="M572" s="164">
        <v>0</v>
      </c>
      <c r="N572" s="164">
        <v>576</v>
      </c>
      <c r="O572" s="164">
        <v>1206304</v>
      </c>
      <c r="P572" s="162">
        <v>0</v>
      </c>
      <c r="Q572" s="164">
        <v>0</v>
      </c>
      <c r="R572" s="165">
        <v>0</v>
      </c>
      <c r="S572" s="164">
        <v>0</v>
      </c>
      <c r="T572" s="165">
        <v>0</v>
      </c>
      <c r="U572" s="246">
        <v>0</v>
      </c>
      <c r="V572" s="241">
        <f>C572-'часть 1'!L583</f>
        <v>-607454255.45000005</v>
      </c>
      <c r="W572" s="241"/>
      <c r="X572" s="241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254"/>
    </row>
    <row r="573" spans="1:35" customFormat="1" ht="30">
      <c r="A573" s="166">
        <v>12</v>
      </c>
      <c r="B573" s="163" t="s">
        <v>419</v>
      </c>
      <c r="C573" s="164">
        <v>402530.2</v>
      </c>
      <c r="D573" s="164"/>
      <c r="E573" s="164"/>
      <c r="F573" s="164"/>
      <c r="G573" s="164"/>
      <c r="H573" s="164"/>
      <c r="I573" s="164"/>
      <c r="J573" s="164"/>
      <c r="K573" s="164">
        <v>402530.2</v>
      </c>
      <c r="L573" s="162">
        <v>0</v>
      </c>
      <c r="M573" s="164">
        <v>0</v>
      </c>
      <c r="N573" s="164">
        <v>0</v>
      </c>
      <c r="O573" s="164">
        <v>0</v>
      </c>
      <c r="P573" s="162">
        <v>0</v>
      </c>
      <c r="Q573" s="164">
        <v>0</v>
      </c>
      <c r="R573" s="165">
        <v>0</v>
      </c>
      <c r="S573" s="164">
        <v>0</v>
      </c>
      <c r="T573" s="165">
        <v>0</v>
      </c>
      <c r="U573" s="246">
        <v>0</v>
      </c>
      <c r="V573" s="241">
        <f>C573-'часть 1'!L584</f>
        <v>-335828340.43000001</v>
      </c>
      <c r="W573" s="241"/>
      <c r="X573" s="241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254"/>
    </row>
    <row r="574" spans="1:35" customFormat="1">
      <c r="A574" s="166">
        <v>13</v>
      </c>
      <c r="B574" s="163" t="s">
        <v>387</v>
      </c>
      <c r="C574" s="164">
        <v>2861497</v>
      </c>
      <c r="D574" s="164"/>
      <c r="E574" s="164"/>
      <c r="F574" s="164"/>
      <c r="G574" s="164"/>
      <c r="H574" s="164"/>
      <c r="I574" s="164"/>
      <c r="J574" s="164"/>
      <c r="K574" s="164">
        <v>0</v>
      </c>
      <c r="L574" s="162">
        <v>0</v>
      </c>
      <c r="M574" s="164">
        <v>0</v>
      </c>
      <c r="N574" s="164">
        <v>1450</v>
      </c>
      <c r="O574" s="164">
        <v>2861497</v>
      </c>
      <c r="P574" s="162">
        <v>0</v>
      </c>
      <c r="Q574" s="164">
        <v>0</v>
      </c>
      <c r="R574" s="165">
        <v>0</v>
      </c>
      <c r="S574" s="164">
        <v>0</v>
      </c>
      <c r="T574" s="165">
        <v>0</v>
      </c>
      <c r="U574" s="246">
        <v>0</v>
      </c>
      <c r="V574" s="241">
        <f>C574-'часть 1'!L585</f>
        <v>-3120719</v>
      </c>
      <c r="W574" s="241"/>
      <c r="X574" s="241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254"/>
    </row>
    <row r="575" spans="1:35" customFormat="1">
      <c r="A575" s="166">
        <v>14</v>
      </c>
      <c r="B575" s="163" t="s">
        <v>334</v>
      </c>
      <c r="C575" s="164">
        <v>1535065.47</v>
      </c>
      <c r="D575" s="164"/>
      <c r="E575" s="164"/>
      <c r="F575" s="164"/>
      <c r="G575" s="164"/>
      <c r="H575" s="164"/>
      <c r="I575" s="164"/>
      <c r="J575" s="164"/>
      <c r="K575" s="164">
        <v>0</v>
      </c>
      <c r="L575" s="162">
        <v>0</v>
      </c>
      <c r="M575" s="164">
        <v>0</v>
      </c>
      <c r="N575" s="164">
        <v>0</v>
      </c>
      <c r="O575" s="164">
        <v>0</v>
      </c>
      <c r="P575" s="162">
        <v>0</v>
      </c>
      <c r="Q575" s="164">
        <v>0</v>
      </c>
      <c r="R575" s="164">
        <v>1641</v>
      </c>
      <c r="S575" s="164">
        <v>1535065.47</v>
      </c>
      <c r="T575" s="165">
        <v>0</v>
      </c>
      <c r="U575" s="246">
        <v>0</v>
      </c>
      <c r="V575" s="241">
        <f>C575-'часть 1'!L586</f>
        <v>-7844587.5300000003</v>
      </c>
      <c r="W575" s="241"/>
      <c r="X575" s="241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254"/>
    </row>
    <row r="576" spans="1:35" customFormat="1">
      <c r="A576" s="166">
        <v>15</v>
      </c>
      <c r="B576" s="163" t="s">
        <v>330</v>
      </c>
      <c r="C576" s="164">
        <v>930534</v>
      </c>
      <c r="D576" s="164"/>
      <c r="E576" s="164"/>
      <c r="F576" s="164"/>
      <c r="G576" s="164"/>
      <c r="H576" s="164"/>
      <c r="I576" s="164"/>
      <c r="J576" s="164"/>
      <c r="K576" s="164">
        <v>930534</v>
      </c>
      <c r="L576" s="162">
        <v>0</v>
      </c>
      <c r="M576" s="164">
        <v>0</v>
      </c>
      <c r="N576" s="164">
        <v>0</v>
      </c>
      <c r="O576" s="164">
        <v>0</v>
      </c>
      <c r="P576" s="162">
        <v>0</v>
      </c>
      <c r="Q576" s="164">
        <v>0</v>
      </c>
      <c r="R576" s="168">
        <v>0</v>
      </c>
      <c r="S576" s="164">
        <v>0</v>
      </c>
      <c r="T576" s="165">
        <v>0</v>
      </c>
      <c r="U576" s="246">
        <v>0</v>
      </c>
      <c r="V576" s="241">
        <f>C576-'часть 1'!L587</f>
        <v>-2833222</v>
      </c>
      <c r="W576" s="241"/>
      <c r="X576" s="241"/>
      <c r="Y576" s="3"/>
      <c r="Z576" s="9"/>
      <c r="AA576" s="9"/>
      <c r="AB576" s="9"/>
      <c r="AC576" s="9"/>
      <c r="AD576" s="9"/>
      <c r="AE576" s="9"/>
      <c r="AF576" s="9"/>
      <c r="AG576" s="9"/>
      <c r="AH576" s="9"/>
      <c r="AI576" s="254"/>
    </row>
    <row r="577" spans="1:49" customFormat="1">
      <c r="A577" s="166">
        <v>16</v>
      </c>
      <c r="B577" s="163" t="s">
        <v>328</v>
      </c>
      <c r="C577" s="164">
        <v>662518</v>
      </c>
      <c r="D577" s="164"/>
      <c r="E577" s="164"/>
      <c r="F577" s="164"/>
      <c r="G577" s="164"/>
      <c r="H577" s="164"/>
      <c r="I577" s="164"/>
      <c r="J577" s="164"/>
      <c r="K577" s="164">
        <v>0</v>
      </c>
      <c r="L577" s="162">
        <v>0</v>
      </c>
      <c r="M577" s="164">
        <v>0</v>
      </c>
      <c r="N577" s="164">
        <v>0</v>
      </c>
      <c r="O577" s="164">
        <v>0</v>
      </c>
      <c r="P577" s="164">
        <v>682</v>
      </c>
      <c r="Q577" s="164">
        <f>C577</f>
        <v>662518</v>
      </c>
      <c r="R577" s="165">
        <v>0</v>
      </c>
      <c r="S577" s="164">
        <v>0</v>
      </c>
      <c r="T577" s="165">
        <v>0</v>
      </c>
      <c r="U577" s="246">
        <v>0</v>
      </c>
      <c r="V577" s="241">
        <f>C577-'часть 1'!L588</f>
        <v>-433294</v>
      </c>
      <c r="W577" s="241"/>
      <c r="X577" s="241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254"/>
    </row>
    <row r="578" spans="1:49" customFormat="1">
      <c r="A578" s="166">
        <v>17</v>
      </c>
      <c r="B578" s="163" t="s">
        <v>333</v>
      </c>
      <c r="C578" s="164">
        <v>2346663</v>
      </c>
      <c r="D578" s="164"/>
      <c r="E578" s="164"/>
      <c r="F578" s="164"/>
      <c r="G578" s="164"/>
      <c r="H578" s="164"/>
      <c r="I578" s="164"/>
      <c r="J578" s="164"/>
      <c r="K578" s="164">
        <v>2346663</v>
      </c>
      <c r="L578" s="162">
        <v>0</v>
      </c>
      <c r="M578" s="164">
        <v>0</v>
      </c>
      <c r="N578" s="167">
        <v>0</v>
      </c>
      <c r="O578" s="164">
        <v>0</v>
      </c>
      <c r="P578" s="162">
        <v>0</v>
      </c>
      <c r="Q578" s="164">
        <v>0</v>
      </c>
      <c r="R578" s="168">
        <v>0</v>
      </c>
      <c r="S578" s="164">
        <v>0</v>
      </c>
      <c r="T578" s="165">
        <v>0</v>
      </c>
      <c r="U578" s="246">
        <v>0</v>
      </c>
      <c r="V578" s="241">
        <f>C578-'часть 1'!L589</f>
        <v>-3272478</v>
      </c>
      <c r="W578" s="241"/>
      <c r="X578" s="241"/>
      <c r="Y578" s="9"/>
      <c r="Z578" s="9"/>
      <c r="AA578" s="9"/>
      <c r="AB578" s="9"/>
      <c r="AC578" s="9"/>
      <c r="AD578" s="9"/>
      <c r="AE578" s="12"/>
      <c r="AF578" s="9"/>
      <c r="AG578" s="9"/>
      <c r="AH578" s="9"/>
      <c r="AI578" s="254"/>
    </row>
    <row r="579" spans="1:49" customFormat="1">
      <c r="A579" s="166">
        <v>18</v>
      </c>
      <c r="B579" s="163" t="s">
        <v>331</v>
      </c>
      <c r="C579" s="164">
        <v>727019</v>
      </c>
      <c r="D579" s="164"/>
      <c r="E579" s="164"/>
      <c r="F579" s="164"/>
      <c r="G579" s="164"/>
      <c r="H579" s="164"/>
      <c r="I579" s="164"/>
      <c r="J579" s="164"/>
      <c r="K579" s="164">
        <v>727019</v>
      </c>
      <c r="L579" s="162">
        <v>0</v>
      </c>
      <c r="M579" s="164">
        <v>0</v>
      </c>
      <c r="N579" s="164">
        <v>0</v>
      </c>
      <c r="O579" s="164">
        <v>0</v>
      </c>
      <c r="P579" s="162">
        <v>0</v>
      </c>
      <c r="Q579" s="164">
        <v>0</v>
      </c>
      <c r="R579" s="168">
        <v>0</v>
      </c>
      <c r="S579" s="164">
        <v>0</v>
      </c>
      <c r="T579" s="165">
        <v>0</v>
      </c>
      <c r="U579" s="246">
        <v>0</v>
      </c>
      <c r="V579" s="241">
        <f>C579-'часть 1'!L590</f>
        <v>-3021369</v>
      </c>
      <c r="W579" s="241"/>
      <c r="X579" s="241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254"/>
    </row>
    <row r="580" spans="1:49" customFormat="1">
      <c r="A580" s="166">
        <v>19</v>
      </c>
      <c r="B580" s="163" t="s">
        <v>329</v>
      </c>
      <c r="C580" s="164">
        <v>538121</v>
      </c>
      <c r="D580" s="164"/>
      <c r="E580" s="164"/>
      <c r="F580" s="164"/>
      <c r="G580" s="164"/>
      <c r="H580" s="164"/>
      <c r="I580" s="164"/>
      <c r="J580" s="164"/>
      <c r="K580" s="164">
        <v>538121</v>
      </c>
      <c r="L580" s="162">
        <v>0</v>
      </c>
      <c r="M580" s="164">
        <v>0</v>
      </c>
      <c r="N580" s="164">
        <v>0</v>
      </c>
      <c r="O580" s="164">
        <v>0</v>
      </c>
      <c r="P580" s="162">
        <v>0</v>
      </c>
      <c r="Q580" s="164">
        <v>0</v>
      </c>
      <c r="R580" s="165">
        <v>0</v>
      </c>
      <c r="S580" s="164">
        <v>0</v>
      </c>
      <c r="T580" s="165">
        <v>0</v>
      </c>
      <c r="U580" s="246">
        <v>0</v>
      </c>
      <c r="V580" s="241">
        <f>C580-'часть 1'!L591</f>
        <v>-14619627</v>
      </c>
      <c r="W580" s="241"/>
      <c r="X580" s="241"/>
      <c r="Y580" s="3"/>
      <c r="Z580" s="9"/>
      <c r="AA580" s="9"/>
      <c r="AB580" s="9"/>
      <c r="AC580" s="9"/>
      <c r="AD580" s="9"/>
      <c r="AE580" s="9"/>
      <c r="AF580" s="9"/>
      <c r="AG580" s="9"/>
      <c r="AH580" s="9"/>
      <c r="AI580" s="254"/>
    </row>
    <row r="581" spans="1:49" customFormat="1">
      <c r="A581" s="166">
        <v>20</v>
      </c>
      <c r="B581" s="163" t="s">
        <v>332</v>
      </c>
      <c r="C581" s="164">
        <v>1756852</v>
      </c>
      <c r="D581" s="164"/>
      <c r="E581" s="164"/>
      <c r="F581" s="164"/>
      <c r="G581" s="164"/>
      <c r="H581" s="164"/>
      <c r="I581" s="164"/>
      <c r="J581" s="164"/>
      <c r="K581" s="164">
        <v>0</v>
      </c>
      <c r="L581" s="162">
        <v>0</v>
      </c>
      <c r="M581" s="164">
        <v>0</v>
      </c>
      <c r="N581" s="164">
        <v>891</v>
      </c>
      <c r="O581" s="164">
        <v>1756852</v>
      </c>
      <c r="P581" s="162">
        <v>0</v>
      </c>
      <c r="Q581" s="164">
        <v>0</v>
      </c>
      <c r="R581" s="165">
        <v>0</v>
      </c>
      <c r="S581" s="164">
        <v>0</v>
      </c>
      <c r="T581" s="165">
        <v>0</v>
      </c>
      <c r="U581" s="246">
        <v>0</v>
      </c>
      <c r="V581" s="241">
        <f>C581-'часть 1'!L592</f>
        <v>726639</v>
      </c>
      <c r="W581" s="241"/>
      <c r="X581" s="241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254"/>
    </row>
    <row r="582" spans="1:49" customFormat="1">
      <c r="A582" s="166">
        <v>21</v>
      </c>
      <c r="B582" s="163" t="s">
        <v>316</v>
      </c>
      <c r="C582" s="164">
        <v>676398.28</v>
      </c>
      <c r="D582" s="164"/>
      <c r="E582" s="164"/>
      <c r="F582" s="164"/>
      <c r="G582" s="164"/>
      <c r="H582" s="164"/>
      <c r="I582" s="164"/>
      <c r="J582" s="164"/>
      <c r="K582" s="164">
        <v>0</v>
      </c>
      <c r="L582" s="162">
        <v>0</v>
      </c>
      <c r="M582" s="164">
        <v>0</v>
      </c>
      <c r="N582" s="164">
        <v>0</v>
      </c>
      <c r="O582" s="164">
        <v>0</v>
      </c>
      <c r="P582" s="162">
        <v>0</v>
      </c>
      <c r="Q582" s="164">
        <v>0</v>
      </c>
      <c r="R582" s="164">
        <v>1444</v>
      </c>
      <c r="S582" s="164">
        <v>676398.28</v>
      </c>
      <c r="T582" s="165">
        <v>0</v>
      </c>
      <c r="U582" s="246">
        <v>0</v>
      </c>
      <c r="V582" s="241">
        <f>C582-'часть 1'!L593</f>
        <v>145933.28000000003</v>
      </c>
      <c r="W582" s="241"/>
      <c r="X582" s="241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254"/>
    </row>
    <row r="583" spans="1:49" customFormat="1">
      <c r="A583" s="166">
        <v>22</v>
      </c>
      <c r="B583" s="163" t="s">
        <v>313</v>
      </c>
      <c r="C583" s="164">
        <v>766539</v>
      </c>
      <c r="D583" s="164"/>
      <c r="E583" s="164"/>
      <c r="F583" s="164"/>
      <c r="G583" s="164"/>
      <c r="H583" s="164"/>
      <c r="I583" s="164"/>
      <c r="J583" s="164"/>
      <c r="K583" s="164">
        <v>0</v>
      </c>
      <c r="L583" s="162">
        <v>0</v>
      </c>
      <c r="M583" s="164">
        <v>0</v>
      </c>
      <c r="N583" s="164">
        <v>378.5</v>
      </c>
      <c r="O583" s="164">
        <v>766539</v>
      </c>
      <c r="P583" s="162">
        <v>0</v>
      </c>
      <c r="Q583" s="164">
        <v>0</v>
      </c>
      <c r="R583" s="165">
        <v>0</v>
      </c>
      <c r="S583" s="164">
        <v>0</v>
      </c>
      <c r="T583" s="165">
        <v>0</v>
      </c>
      <c r="U583" s="246">
        <v>0</v>
      </c>
      <c r="V583" s="241">
        <f>C583-'часть 1'!L594</f>
        <v>-1217315</v>
      </c>
      <c r="W583" s="241"/>
      <c r="X583" s="241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254"/>
    </row>
    <row r="584" spans="1:49" customFormat="1">
      <c r="A584" s="166">
        <v>23</v>
      </c>
      <c r="B584" s="163" t="s">
        <v>312</v>
      </c>
      <c r="C584" s="164">
        <v>1186114</v>
      </c>
      <c r="D584" s="164"/>
      <c r="E584" s="164"/>
      <c r="F584" s="164"/>
      <c r="G584" s="164"/>
      <c r="H584" s="164"/>
      <c r="I584" s="164"/>
      <c r="J584" s="164"/>
      <c r="K584" s="164">
        <v>0</v>
      </c>
      <c r="L584" s="162">
        <v>0</v>
      </c>
      <c r="M584" s="164">
        <v>0</v>
      </c>
      <c r="N584" s="164">
        <v>586.29999999999995</v>
      </c>
      <c r="O584" s="164">
        <v>1186114</v>
      </c>
      <c r="P584" s="162">
        <v>0</v>
      </c>
      <c r="Q584" s="164">
        <v>0</v>
      </c>
      <c r="R584" s="165">
        <v>0</v>
      </c>
      <c r="S584" s="164">
        <v>0</v>
      </c>
      <c r="T584" s="165">
        <v>0</v>
      </c>
      <c r="U584" s="246">
        <v>0</v>
      </c>
      <c r="V584" s="241">
        <f>C584-'часть 1'!L595</f>
        <v>-20190</v>
      </c>
      <c r="W584" s="241"/>
      <c r="X584" s="241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254"/>
    </row>
    <row r="585" spans="1:49" customFormat="1">
      <c r="A585" s="166">
        <v>24</v>
      </c>
      <c r="B585" s="163" t="s">
        <v>311</v>
      </c>
      <c r="C585" s="164">
        <v>178272.59</v>
      </c>
      <c r="D585" s="164"/>
      <c r="E585" s="164"/>
      <c r="F585" s="164"/>
      <c r="G585" s="164"/>
      <c r="H585" s="164"/>
      <c r="I585" s="164"/>
      <c r="J585" s="164"/>
      <c r="K585" s="164">
        <v>178272.59</v>
      </c>
      <c r="L585" s="162">
        <v>0</v>
      </c>
      <c r="M585" s="164">
        <v>0</v>
      </c>
      <c r="N585" s="167">
        <v>0</v>
      </c>
      <c r="O585" s="164">
        <v>0</v>
      </c>
      <c r="P585" s="162">
        <v>0</v>
      </c>
      <c r="Q585" s="164">
        <v>0</v>
      </c>
      <c r="R585" s="168">
        <v>0</v>
      </c>
      <c r="S585" s="164">
        <v>0</v>
      </c>
      <c r="T585" s="165">
        <v>0</v>
      </c>
      <c r="U585" s="246">
        <v>0</v>
      </c>
      <c r="V585" s="241">
        <f>C585-'часть 1'!L596</f>
        <v>-224257.61000000002</v>
      </c>
      <c r="W585" s="241"/>
      <c r="X585" s="241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254"/>
    </row>
    <row r="586" spans="1:49" customFormat="1">
      <c r="A586" s="166">
        <v>25</v>
      </c>
      <c r="B586" s="163" t="s">
        <v>315</v>
      </c>
      <c r="C586" s="164">
        <v>1087116</v>
      </c>
      <c r="D586" s="164"/>
      <c r="E586" s="164"/>
      <c r="F586" s="164"/>
      <c r="G586" s="164"/>
      <c r="H586" s="164"/>
      <c r="I586" s="164"/>
      <c r="J586" s="164"/>
      <c r="K586" s="164" t="e">
        <f>#REF!</f>
        <v>#REF!</v>
      </c>
      <c r="L586" s="162">
        <v>0</v>
      </c>
      <c r="M586" s="164">
        <v>0</v>
      </c>
      <c r="N586" s="164">
        <v>0</v>
      </c>
      <c r="O586" s="164">
        <v>0</v>
      </c>
      <c r="P586" s="162">
        <v>0</v>
      </c>
      <c r="Q586" s="164">
        <v>0</v>
      </c>
      <c r="R586" s="165">
        <v>0</v>
      </c>
      <c r="S586" s="164">
        <v>0</v>
      </c>
      <c r="T586" s="165">
        <v>0</v>
      </c>
      <c r="U586" s="246">
        <v>0</v>
      </c>
      <c r="V586" s="241">
        <f>C586-'часть 1'!L597</f>
        <v>-1774381</v>
      </c>
      <c r="W586" s="241"/>
      <c r="X586" s="241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254"/>
    </row>
    <row r="587" spans="1:49" customFormat="1">
      <c r="A587" s="166">
        <v>26</v>
      </c>
      <c r="B587" s="163" t="s">
        <v>351</v>
      </c>
      <c r="C587" s="164">
        <v>1411363</v>
      </c>
      <c r="D587" s="164"/>
      <c r="E587" s="164"/>
      <c r="F587" s="164"/>
      <c r="G587" s="164"/>
      <c r="H587" s="164"/>
      <c r="I587" s="164"/>
      <c r="J587" s="164"/>
      <c r="K587" s="164">
        <v>0</v>
      </c>
      <c r="L587" s="162">
        <v>0</v>
      </c>
      <c r="M587" s="164">
        <v>0</v>
      </c>
      <c r="N587" s="164">
        <v>702</v>
      </c>
      <c r="O587" s="164">
        <v>1411363</v>
      </c>
      <c r="P587" s="162">
        <v>0</v>
      </c>
      <c r="Q587" s="164">
        <v>0</v>
      </c>
      <c r="R587" s="165">
        <v>0</v>
      </c>
      <c r="S587" s="164">
        <v>0</v>
      </c>
      <c r="T587" s="165">
        <v>0</v>
      </c>
      <c r="U587" s="246">
        <v>0</v>
      </c>
      <c r="V587" s="241">
        <f>C587-'часть 1'!L598</f>
        <v>-123702.46999999997</v>
      </c>
      <c r="W587" s="241"/>
      <c r="X587" s="241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254"/>
    </row>
    <row r="588" spans="1:49" customFormat="1">
      <c r="A588" s="166">
        <v>27</v>
      </c>
      <c r="B588" s="163" t="s">
        <v>314</v>
      </c>
      <c r="C588" s="164">
        <v>1136666</v>
      </c>
      <c r="D588" s="164"/>
      <c r="E588" s="164"/>
      <c r="F588" s="164"/>
      <c r="G588" s="164"/>
      <c r="H588" s="164"/>
      <c r="I588" s="164"/>
      <c r="J588" s="164"/>
      <c r="K588" s="164">
        <v>0</v>
      </c>
      <c r="L588" s="162">
        <v>0</v>
      </c>
      <c r="M588" s="164">
        <v>0</v>
      </c>
      <c r="N588" s="164">
        <v>552</v>
      </c>
      <c r="O588" s="164">
        <v>1136666</v>
      </c>
      <c r="P588" s="162">
        <v>0</v>
      </c>
      <c r="Q588" s="164">
        <v>0</v>
      </c>
      <c r="R588" s="168">
        <v>0</v>
      </c>
      <c r="S588" s="164">
        <v>0</v>
      </c>
      <c r="T588" s="165">
        <v>0</v>
      </c>
      <c r="U588" s="246">
        <v>0</v>
      </c>
      <c r="V588" s="241">
        <f>C588-'часть 1'!L599</f>
        <v>206132</v>
      </c>
      <c r="W588" s="241"/>
      <c r="X588" s="241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254"/>
    </row>
    <row r="589" spans="1:49" customFormat="1">
      <c r="A589" s="166">
        <v>28</v>
      </c>
      <c r="B589" s="163" t="s">
        <v>369</v>
      </c>
      <c r="C589" s="164">
        <v>1385674</v>
      </c>
      <c r="D589" s="164"/>
      <c r="E589" s="164"/>
      <c r="F589" s="164"/>
      <c r="G589" s="164"/>
      <c r="H589" s="164"/>
      <c r="I589" s="164"/>
      <c r="J589" s="164"/>
      <c r="K589" s="164">
        <v>1385674</v>
      </c>
      <c r="L589" s="162">
        <v>0</v>
      </c>
      <c r="M589" s="164">
        <v>0</v>
      </c>
      <c r="N589" s="164">
        <v>0</v>
      </c>
      <c r="O589" s="164">
        <v>0</v>
      </c>
      <c r="P589" s="162">
        <v>0</v>
      </c>
      <c r="Q589" s="164">
        <v>0</v>
      </c>
      <c r="R589" s="165">
        <v>0</v>
      </c>
      <c r="S589" s="164">
        <v>0</v>
      </c>
      <c r="T589" s="165">
        <v>0</v>
      </c>
      <c r="U589" s="246">
        <v>0</v>
      </c>
      <c r="V589" s="241">
        <f>C589-'часть 1'!L600</f>
        <v>723156</v>
      </c>
      <c r="W589" s="241"/>
      <c r="X589" s="241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254"/>
    </row>
    <row r="590" spans="1:49" customFormat="1">
      <c r="A590" s="166">
        <v>29</v>
      </c>
      <c r="B590" s="163" t="s">
        <v>370</v>
      </c>
      <c r="C590" s="164">
        <v>4619990</v>
      </c>
      <c r="D590" s="164"/>
      <c r="E590" s="164"/>
      <c r="F590" s="164"/>
      <c r="G590" s="164"/>
      <c r="H590" s="164"/>
      <c r="I590" s="164"/>
      <c r="J590" s="164"/>
      <c r="K590" s="164">
        <v>0</v>
      </c>
      <c r="L590" s="162">
        <v>0</v>
      </c>
      <c r="M590" s="164">
        <v>0</v>
      </c>
      <c r="N590" s="164">
        <v>2319</v>
      </c>
      <c r="O590" s="164">
        <v>4619990</v>
      </c>
      <c r="P590" s="162">
        <v>0</v>
      </c>
      <c r="Q590" s="164">
        <v>0</v>
      </c>
      <c r="R590" s="168">
        <v>0</v>
      </c>
      <c r="S590" s="164">
        <v>0</v>
      </c>
      <c r="T590" s="165">
        <v>0</v>
      </c>
      <c r="U590" s="246">
        <v>0</v>
      </c>
      <c r="V590" s="241">
        <f>C590-'часть 1'!L601</f>
        <v>2273327</v>
      </c>
      <c r="W590" s="241"/>
      <c r="X590" s="241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254"/>
    </row>
    <row r="591" spans="1:49" customFormat="1">
      <c r="A591" s="166">
        <v>30</v>
      </c>
      <c r="B591" s="163" t="s">
        <v>373</v>
      </c>
      <c r="C591" s="164">
        <v>1865304</v>
      </c>
      <c r="D591" s="164"/>
      <c r="E591" s="164"/>
      <c r="F591" s="164"/>
      <c r="G591" s="164"/>
      <c r="H591" s="164"/>
      <c r="I591" s="164"/>
      <c r="J591" s="164"/>
      <c r="K591" s="164">
        <v>0</v>
      </c>
      <c r="L591" s="162">
        <v>0</v>
      </c>
      <c r="M591" s="164">
        <v>0</v>
      </c>
      <c r="N591" s="164">
        <v>924</v>
      </c>
      <c r="O591" s="164">
        <v>1865304</v>
      </c>
      <c r="P591" s="162">
        <v>0</v>
      </c>
      <c r="Q591" s="164">
        <v>0</v>
      </c>
      <c r="R591" s="165">
        <v>0</v>
      </c>
      <c r="S591" s="164">
        <v>0</v>
      </c>
      <c r="T591" s="165">
        <v>0</v>
      </c>
      <c r="U591" s="246">
        <v>0</v>
      </c>
      <c r="V591" s="241">
        <f>C591-'часть 1'!L602</f>
        <v>1138285</v>
      </c>
      <c r="W591" s="241"/>
      <c r="X591" s="241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254"/>
    </row>
    <row r="592" spans="1:49" customFormat="1">
      <c r="A592" s="166">
        <v>31</v>
      </c>
      <c r="B592" s="163" t="s">
        <v>381</v>
      </c>
      <c r="C592" s="164">
        <v>1870910</v>
      </c>
      <c r="D592" s="164"/>
      <c r="E592" s="164"/>
      <c r="F592" s="164"/>
      <c r="G592" s="164"/>
      <c r="H592" s="164"/>
      <c r="I592" s="164"/>
      <c r="J592" s="164"/>
      <c r="K592" s="164">
        <v>0</v>
      </c>
      <c r="L592" s="162">
        <v>0</v>
      </c>
      <c r="M592" s="164">
        <v>0</v>
      </c>
      <c r="N592" s="164">
        <v>946.3</v>
      </c>
      <c r="O592" s="164">
        <v>1870910</v>
      </c>
      <c r="P592" s="162">
        <v>0</v>
      </c>
      <c r="Q592" s="164">
        <v>0</v>
      </c>
      <c r="R592" s="165">
        <v>0</v>
      </c>
      <c r="S592" s="164">
        <v>0</v>
      </c>
      <c r="T592" s="165">
        <v>0</v>
      </c>
      <c r="U592" s="246">
        <v>0</v>
      </c>
      <c r="V592" s="241">
        <f>C592-'часть 1'!L603</f>
        <v>1332789</v>
      </c>
      <c r="W592" s="241"/>
      <c r="X592" s="241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254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</row>
    <row r="593" spans="1:49" customFormat="1">
      <c r="A593" s="166">
        <v>32</v>
      </c>
      <c r="B593" s="163" t="s">
        <v>382</v>
      </c>
      <c r="C593" s="164">
        <v>1533757</v>
      </c>
      <c r="D593" s="164"/>
      <c r="E593" s="164"/>
      <c r="F593" s="164"/>
      <c r="G593" s="164"/>
      <c r="H593" s="164"/>
      <c r="I593" s="164"/>
      <c r="J593" s="164"/>
      <c r="K593" s="164">
        <v>0</v>
      </c>
      <c r="L593" s="162">
        <v>0</v>
      </c>
      <c r="M593" s="164">
        <v>0</v>
      </c>
      <c r="N593" s="164">
        <v>772.9</v>
      </c>
      <c r="O593" s="164">
        <v>1533757</v>
      </c>
      <c r="P593" s="162">
        <v>0</v>
      </c>
      <c r="Q593" s="164">
        <v>0</v>
      </c>
      <c r="R593" s="165">
        <v>0</v>
      </c>
      <c r="S593" s="164">
        <v>0</v>
      </c>
      <c r="T593" s="165">
        <v>0</v>
      </c>
      <c r="U593" s="246">
        <v>0</v>
      </c>
      <c r="V593" s="241">
        <f>C593-'часть 1'!L604</f>
        <v>-223095</v>
      </c>
      <c r="W593" s="241"/>
      <c r="X593" s="241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254"/>
    </row>
    <row r="594" spans="1:49">
      <c r="A594" s="162">
        <v>33</v>
      </c>
      <c r="B594" s="163" t="s">
        <v>371</v>
      </c>
      <c r="C594" s="164">
        <v>939858</v>
      </c>
      <c r="D594" s="164"/>
      <c r="E594" s="164"/>
      <c r="F594" s="164"/>
      <c r="G594" s="164"/>
      <c r="H594" s="164"/>
      <c r="I594" s="164"/>
      <c r="J594" s="164"/>
      <c r="K594" s="164">
        <v>939858</v>
      </c>
      <c r="L594" s="162">
        <v>0</v>
      </c>
      <c r="M594" s="164">
        <v>0</v>
      </c>
      <c r="N594" s="164">
        <v>0</v>
      </c>
      <c r="O594" s="164">
        <v>0</v>
      </c>
      <c r="P594" s="162">
        <v>0</v>
      </c>
      <c r="Q594" s="164">
        <v>0</v>
      </c>
      <c r="R594" s="168">
        <v>0</v>
      </c>
      <c r="S594" s="164">
        <v>0</v>
      </c>
      <c r="T594" s="165">
        <v>0</v>
      </c>
      <c r="U594" s="246">
        <v>0</v>
      </c>
      <c r="V594" s="241">
        <f>C594-'часть 1'!L605</f>
        <v>263459.71999999997</v>
      </c>
      <c r="W594" s="241"/>
      <c r="X594" s="241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25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</row>
    <row r="595" spans="1:49" customFormat="1">
      <c r="A595" s="166">
        <v>34</v>
      </c>
      <c r="B595" s="163" t="s">
        <v>377</v>
      </c>
      <c r="C595" s="164">
        <v>2368392</v>
      </c>
      <c r="D595" s="164"/>
      <c r="E595" s="164"/>
      <c r="F595" s="164"/>
      <c r="G595" s="164"/>
      <c r="H595" s="164"/>
      <c r="I595" s="164"/>
      <c r="J595" s="164"/>
      <c r="K595" s="164">
        <v>0</v>
      </c>
      <c r="L595" s="162">
        <v>0</v>
      </c>
      <c r="M595" s="164">
        <v>0</v>
      </c>
      <c r="N595" s="164">
        <v>1200</v>
      </c>
      <c r="O595" s="167">
        <v>2368392</v>
      </c>
      <c r="P595" s="162">
        <v>0</v>
      </c>
      <c r="Q595" s="164">
        <v>0</v>
      </c>
      <c r="R595" s="165">
        <v>0</v>
      </c>
      <c r="S595" s="164">
        <v>0</v>
      </c>
      <c r="T595" s="165">
        <v>0</v>
      </c>
      <c r="U595" s="246">
        <v>0</v>
      </c>
      <c r="V595" s="241">
        <f>C595-'часть 1'!L606</f>
        <v>1601853</v>
      </c>
      <c r="W595" s="241"/>
      <c r="X595" s="241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254"/>
    </row>
    <row r="596" spans="1:49" customFormat="1">
      <c r="A596" s="166">
        <v>35</v>
      </c>
      <c r="B596" s="163" t="s">
        <v>378</v>
      </c>
      <c r="C596" s="164">
        <v>2433930.91</v>
      </c>
      <c r="D596" s="164"/>
      <c r="E596" s="164"/>
      <c r="F596" s="164"/>
      <c r="G596" s="164"/>
      <c r="H596" s="164"/>
      <c r="I596" s="164"/>
      <c r="J596" s="164"/>
      <c r="K596" s="164">
        <v>1478520.9100000001</v>
      </c>
      <c r="L596" s="162">
        <v>0</v>
      </c>
      <c r="M596" s="164">
        <v>0</v>
      </c>
      <c r="N596" s="164">
        <v>526.79999999999995</v>
      </c>
      <c r="O596" s="164">
        <v>955410</v>
      </c>
      <c r="P596" s="162">
        <v>0</v>
      </c>
      <c r="Q596" s="164">
        <v>0</v>
      </c>
      <c r="R596" s="168">
        <v>0</v>
      </c>
      <c r="S596" s="164">
        <v>0</v>
      </c>
      <c r="T596" s="165">
        <v>0</v>
      </c>
      <c r="U596" s="246">
        <v>0</v>
      </c>
      <c r="V596" s="241">
        <f>C596-'часть 1'!L607</f>
        <v>1247816.9100000001</v>
      </c>
      <c r="W596" s="241"/>
      <c r="X596" s="241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254"/>
    </row>
    <row r="597" spans="1:49" customFormat="1">
      <c r="A597" s="166">
        <v>36</v>
      </c>
      <c r="B597" s="163" t="s">
        <v>383</v>
      </c>
      <c r="C597" s="164">
        <v>1721850</v>
      </c>
      <c r="D597" s="164"/>
      <c r="E597" s="164"/>
      <c r="F597" s="164"/>
      <c r="G597" s="164"/>
      <c r="H597" s="164"/>
      <c r="I597" s="164"/>
      <c r="J597" s="164"/>
      <c r="K597" s="164">
        <v>0</v>
      </c>
      <c r="L597" s="162">
        <v>0</v>
      </c>
      <c r="M597" s="164">
        <v>0</v>
      </c>
      <c r="N597" s="164">
        <v>868.68</v>
      </c>
      <c r="O597" s="164">
        <v>1721850</v>
      </c>
      <c r="P597" s="162">
        <v>0</v>
      </c>
      <c r="Q597" s="164">
        <v>0</v>
      </c>
      <c r="R597" s="165">
        <v>0</v>
      </c>
      <c r="S597" s="164">
        <v>0</v>
      </c>
      <c r="T597" s="165">
        <v>0</v>
      </c>
      <c r="U597" s="246">
        <v>0</v>
      </c>
      <c r="V597" s="241">
        <f>C597-'часть 1'!L608</f>
        <v>1543577.41</v>
      </c>
      <c r="W597" s="241"/>
      <c r="X597" s="241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254"/>
    </row>
    <row r="598" spans="1:49" customFormat="1">
      <c r="A598" s="166">
        <v>37</v>
      </c>
      <c r="B598" s="163" t="s">
        <v>368</v>
      </c>
      <c r="C598" s="164">
        <v>814117</v>
      </c>
      <c r="D598" s="164"/>
      <c r="E598" s="164"/>
      <c r="F598" s="164"/>
      <c r="G598" s="164"/>
      <c r="H598" s="164"/>
      <c r="I598" s="164"/>
      <c r="J598" s="164"/>
      <c r="K598" s="164">
        <v>814117</v>
      </c>
      <c r="L598" s="162">
        <v>0</v>
      </c>
      <c r="M598" s="164">
        <v>0</v>
      </c>
      <c r="N598" s="164">
        <v>0</v>
      </c>
      <c r="O598" s="164">
        <v>0</v>
      </c>
      <c r="P598" s="162">
        <v>0</v>
      </c>
      <c r="Q598" s="164">
        <v>0</v>
      </c>
      <c r="R598" s="165">
        <v>0</v>
      </c>
      <c r="S598" s="164">
        <v>0</v>
      </c>
      <c r="T598" s="165">
        <v>0</v>
      </c>
      <c r="U598" s="246">
        <v>0</v>
      </c>
      <c r="V598" s="241">
        <f>C598-'часть 1'!L609</f>
        <v>-272999</v>
      </c>
      <c r="W598" s="241"/>
      <c r="X598" s="241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254"/>
    </row>
    <row r="599" spans="1:49" customFormat="1">
      <c r="A599" s="166">
        <v>38</v>
      </c>
      <c r="B599" s="163" t="s">
        <v>375</v>
      </c>
      <c r="C599" s="164">
        <v>3045081</v>
      </c>
      <c r="D599" s="164"/>
      <c r="E599" s="164"/>
      <c r="F599" s="164"/>
      <c r="G599" s="164"/>
      <c r="H599" s="164"/>
      <c r="I599" s="164"/>
      <c r="J599" s="164"/>
      <c r="K599" s="164">
        <v>0</v>
      </c>
      <c r="L599" s="162">
        <v>0</v>
      </c>
      <c r="M599" s="164">
        <v>0</v>
      </c>
      <c r="N599" s="164">
        <v>0</v>
      </c>
      <c r="O599" s="164">
        <v>0</v>
      </c>
      <c r="P599" s="162">
        <v>0</v>
      </c>
      <c r="Q599" s="164">
        <v>0</v>
      </c>
      <c r="R599" s="164">
        <v>2108</v>
      </c>
      <c r="S599" s="164">
        <v>3045081</v>
      </c>
      <c r="T599" s="165">
        <v>0</v>
      </c>
      <c r="U599" s="246">
        <v>0</v>
      </c>
      <c r="V599" s="241">
        <f>C599-'часть 1'!L610</f>
        <v>1633718</v>
      </c>
      <c r="W599" s="241"/>
      <c r="X599" s="241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254"/>
    </row>
    <row r="600" spans="1:49" customFormat="1">
      <c r="A600" s="166">
        <v>39</v>
      </c>
      <c r="B600" s="163" t="s">
        <v>380</v>
      </c>
      <c r="C600" s="164">
        <v>2244806</v>
      </c>
      <c r="D600" s="164"/>
      <c r="E600" s="164"/>
      <c r="F600" s="164"/>
      <c r="G600" s="164"/>
      <c r="H600" s="164"/>
      <c r="I600" s="164"/>
      <c r="J600" s="164"/>
      <c r="K600" s="164">
        <v>0</v>
      </c>
      <c r="L600" s="162">
        <v>0</v>
      </c>
      <c r="M600" s="164">
        <v>0</v>
      </c>
      <c r="N600" s="167">
        <v>1120</v>
      </c>
      <c r="O600" s="164">
        <v>2244806</v>
      </c>
      <c r="P600" s="162">
        <v>0</v>
      </c>
      <c r="Q600" s="164">
        <v>0</v>
      </c>
      <c r="R600" s="168">
        <v>0</v>
      </c>
      <c r="S600" s="164">
        <v>0</v>
      </c>
      <c r="T600" s="165">
        <v>0</v>
      </c>
      <c r="U600" s="246">
        <v>0</v>
      </c>
      <c r="V600" s="241">
        <f>C600-'часть 1'!L611</f>
        <v>1108140</v>
      </c>
      <c r="W600" s="241"/>
      <c r="X600" s="241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254"/>
    </row>
    <row r="601" spans="1:49" customFormat="1">
      <c r="A601" s="166">
        <v>40</v>
      </c>
      <c r="B601" s="163" t="s">
        <v>374</v>
      </c>
      <c r="C601" s="164">
        <v>1361273</v>
      </c>
      <c r="D601" s="164"/>
      <c r="E601" s="164"/>
      <c r="F601" s="164"/>
      <c r="G601" s="164"/>
      <c r="H601" s="164"/>
      <c r="I601" s="164"/>
      <c r="J601" s="164"/>
      <c r="K601" s="164">
        <v>347471</v>
      </c>
      <c r="L601" s="162">
        <v>0</v>
      </c>
      <c r="M601" s="164">
        <v>0</v>
      </c>
      <c r="N601" s="164">
        <v>0</v>
      </c>
      <c r="O601" s="164">
        <v>0</v>
      </c>
      <c r="P601" s="162">
        <v>0</v>
      </c>
      <c r="Q601" s="164">
        <v>0</v>
      </c>
      <c r="R601" s="164">
        <v>1105</v>
      </c>
      <c r="S601" s="164">
        <v>1013802</v>
      </c>
      <c r="T601" s="165">
        <v>0</v>
      </c>
      <c r="U601" s="246">
        <v>0</v>
      </c>
      <c r="V601" s="241">
        <f>C601-'часть 1'!L612</f>
        <v>-24401</v>
      </c>
      <c r="W601" s="241"/>
      <c r="X601" s="241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254"/>
    </row>
    <row r="602" spans="1:49" customFormat="1">
      <c r="A602" s="166">
        <v>41</v>
      </c>
      <c r="B602" s="163" t="s">
        <v>376</v>
      </c>
      <c r="C602" s="164">
        <v>2421596</v>
      </c>
      <c r="D602" s="164"/>
      <c r="E602" s="164"/>
      <c r="F602" s="164"/>
      <c r="G602" s="164"/>
      <c r="H602" s="164"/>
      <c r="I602" s="164"/>
      <c r="J602" s="164"/>
      <c r="K602" s="164">
        <v>0</v>
      </c>
      <c r="L602" s="162">
        <v>0</v>
      </c>
      <c r="M602" s="164">
        <v>0</v>
      </c>
      <c r="N602" s="164">
        <v>1230.72</v>
      </c>
      <c r="O602" s="167">
        <v>2421596</v>
      </c>
      <c r="P602" s="162">
        <v>0</v>
      </c>
      <c r="Q602" s="164">
        <v>0</v>
      </c>
      <c r="R602" s="165">
        <v>0</v>
      </c>
      <c r="S602" s="164">
        <v>0</v>
      </c>
      <c r="T602" s="165">
        <v>0</v>
      </c>
      <c r="U602" s="246">
        <v>0</v>
      </c>
      <c r="V602" s="241">
        <f>C602-'часть 1'!L613</f>
        <v>-2198394</v>
      </c>
      <c r="W602" s="241"/>
      <c r="X602" s="241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254"/>
    </row>
    <row r="603" spans="1:49" customFormat="1">
      <c r="A603" s="166">
        <v>42</v>
      </c>
      <c r="B603" s="163" t="s">
        <v>379</v>
      </c>
      <c r="C603" s="164">
        <v>2056315</v>
      </c>
      <c r="D603" s="164"/>
      <c r="E603" s="164"/>
      <c r="F603" s="164"/>
      <c r="G603" s="164"/>
      <c r="H603" s="164"/>
      <c r="I603" s="164"/>
      <c r="J603" s="164"/>
      <c r="K603" s="164">
        <v>0</v>
      </c>
      <c r="L603" s="162">
        <v>0</v>
      </c>
      <c r="M603" s="164">
        <v>0</v>
      </c>
      <c r="N603" s="164">
        <v>978</v>
      </c>
      <c r="O603" s="164">
        <v>2056315</v>
      </c>
      <c r="P603" s="162">
        <v>0</v>
      </c>
      <c r="Q603" s="164">
        <v>0</v>
      </c>
      <c r="R603" s="168">
        <v>0</v>
      </c>
      <c r="S603" s="164">
        <v>0</v>
      </c>
      <c r="T603" s="165">
        <v>0</v>
      </c>
      <c r="U603" s="246">
        <v>0</v>
      </c>
      <c r="V603" s="241">
        <f>C603-'часть 1'!L614</f>
        <v>191011</v>
      </c>
      <c r="W603" s="241"/>
      <c r="X603" s="241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254"/>
    </row>
    <row r="604" spans="1:49" customFormat="1">
      <c r="A604" s="166">
        <v>43</v>
      </c>
      <c r="B604" s="163" t="s">
        <v>372</v>
      </c>
      <c r="C604" s="164">
        <v>9473593</v>
      </c>
      <c r="D604" s="164"/>
      <c r="E604" s="164"/>
      <c r="F604" s="164"/>
      <c r="G604" s="164"/>
      <c r="H604" s="164"/>
      <c r="I604" s="164"/>
      <c r="J604" s="164"/>
      <c r="K604" s="164">
        <v>0</v>
      </c>
      <c r="L604" s="162">
        <v>5</v>
      </c>
      <c r="M604" s="164">
        <v>9473593</v>
      </c>
      <c r="N604" s="164">
        <v>0</v>
      </c>
      <c r="O604" s="164">
        <v>0</v>
      </c>
      <c r="P604" s="162">
        <v>0</v>
      </c>
      <c r="Q604" s="164">
        <v>0</v>
      </c>
      <c r="R604" s="165">
        <v>0</v>
      </c>
      <c r="S604" s="164">
        <v>0</v>
      </c>
      <c r="T604" s="165">
        <v>0</v>
      </c>
      <c r="U604" s="246">
        <v>0</v>
      </c>
      <c r="V604" s="241">
        <f>C604-'часть 1'!L615</f>
        <v>7602683</v>
      </c>
      <c r="W604" s="241"/>
      <c r="X604" s="241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254"/>
    </row>
    <row r="605" spans="1:49" customFormat="1">
      <c r="A605" s="166">
        <v>44</v>
      </c>
      <c r="B605" s="163" t="s">
        <v>344</v>
      </c>
      <c r="C605" s="164">
        <v>4441828</v>
      </c>
      <c r="D605" s="164"/>
      <c r="E605" s="164"/>
      <c r="F605" s="164"/>
      <c r="G605" s="164"/>
      <c r="H605" s="164"/>
      <c r="I605" s="164"/>
      <c r="J605" s="164"/>
      <c r="K605" s="164">
        <v>0</v>
      </c>
      <c r="L605" s="162">
        <v>0</v>
      </c>
      <c r="M605" s="164">
        <v>0</v>
      </c>
      <c r="N605" s="164">
        <v>0</v>
      </c>
      <c r="O605" s="164">
        <v>0</v>
      </c>
      <c r="P605" s="162">
        <v>0</v>
      </c>
      <c r="Q605" s="164">
        <v>0</v>
      </c>
      <c r="R605" s="164">
        <v>3081.4</v>
      </c>
      <c r="S605" s="164">
        <v>4441828</v>
      </c>
      <c r="T605" s="165">
        <v>0</v>
      </c>
      <c r="U605" s="246">
        <v>0</v>
      </c>
      <c r="V605" s="241">
        <f>C605-'часть 1'!L616</f>
        <v>2908071</v>
      </c>
      <c r="W605" s="241"/>
      <c r="X605" s="241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254"/>
    </row>
    <row r="606" spans="1:49" customFormat="1">
      <c r="A606" s="166">
        <v>45</v>
      </c>
      <c r="B606" s="163" t="s">
        <v>348</v>
      </c>
      <c r="C606" s="164">
        <v>3051089</v>
      </c>
      <c r="D606" s="164"/>
      <c r="E606" s="164"/>
      <c r="F606" s="164"/>
      <c r="G606" s="164"/>
      <c r="H606" s="164"/>
      <c r="I606" s="164"/>
      <c r="J606" s="164"/>
      <c r="K606" s="164">
        <v>0</v>
      </c>
      <c r="L606" s="162">
        <v>0</v>
      </c>
      <c r="M606" s="164">
        <v>0</v>
      </c>
      <c r="N606" s="164">
        <v>1549</v>
      </c>
      <c r="O606" s="164">
        <v>3051089</v>
      </c>
      <c r="P606" s="162">
        <v>0</v>
      </c>
      <c r="Q606" s="164">
        <v>0</v>
      </c>
      <c r="R606" s="165">
        <v>0</v>
      </c>
      <c r="S606" s="164">
        <v>0</v>
      </c>
      <c r="T606" s="165">
        <v>0</v>
      </c>
      <c r="U606" s="246">
        <v>0</v>
      </c>
      <c r="V606" s="241">
        <f>C606-'часть 1'!L617</f>
        <v>2111231</v>
      </c>
      <c r="W606" s="241"/>
      <c r="X606" s="241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254"/>
    </row>
    <row r="607" spans="1:49" customFormat="1">
      <c r="A607" s="166">
        <v>46</v>
      </c>
      <c r="B607" s="163" t="s">
        <v>386</v>
      </c>
      <c r="C607" s="164">
        <v>869749</v>
      </c>
      <c r="D607" s="164"/>
      <c r="E607" s="164"/>
      <c r="F607" s="164"/>
      <c r="G607" s="164"/>
      <c r="H607" s="164"/>
      <c r="I607" s="164"/>
      <c r="J607" s="164"/>
      <c r="K607" s="164">
        <v>0</v>
      </c>
      <c r="L607" s="162">
        <v>0</v>
      </c>
      <c r="M607" s="164">
        <v>0</v>
      </c>
      <c r="N607" s="164">
        <v>431.5</v>
      </c>
      <c r="O607" s="164">
        <f>C607</f>
        <v>869749</v>
      </c>
      <c r="P607" s="162">
        <v>0</v>
      </c>
      <c r="Q607" s="164">
        <v>0</v>
      </c>
      <c r="R607" s="165">
        <v>0</v>
      </c>
      <c r="S607" s="164">
        <v>0</v>
      </c>
      <c r="T607" s="165">
        <v>0</v>
      </c>
      <c r="U607" s="246">
        <v>0</v>
      </c>
      <c r="V607" s="241">
        <f>C607-'часть 1'!L618</f>
        <v>-1498643</v>
      </c>
      <c r="W607" s="241"/>
      <c r="X607" s="241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254"/>
    </row>
    <row r="608" spans="1:49" customFormat="1">
      <c r="A608" s="166">
        <v>47</v>
      </c>
      <c r="B608" s="163" t="s">
        <v>461</v>
      </c>
      <c r="C608" s="164">
        <v>869880</v>
      </c>
      <c r="D608" s="164"/>
      <c r="E608" s="164"/>
      <c r="F608" s="164"/>
      <c r="G608" s="164"/>
      <c r="H608" s="164"/>
      <c r="I608" s="164"/>
      <c r="J608" s="164"/>
      <c r="K608" s="164">
        <v>0</v>
      </c>
      <c r="L608" s="162">
        <v>0</v>
      </c>
      <c r="M608" s="164">
        <v>0</v>
      </c>
      <c r="N608" s="164">
        <v>431.5</v>
      </c>
      <c r="O608" s="167">
        <f>C608</f>
        <v>869880</v>
      </c>
      <c r="P608" s="162">
        <v>0</v>
      </c>
      <c r="Q608" s="164">
        <v>0</v>
      </c>
      <c r="R608" s="168">
        <v>0</v>
      </c>
      <c r="S608" s="164">
        <v>0</v>
      </c>
      <c r="T608" s="165">
        <v>0</v>
      </c>
      <c r="U608" s="246">
        <v>0</v>
      </c>
      <c r="V608" s="241">
        <f>C608-'часть 1'!L619</f>
        <v>-1564050.9100000001</v>
      </c>
      <c r="W608" s="241"/>
      <c r="X608" s="241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254"/>
    </row>
    <row r="609" spans="1:38" customFormat="1" ht="30">
      <c r="A609" s="166">
        <v>48</v>
      </c>
      <c r="B609" s="163" t="s">
        <v>462</v>
      </c>
      <c r="C609" s="164">
        <v>172302</v>
      </c>
      <c r="D609" s="164"/>
      <c r="E609" s="164"/>
      <c r="F609" s="164"/>
      <c r="G609" s="164"/>
      <c r="H609" s="164"/>
      <c r="I609" s="164"/>
      <c r="J609" s="164"/>
      <c r="K609" s="164">
        <v>172302</v>
      </c>
      <c r="L609" s="162">
        <v>0</v>
      </c>
      <c r="M609" s="164">
        <v>0</v>
      </c>
      <c r="N609" s="164">
        <v>0</v>
      </c>
      <c r="O609" s="164">
        <v>0</v>
      </c>
      <c r="P609" s="162">
        <v>0</v>
      </c>
      <c r="Q609" s="164">
        <v>0</v>
      </c>
      <c r="R609" s="165">
        <v>0</v>
      </c>
      <c r="S609" s="164">
        <v>0</v>
      </c>
      <c r="T609" s="165">
        <v>0</v>
      </c>
      <c r="U609" s="246">
        <v>0</v>
      </c>
      <c r="V609" s="241">
        <f>C609-'часть 1'!L620</f>
        <v>-1549548</v>
      </c>
      <c r="W609" s="241"/>
      <c r="X609" s="241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254"/>
    </row>
    <row r="610" spans="1:38" customFormat="1">
      <c r="A610" s="166">
        <v>49</v>
      </c>
      <c r="B610" s="163" t="s">
        <v>389</v>
      </c>
      <c r="C610" s="164">
        <v>3706393</v>
      </c>
      <c r="D610" s="164"/>
      <c r="E610" s="164"/>
      <c r="F610" s="164"/>
      <c r="G610" s="164"/>
      <c r="H610" s="164"/>
      <c r="I610" s="164"/>
      <c r="J610" s="164"/>
      <c r="K610" s="164" t="e">
        <f>#REF!</f>
        <v>#REF!</v>
      </c>
      <c r="L610" s="162">
        <v>0</v>
      </c>
      <c r="M610" s="164">
        <v>0</v>
      </c>
      <c r="N610" s="164">
        <v>0</v>
      </c>
      <c r="O610" s="164">
        <v>0</v>
      </c>
      <c r="P610" s="162">
        <v>0</v>
      </c>
      <c r="Q610" s="164">
        <v>0</v>
      </c>
      <c r="R610" s="165">
        <v>0</v>
      </c>
      <c r="S610" s="164">
        <v>0</v>
      </c>
      <c r="T610" s="165">
        <v>0</v>
      </c>
      <c r="U610" s="246">
        <v>0</v>
      </c>
      <c r="V610" s="241">
        <f>C610-'часть 1'!L621</f>
        <v>2892276</v>
      </c>
      <c r="W610" s="241"/>
      <c r="X610" s="241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254"/>
    </row>
    <row r="611" spans="1:38" customFormat="1">
      <c r="A611" s="166">
        <v>50</v>
      </c>
      <c r="B611" s="163" t="s">
        <v>317</v>
      </c>
      <c r="C611" s="164">
        <v>698585</v>
      </c>
      <c r="D611" s="164"/>
      <c r="E611" s="164"/>
      <c r="F611" s="164"/>
      <c r="G611" s="164"/>
      <c r="H611" s="164"/>
      <c r="I611" s="164"/>
      <c r="J611" s="164"/>
      <c r="K611" s="164">
        <v>698585</v>
      </c>
      <c r="L611" s="162">
        <v>0</v>
      </c>
      <c r="M611" s="164">
        <v>0</v>
      </c>
      <c r="N611" s="167">
        <v>0</v>
      </c>
      <c r="O611" s="164">
        <v>0</v>
      </c>
      <c r="P611" s="162">
        <v>0</v>
      </c>
      <c r="Q611" s="164">
        <v>0</v>
      </c>
      <c r="R611" s="168">
        <v>0</v>
      </c>
      <c r="S611" s="164">
        <v>0</v>
      </c>
      <c r="T611" s="165">
        <v>0</v>
      </c>
      <c r="U611" s="246">
        <v>0</v>
      </c>
      <c r="V611" s="241">
        <f>C611-'часть 1'!L622</f>
        <v>-2346496</v>
      </c>
      <c r="W611" s="241"/>
      <c r="X611" s="241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254"/>
    </row>
    <row r="612" spans="1:38" customFormat="1">
      <c r="A612" s="166">
        <v>51</v>
      </c>
      <c r="B612" s="163" t="s">
        <v>384</v>
      </c>
      <c r="C612" s="164">
        <v>951740</v>
      </c>
      <c r="D612" s="164"/>
      <c r="E612" s="164"/>
      <c r="F612" s="164"/>
      <c r="G612" s="164"/>
      <c r="H612" s="164"/>
      <c r="I612" s="164"/>
      <c r="J612" s="164"/>
      <c r="K612" s="164">
        <v>0</v>
      </c>
      <c r="L612" s="162">
        <v>0</v>
      </c>
      <c r="M612" s="164">
        <v>0</v>
      </c>
      <c r="N612" s="164">
        <v>471.1</v>
      </c>
      <c r="O612" s="164">
        <v>951740</v>
      </c>
      <c r="P612" s="162">
        <v>0</v>
      </c>
      <c r="Q612" s="164">
        <v>0</v>
      </c>
      <c r="R612" s="165">
        <v>0</v>
      </c>
      <c r="S612" s="164">
        <v>0</v>
      </c>
      <c r="T612" s="165">
        <v>0</v>
      </c>
      <c r="U612" s="246">
        <v>0</v>
      </c>
      <c r="V612" s="241">
        <f>C612-'часть 1'!L623</f>
        <v>-1293066</v>
      </c>
      <c r="W612" s="241"/>
      <c r="X612" s="241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254"/>
    </row>
    <row r="613" spans="1:38">
      <c r="A613" s="166">
        <v>52</v>
      </c>
      <c r="B613" s="163" t="s">
        <v>247</v>
      </c>
      <c r="C613" s="164">
        <v>2056139</v>
      </c>
      <c r="D613" s="164"/>
      <c r="E613" s="164"/>
      <c r="F613" s="164"/>
      <c r="G613" s="164"/>
      <c r="H613" s="164"/>
      <c r="I613" s="164"/>
      <c r="J613" s="164"/>
      <c r="K613" s="164">
        <v>0</v>
      </c>
      <c r="L613" s="162">
        <v>0</v>
      </c>
      <c r="M613" s="164">
        <v>0</v>
      </c>
      <c r="N613" s="164">
        <v>1020</v>
      </c>
      <c r="O613" s="164">
        <v>2056139</v>
      </c>
      <c r="P613" s="162">
        <v>0</v>
      </c>
      <c r="Q613" s="164">
        <v>0</v>
      </c>
      <c r="R613" s="168">
        <v>0</v>
      </c>
      <c r="S613" s="164">
        <v>0</v>
      </c>
      <c r="T613" s="165">
        <v>0</v>
      </c>
      <c r="U613" s="246">
        <v>0</v>
      </c>
      <c r="V613" s="241">
        <f>C613-'часть 1'!L624</f>
        <v>694866</v>
      </c>
      <c r="W613" s="241"/>
      <c r="X613" s="241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254"/>
    </row>
    <row r="614" spans="1:38">
      <c r="A614" s="166">
        <v>53</v>
      </c>
      <c r="B614" s="163" t="s">
        <v>274</v>
      </c>
      <c r="C614" s="164">
        <v>1321356</v>
      </c>
      <c r="D614" s="164"/>
      <c r="E614" s="164"/>
      <c r="F614" s="164"/>
      <c r="G614" s="164"/>
      <c r="H614" s="164"/>
      <c r="I614" s="164"/>
      <c r="J614" s="164"/>
      <c r="K614" s="164">
        <v>0</v>
      </c>
      <c r="L614" s="162">
        <v>0</v>
      </c>
      <c r="M614" s="164">
        <v>0</v>
      </c>
      <c r="N614" s="164">
        <v>662</v>
      </c>
      <c r="O614" s="167">
        <v>1321356</v>
      </c>
      <c r="P614" s="162">
        <v>0</v>
      </c>
      <c r="Q614" s="164">
        <v>0</v>
      </c>
      <c r="R614" s="165">
        <v>0</v>
      </c>
      <c r="S614" s="164">
        <v>0</v>
      </c>
      <c r="T614" s="165">
        <v>0</v>
      </c>
      <c r="U614" s="246">
        <v>0</v>
      </c>
      <c r="V614" s="241">
        <f>C614-'часть 1'!L625</f>
        <v>-1100240</v>
      </c>
      <c r="W614" s="241"/>
      <c r="X614" s="241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254"/>
    </row>
    <row r="615" spans="1:38" ht="30">
      <c r="A615" s="166">
        <v>54</v>
      </c>
      <c r="B615" s="163" t="s">
        <v>338</v>
      </c>
      <c r="C615" s="164">
        <v>1679278</v>
      </c>
      <c r="D615" s="164"/>
      <c r="E615" s="164"/>
      <c r="F615" s="164"/>
      <c r="G615" s="164"/>
      <c r="H615" s="164"/>
      <c r="I615" s="164"/>
      <c r="J615" s="164"/>
      <c r="K615" s="164">
        <v>355519</v>
      </c>
      <c r="L615" s="162">
        <v>0</v>
      </c>
      <c r="M615" s="164">
        <v>0</v>
      </c>
      <c r="N615" s="164">
        <v>663.3</v>
      </c>
      <c r="O615" s="164">
        <v>1323759</v>
      </c>
      <c r="P615" s="162">
        <v>0</v>
      </c>
      <c r="Q615" s="164">
        <v>0</v>
      </c>
      <c r="R615" s="165">
        <v>0</v>
      </c>
      <c r="S615" s="164">
        <v>0</v>
      </c>
      <c r="T615" s="165">
        <v>0</v>
      </c>
      <c r="U615" s="246">
        <v>0</v>
      </c>
      <c r="V615" s="241">
        <f>C615-'часть 1'!L626</f>
        <v>-377037</v>
      </c>
      <c r="W615" s="241"/>
      <c r="X615" s="241"/>
      <c r="Y615" s="9"/>
      <c r="Z615" s="9"/>
      <c r="AA615" s="9"/>
      <c r="AB615" s="9"/>
      <c r="AC615" s="9"/>
      <c r="AD615" s="9"/>
      <c r="AE615" s="9"/>
      <c r="AF615" s="9"/>
      <c r="AG615" s="3"/>
      <c r="AH615" s="9"/>
      <c r="AI615" s="254"/>
    </row>
    <row r="616" spans="1:38" s="8" customFormat="1">
      <c r="A616" s="166">
        <v>55</v>
      </c>
      <c r="B616" s="163" t="s">
        <v>272</v>
      </c>
      <c r="C616" s="164">
        <v>1100896</v>
      </c>
      <c r="D616" s="164"/>
      <c r="E616" s="164"/>
      <c r="F616" s="164"/>
      <c r="G616" s="164"/>
      <c r="H616" s="164"/>
      <c r="I616" s="164"/>
      <c r="J616" s="164"/>
      <c r="K616" s="164">
        <v>0</v>
      </c>
      <c r="L616" s="162">
        <v>0</v>
      </c>
      <c r="M616" s="164">
        <v>0</v>
      </c>
      <c r="N616" s="164">
        <v>549</v>
      </c>
      <c r="O616" s="167">
        <v>1100896</v>
      </c>
      <c r="P616" s="162">
        <v>0</v>
      </c>
      <c r="Q616" s="164">
        <v>0</v>
      </c>
      <c r="R616" s="165">
        <v>0</v>
      </c>
      <c r="S616" s="164">
        <v>0</v>
      </c>
      <c r="T616" s="165">
        <v>0</v>
      </c>
      <c r="U616" s="246">
        <v>0</v>
      </c>
      <c r="V616" s="241">
        <f>C616-'часть 1'!L627</f>
        <v>-8372697</v>
      </c>
      <c r="W616" s="241"/>
      <c r="X616" s="241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254"/>
    </row>
    <row r="617" spans="1:38" ht="30">
      <c r="A617" s="166">
        <v>56</v>
      </c>
      <c r="B617" s="163" t="s">
        <v>337</v>
      </c>
      <c r="C617" s="164">
        <v>1729707</v>
      </c>
      <c r="D617" s="164"/>
      <c r="E617" s="164"/>
      <c r="F617" s="164"/>
      <c r="G617" s="164"/>
      <c r="H617" s="164"/>
      <c r="I617" s="164"/>
      <c r="J617" s="164"/>
      <c r="K617" s="164">
        <v>630140</v>
      </c>
      <c r="L617" s="162">
        <v>0</v>
      </c>
      <c r="M617" s="164">
        <v>0</v>
      </c>
      <c r="N617" s="164">
        <v>0</v>
      </c>
      <c r="O617" s="164">
        <v>0</v>
      </c>
      <c r="P617" s="162">
        <v>0</v>
      </c>
      <c r="Q617" s="164">
        <v>0</v>
      </c>
      <c r="R617" s="164">
        <v>760.3</v>
      </c>
      <c r="S617" s="164">
        <v>1099567</v>
      </c>
      <c r="T617" s="165">
        <v>0</v>
      </c>
      <c r="U617" s="246">
        <v>0</v>
      </c>
      <c r="V617" s="241">
        <f>C617-'часть 1'!L628</f>
        <v>-2712121</v>
      </c>
      <c r="W617" s="241"/>
      <c r="X617" s="241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254"/>
    </row>
    <row r="618" spans="1:38" customFormat="1">
      <c r="A618" s="166">
        <v>57</v>
      </c>
      <c r="B618" s="163" t="s">
        <v>257</v>
      </c>
      <c r="C618" s="164">
        <v>451222.57</v>
      </c>
      <c r="D618" s="164"/>
      <c r="E618" s="164"/>
      <c r="F618" s="164"/>
      <c r="G618" s="164"/>
      <c r="H618" s="164"/>
      <c r="I618" s="164"/>
      <c r="J618" s="164"/>
      <c r="K618" s="164">
        <v>451222.57</v>
      </c>
      <c r="L618" s="162">
        <v>0</v>
      </c>
      <c r="M618" s="164">
        <v>0</v>
      </c>
      <c r="N618" s="164">
        <v>0</v>
      </c>
      <c r="O618" s="164">
        <v>0</v>
      </c>
      <c r="P618" s="162">
        <v>0</v>
      </c>
      <c r="Q618" s="164">
        <v>0</v>
      </c>
      <c r="R618" s="165">
        <v>0</v>
      </c>
      <c r="S618" s="164">
        <v>0</v>
      </c>
      <c r="T618" s="165">
        <v>0</v>
      </c>
      <c r="U618" s="246">
        <v>0</v>
      </c>
      <c r="V618" s="241">
        <f>C618-'часть 1'!L629</f>
        <v>-2599866.4300000002</v>
      </c>
      <c r="W618" s="241"/>
      <c r="X618" s="241"/>
      <c r="Y618" s="9"/>
      <c r="Z618" s="9"/>
      <c r="AA618" s="3"/>
      <c r="AB618" s="9"/>
      <c r="AC618" s="9"/>
      <c r="AD618" s="9"/>
      <c r="AE618" s="9"/>
      <c r="AF618" s="9"/>
      <c r="AG618" s="9"/>
      <c r="AH618" s="9"/>
      <c r="AI618" s="254"/>
    </row>
    <row r="619" spans="1:38" ht="30">
      <c r="A619" s="166">
        <v>58</v>
      </c>
      <c r="B619" s="163" t="s">
        <v>307</v>
      </c>
      <c r="C619" s="164">
        <v>703675.57</v>
      </c>
      <c r="D619" s="164"/>
      <c r="E619" s="164"/>
      <c r="F619" s="164"/>
      <c r="G619" s="164"/>
      <c r="H619" s="164"/>
      <c r="I619" s="164"/>
      <c r="J619" s="164"/>
      <c r="K619" s="164">
        <v>0</v>
      </c>
      <c r="L619" s="162">
        <v>0</v>
      </c>
      <c r="M619" s="164">
        <v>0</v>
      </c>
      <c r="N619" s="164">
        <v>378</v>
      </c>
      <c r="O619" s="164">
        <v>703675.57</v>
      </c>
      <c r="P619" s="162">
        <v>0</v>
      </c>
      <c r="Q619" s="164">
        <v>0</v>
      </c>
      <c r="R619" s="165">
        <v>0</v>
      </c>
      <c r="S619" s="164">
        <v>0</v>
      </c>
      <c r="T619" s="165">
        <v>0</v>
      </c>
      <c r="U619" s="246">
        <v>0</v>
      </c>
      <c r="V619" s="241">
        <f>C619-'часть 1'!L630</f>
        <v>-166073.43000000005</v>
      </c>
      <c r="W619" s="241"/>
      <c r="X619" s="241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254"/>
    </row>
    <row r="620" spans="1:38">
      <c r="A620" s="166">
        <v>59</v>
      </c>
      <c r="B620" s="163" t="s">
        <v>268</v>
      </c>
      <c r="C620" s="164">
        <v>1053533.22</v>
      </c>
      <c r="D620" s="164"/>
      <c r="E620" s="164"/>
      <c r="F620" s="164"/>
      <c r="G620" s="164"/>
      <c r="H620" s="164"/>
      <c r="I620" s="164"/>
      <c r="J620" s="164"/>
      <c r="K620" s="164">
        <v>1053533.22</v>
      </c>
      <c r="L620" s="162">
        <v>0</v>
      </c>
      <c r="M620" s="164">
        <v>0</v>
      </c>
      <c r="N620" s="164">
        <v>0</v>
      </c>
      <c r="O620" s="164">
        <v>0</v>
      </c>
      <c r="P620" s="162">
        <v>0</v>
      </c>
      <c r="Q620" s="164">
        <v>0</v>
      </c>
      <c r="R620" s="165">
        <v>0</v>
      </c>
      <c r="S620" s="164">
        <v>0</v>
      </c>
      <c r="T620" s="165">
        <v>0</v>
      </c>
      <c r="U620" s="246">
        <v>0</v>
      </c>
      <c r="V620" s="241">
        <f>C620-'часть 1'!L631</f>
        <v>183653.21999999997</v>
      </c>
      <c r="W620" s="241"/>
      <c r="X620" s="241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254"/>
      <c r="AJ620" s="8"/>
      <c r="AK620" s="8"/>
      <c r="AL620" s="8"/>
    </row>
    <row r="621" spans="1:38">
      <c r="A621" s="166">
        <v>60</v>
      </c>
      <c r="B621" s="163" t="s">
        <v>246</v>
      </c>
      <c r="C621" s="164">
        <v>1253738</v>
      </c>
      <c r="D621" s="164"/>
      <c r="E621" s="164"/>
      <c r="F621" s="164"/>
      <c r="G621" s="164"/>
      <c r="H621" s="164"/>
      <c r="I621" s="164"/>
      <c r="J621" s="164"/>
      <c r="K621" s="164">
        <v>0</v>
      </c>
      <c r="L621" s="162">
        <v>0</v>
      </c>
      <c r="M621" s="164">
        <v>0</v>
      </c>
      <c r="N621" s="164">
        <v>622</v>
      </c>
      <c r="O621" s="164">
        <v>1253738</v>
      </c>
      <c r="P621" s="162">
        <v>0</v>
      </c>
      <c r="Q621" s="164">
        <v>0</v>
      </c>
      <c r="R621" s="168">
        <v>0</v>
      </c>
      <c r="S621" s="164">
        <v>0</v>
      </c>
      <c r="T621" s="165">
        <v>0</v>
      </c>
      <c r="U621" s="246">
        <v>0</v>
      </c>
      <c r="V621" s="241">
        <f>C621-'часть 1'!L632</f>
        <v>1081436</v>
      </c>
      <c r="W621" s="241"/>
      <c r="X621" s="241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254"/>
    </row>
    <row r="622" spans="1:38" s="8" customFormat="1">
      <c r="A622" s="166">
        <v>61</v>
      </c>
      <c r="B622" s="163" t="s">
        <v>470</v>
      </c>
      <c r="C622" s="164">
        <v>1870046</v>
      </c>
      <c r="D622" s="164"/>
      <c r="E622" s="164"/>
      <c r="F622" s="164"/>
      <c r="G622" s="164"/>
      <c r="H622" s="164"/>
      <c r="I622" s="164"/>
      <c r="J622" s="164"/>
      <c r="K622" s="164">
        <v>0</v>
      </c>
      <c r="L622" s="162">
        <v>1</v>
      </c>
      <c r="M622" s="164">
        <v>1870046</v>
      </c>
      <c r="N622" s="164">
        <v>0</v>
      </c>
      <c r="O622" s="164">
        <v>0</v>
      </c>
      <c r="P622" s="162">
        <v>0</v>
      </c>
      <c r="Q622" s="164">
        <v>0</v>
      </c>
      <c r="R622" s="165">
        <v>0</v>
      </c>
      <c r="S622" s="164">
        <v>0</v>
      </c>
      <c r="T622" s="165">
        <v>0</v>
      </c>
      <c r="U622" s="246">
        <v>0</v>
      </c>
      <c r="V622" s="241">
        <f>C622-'часть 1'!L633</f>
        <v>-1836347</v>
      </c>
      <c r="W622" s="241"/>
      <c r="X622" s="241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254"/>
      <c r="AJ622" s="1"/>
      <c r="AK622" s="1"/>
      <c r="AL622" s="1"/>
    </row>
    <row r="623" spans="1:38">
      <c r="A623" s="166">
        <v>62</v>
      </c>
      <c r="B623" s="163" t="s">
        <v>350</v>
      </c>
      <c r="C623" s="164">
        <v>3720676</v>
      </c>
      <c r="D623" s="164"/>
      <c r="E623" s="164"/>
      <c r="F623" s="164"/>
      <c r="G623" s="164"/>
      <c r="H623" s="164"/>
      <c r="I623" s="164"/>
      <c r="J623" s="164"/>
      <c r="K623" s="164">
        <v>0</v>
      </c>
      <c r="L623" s="162">
        <v>2</v>
      </c>
      <c r="M623" s="164">
        <v>3720676</v>
      </c>
      <c r="N623" s="164">
        <v>0</v>
      </c>
      <c r="O623" s="164">
        <v>0</v>
      </c>
      <c r="P623" s="162">
        <v>0</v>
      </c>
      <c r="Q623" s="164">
        <v>0</v>
      </c>
      <c r="R623" s="165">
        <v>0</v>
      </c>
      <c r="S623" s="164">
        <v>0</v>
      </c>
      <c r="T623" s="165">
        <v>0</v>
      </c>
      <c r="U623" s="246">
        <v>0</v>
      </c>
      <c r="V623" s="241">
        <f>C623-'часть 1'!L634</f>
        <v>3022091</v>
      </c>
      <c r="W623" s="241"/>
      <c r="X623" s="241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254"/>
    </row>
    <row r="624" spans="1:38">
      <c r="A624" s="166">
        <v>63</v>
      </c>
      <c r="B624" s="163" t="s">
        <v>251</v>
      </c>
      <c r="C624" s="164">
        <v>3687908</v>
      </c>
      <c r="D624" s="164"/>
      <c r="E624" s="164"/>
      <c r="F624" s="164"/>
      <c r="G624" s="164"/>
      <c r="H624" s="164"/>
      <c r="I624" s="164"/>
      <c r="J624" s="164"/>
      <c r="K624" s="164">
        <v>3687908</v>
      </c>
      <c r="L624" s="162">
        <v>0</v>
      </c>
      <c r="M624" s="164">
        <v>0</v>
      </c>
      <c r="N624" s="164">
        <v>0</v>
      </c>
      <c r="O624" s="164">
        <v>0</v>
      </c>
      <c r="P624" s="162">
        <v>0</v>
      </c>
      <c r="Q624" s="164">
        <v>0</v>
      </c>
      <c r="R624" s="168">
        <v>0</v>
      </c>
      <c r="S624" s="164">
        <v>0</v>
      </c>
      <c r="T624" s="165">
        <v>0</v>
      </c>
      <c r="U624" s="246">
        <v>0</v>
      </c>
      <c r="V624" s="241">
        <f>C624-'часть 1'!L635</f>
        <v>2736168</v>
      </c>
      <c r="W624" s="241"/>
      <c r="X624" s="241"/>
      <c r="Y624" s="9"/>
      <c r="Z624" s="9"/>
      <c r="AA624" s="9"/>
      <c r="AB624" s="9"/>
      <c r="AC624" s="9"/>
      <c r="AD624" s="9"/>
      <c r="AE624" s="49"/>
      <c r="AF624" s="9"/>
      <c r="AG624" s="9"/>
      <c r="AH624" s="9"/>
      <c r="AI624" s="254"/>
    </row>
    <row r="625" spans="1:35">
      <c r="A625" s="166">
        <v>64</v>
      </c>
      <c r="B625" s="163" t="s">
        <v>226</v>
      </c>
      <c r="C625" s="164">
        <v>1760967.35</v>
      </c>
      <c r="D625" s="164"/>
      <c r="E625" s="164"/>
      <c r="F625" s="164"/>
      <c r="G625" s="164"/>
      <c r="H625" s="164"/>
      <c r="I625" s="164"/>
      <c r="J625" s="164"/>
      <c r="K625" s="164">
        <v>0</v>
      </c>
      <c r="L625" s="162">
        <v>0</v>
      </c>
      <c r="M625" s="164">
        <v>0</v>
      </c>
      <c r="N625" s="164">
        <v>881</v>
      </c>
      <c r="O625" s="164">
        <v>1760967.35</v>
      </c>
      <c r="P625" s="162">
        <v>0</v>
      </c>
      <c r="Q625" s="164">
        <v>0</v>
      </c>
      <c r="R625" s="168">
        <v>0</v>
      </c>
      <c r="S625" s="164">
        <v>0</v>
      </c>
      <c r="T625" s="165">
        <v>0</v>
      </c>
      <c r="U625" s="246">
        <v>0</v>
      </c>
      <c r="V625" s="241">
        <f>C625-'часть 1'!L636</f>
        <v>-295171.64999999991</v>
      </c>
      <c r="W625" s="241"/>
      <c r="X625" s="241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254"/>
    </row>
    <row r="626" spans="1:35">
      <c r="A626" s="166">
        <v>65</v>
      </c>
      <c r="B626" s="163" t="s">
        <v>271</v>
      </c>
      <c r="C626" s="164">
        <v>881947</v>
      </c>
      <c r="D626" s="164"/>
      <c r="E626" s="164"/>
      <c r="F626" s="164"/>
      <c r="G626" s="164"/>
      <c r="H626" s="164"/>
      <c r="I626" s="164"/>
      <c r="J626" s="164"/>
      <c r="K626" s="164">
        <v>881947</v>
      </c>
      <c r="L626" s="162">
        <v>0</v>
      </c>
      <c r="M626" s="164">
        <v>0</v>
      </c>
      <c r="N626" s="164">
        <v>0</v>
      </c>
      <c r="O626" s="164">
        <v>0</v>
      </c>
      <c r="P626" s="162">
        <v>0</v>
      </c>
      <c r="Q626" s="164">
        <v>0</v>
      </c>
      <c r="R626" s="165">
        <v>0</v>
      </c>
      <c r="S626" s="164">
        <v>0</v>
      </c>
      <c r="T626" s="165">
        <v>0</v>
      </c>
      <c r="U626" s="246">
        <v>0</v>
      </c>
      <c r="V626" s="241">
        <f>C626-'часть 1'!L637</f>
        <v>-439409</v>
      </c>
      <c r="W626" s="241"/>
      <c r="X626" s="241"/>
      <c r="Y626" s="3"/>
      <c r="Z626" s="9"/>
      <c r="AA626" s="9"/>
      <c r="AB626" s="9"/>
      <c r="AC626" s="9"/>
      <c r="AD626" s="9"/>
      <c r="AE626" s="9"/>
      <c r="AF626" s="9"/>
      <c r="AG626" s="9"/>
      <c r="AH626" s="9"/>
      <c r="AI626" s="254"/>
    </row>
    <row r="627" spans="1:35">
      <c r="A627" s="166">
        <v>66</v>
      </c>
      <c r="B627" s="163" t="s">
        <v>287</v>
      </c>
      <c r="C627" s="164">
        <v>517739</v>
      </c>
      <c r="D627" s="164"/>
      <c r="E627" s="164"/>
      <c r="F627" s="164"/>
      <c r="G627" s="164"/>
      <c r="H627" s="164"/>
      <c r="I627" s="164"/>
      <c r="J627" s="164"/>
      <c r="K627" s="164">
        <v>0</v>
      </c>
      <c r="L627" s="162">
        <v>0</v>
      </c>
      <c r="M627" s="164">
        <v>0</v>
      </c>
      <c r="N627" s="164">
        <v>252</v>
      </c>
      <c r="O627" s="167">
        <v>517739</v>
      </c>
      <c r="P627" s="162">
        <v>0</v>
      </c>
      <c r="Q627" s="164">
        <v>0</v>
      </c>
      <c r="R627" s="165">
        <v>0</v>
      </c>
      <c r="S627" s="164">
        <v>0</v>
      </c>
      <c r="T627" s="165">
        <v>0</v>
      </c>
      <c r="U627" s="246">
        <v>0</v>
      </c>
      <c r="V627" s="241">
        <f>C627-'часть 1'!L638</f>
        <v>-1161539</v>
      </c>
      <c r="W627" s="241"/>
      <c r="X627" s="241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254"/>
    </row>
    <row r="628" spans="1:35">
      <c r="A628" s="166">
        <v>67</v>
      </c>
      <c r="B628" s="163" t="s">
        <v>289</v>
      </c>
      <c r="C628" s="164">
        <v>1728895</v>
      </c>
      <c r="D628" s="164"/>
      <c r="E628" s="164"/>
      <c r="F628" s="164"/>
      <c r="G628" s="164"/>
      <c r="H628" s="164"/>
      <c r="I628" s="164"/>
      <c r="J628" s="164"/>
      <c r="K628" s="164">
        <v>0</v>
      </c>
      <c r="L628" s="162">
        <v>0</v>
      </c>
      <c r="M628" s="164">
        <v>0</v>
      </c>
      <c r="N628" s="164">
        <v>873.06</v>
      </c>
      <c r="O628" s="164">
        <v>1728895</v>
      </c>
      <c r="P628" s="169">
        <v>0</v>
      </c>
      <c r="Q628" s="164">
        <v>0</v>
      </c>
      <c r="R628" s="168">
        <v>0</v>
      </c>
      <c r="S628" s="164">
        <v>0</v>
      </c>
      <c r="T628" s="165">
        <v>0</v>
      </c>
      <c r="U628" s="246">
        <v>0</v>
      </c>
      <c r="V628" s="241">
        <f>C628-'часть 1'!L639</f>
        <v>627999</v>
      </c>
      <c r="W628" s="241"/>
      <c r="X628" s="241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254"/>
    </row>
    <row r="629" spans="1:35">
      <c r="A629" s="166">
        <v>68</v>
      </c>
      <c r="B629" s="163" t="s">
        <v>259</v>
      </c>
      <c r="C629" s="164">
        <v>682529</v>
      </c>
      <c r="D629" s="164"/>
      <c r="E629" s="164"/>
      <c r="F629" s="164"/>
      <c r="G629" s="164"/>
      <c r="H629" s="164"/>
      <c r="I629" s="164"/>
      <c r="J629" s="164"/>
      <c r="K629" s="164">
        <v>0</v>
      </c>
      <c r="L629" s="162">
        <v>0</v>
      </c>
      <c r="M629" s="164">
        <v>0</v>
      </c>
      <c r="N629" s="164">
        <v>335.6</v>
      </c>
      <c r="O629" s="164">
        <v>682529</v>
      </c>
      <c r="P629" s="162">
        <v>0</v>
      </c>
      <c r="Q629" s="164">
        <v>0</v>
      </c>
      <c r="R629" s="165">
        <v>0</v>
      </c>
      <c r="S629" s="164">
        <v>0</v>
      </c>
      <c r="T629" s="165">
        <v>0</v>
      </c>
      <c r="U629" s="246">
        <v>0</v>
      </c>
      <c r="V629" s="241">
        <f>C629-'часть 1'!L640</f>
        <v>-1047178</v>
      </c>
      <c r="W629" s="241"/>
      <c r="X629" s="241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254"/>
    </row>
    <row r="630" spans="1:35">
      <c r="A630" s="166">
        <v>69</v>
      </c>
      <c r="B630" s="163" t="s">
        <v>291</v>
      </c>
      <c r="C630" s="164">
        <v>582157</v>
      </c>
      <c r="D630" s="164"/>
      <c r="E630" s="164"/>
      <c r="F630" s="164"/>
      <c r="G630" s="164"/>
      <c r="H630" s="164"/>
      <c r="I630" s="164"/>
      <c r="J630" s="164"/>
      <c r="K630" s="164">
        <v>0</v>
      </c>
      <c r="L630" s="162">
        <v>0</v>
      </c>
      <c r="M630" s="164">
        <v>0</v>
      </c>
      <c r="N630" s="164">
        <v>285</v>
      </c>
      <c r="O630" s="164">
        <v>582157</v>
      </c>
      <c r="P630" s="162">
        <v>0</v>
      </c>
      <c r="Q630" s="164">
        <v>0</v>
      </c>
      <c r="R630" s="168">
        <v>0</v>
      </c>
      <c r="S630" s="164">
        <v>0</v>
      </c>
      <c r="T630" s="165">
        <v>0</v>
      </c>
      <c r="U630" s="246">
        <v>0</v>
      </c>
      <c r="V630" s="241">
        <f>C630-'часть 1'!L641</f>
        <v>130934.43</v>
      </c>
      <c r="W630" s="241"/>
      <c r="X630" s="241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254"/>
    </row>
    <row r="631" spans="1:35">
      <c r="A631" s="166">
        <v>70</v>
      </c>
      <c r="B631" s="163" t="s">
        <v>224</v>
      </c>
      <c r="C631" s="164">
        <v>701704</v>
      </c>
      <c r="D631" s="164"/>
      <c r="E631" s="164"/>
      <c r="F631" s="164"/>
      <c r="G631" s="164"/>
      <c r="H631" s="164"/>
      <c r="I631" s="164"/>
      <c r="J631" s="164"/>
      <c r="K631" s="164">
        <v>701704</v>
      </c>
      <c r="L631" s="162">
        <v>0</v>
      </c>
      <c r="M631" s="164">
        <v>0</v>
      </c>
      <c r="N631" s="167">
        <v>0</v>
      </c>
      <c r="O631" s="164">
        <v>0</v>
      </c>
      <c r="P631" s="162">
        <v>0</v>
      </c>
      <c r="Q631" s="164">
        <v>0</v>
      </c>
      <c r="R631" s="168">
        <v>0</v>
      </c>
      <c r="S631" s="164">
        <v>0</v>
      </c>
      <c r="T631" s="165">
        <v>0</v>
      </c>
      <c r="U631" s="246">
        <v>0</v>
      </c>
      <c r="V631" s="241">
        <f>C631-'часть 1'!L642</f>
        <v>-1971.5699999999488</v>
      </c>
      <c r="W631" s="241"/>
      <c r="X631" s="241"/>
      <c r="Y631" s="3"/>
      <c r="Z631" s="9"/>
      <c r="AA631" s="9"/>
      <c r="AB631" s="9"/>
      <c r="AC631" s="9"/>
      <c r="AD631" s="9"/>
      <c r="AE631" s="9"/>
      <c r="AF631" s="9"/>
      <c r="AG631" s="9"/>
      <c r="AH631" s="9"/>
      <c r="AI631" s="254"/>
    </row>
    <row r="632" spans="1:35">
      <c r="A632" s="166">
        <v>71</v>
      </c>
      <c r="B632" s="163" t="s">
        <v>261</v>
      </c>
      <c r="C632" s="164">
        <v>1969149</v>
      </c>
      <c r="D632" s="164"/>
      <c r="E632" s="164"/>
      <c r="F632" s="164"/>
      <c r="G632" s="164"/>
      <c r="H632" s="164"/>
      <c r="I632" s="164"/>
      <c r="J632" s="164"/>
      <c r="K632" s="164">
        <v>0</v>
      </c>
      <c r="L632" s="162">
        <v>0</v>
      </c>
      <c r="M632" s="164">
        <v>0</v>
      </c>
      <c r="N632" s="164">
        <v>995.8</v>
      </c>
      <c r="O632" s="164">
        <v>1969149</v>
      </c>
      <c r="P632" s="162">
        <v>0</v>
      </c>
      <c r="Q632" s="164">
        <v>0</v>
      </c>
      <c r="R632" s="165">
        <v>0</v>
      </c>
      <c r="S632" s="164">
        <v>0</v>
      </c>
      <c r="T632" s="165">
        <v>0</v>
      </c>
      <c r="U632" s="246">
        <v>0</v>
      </c>
      <c r="V632" s="241">
        <f>C632-'часть 1'!L643</f>
        <v>915615.78</v>
      </c>
      <c r="W632" s="241"/>
      <c r="X632" s="241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254"/>
    </row>
    <row r="633" spans="1:35">
      <c r="A633" s="166">
        <v>72</v>
      </c>
      <c r="B633" s="163" t="s">
        <v>239</v>
      </c>
      <c r="C633" s="164">
        <v>1023088</v>
      </c>
      <c r="D633" s="164"/>
      <c r="E633" s="164"/>
      <c r="F633" s="164"/>
      <c r="G633" s="164"/>
      <c r="H633" s="164"/>
      <c r="I633" s="164"/>
      <c r="J633" s="164"/>
      <c r="K633" s="164">
        <v>0</v>
      </c>
      <c r="L633" s="162">
        <v>0</v>
      </c>
      <c r="M633" s="164">
        <v>0</v>
      </c>
      <c r="N633" s="164">
        <v>0</v>
      </c>
      <c r="O633" s="164">
        <v>0</v>
      </c>
      <c r="P633" s="162">
        <v>0</v>
      </c>
      <c r="Q633" s="164">
        <v>0</v>
      </c>
      <c r="R633" s="164">
        <v>694</v>
      </c>
      <c r="S633" s="167">
        <v>1023088</v>
      </c>
      <c r="T633" s="165">
        <v>0</v>
      </c>
      <c r="U633" s="246">
        <v>0</v>
      </c>
      <c r="V633" s="241">
        <f>C633-'часть 1'!L644</f>
        <v>-230650</v>
      </c>
      <c r="W633" s="241"/>
      <c r="X633" s="241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254"/>
    </row>
    <row r="634" spans="1:35">
      <c r="A634" s="166">
        <v>73</v>
      </c>
      <c r="B634" s="163" t="s">
        <v>336</v>
      </c>
      <c r="C634" s="164">
        <v>3334570</v>
      </c>
      <c r="D634" s="164"/>
      <c r="E634" s="164"/>
      <c r="F634" s="164"/>
      <c r="G634" s="164"/>
      <c r="H634" s="164"/>
      <c r="I634" s="164"/>
      <c r="J634" s="164"/>
      <c r="K634" s="164" t="e">
        <f>#REF!</f>
        <v>#REF!</v>
      </c>
      <c r="L634" s="162">
        <v>0</v>
      </c>
      <c r="M634" s="164">
        <v>0</v>
      </c>
      <c r="N634" s="167">
        <v>0</v>
      </c>
      <c r="O634" s="164">
        <v>0</v>
      </c>
      <c r="P634" s="162">
        <v>0</v>
      </c>
      <c r="Q634" s="164">
        <v>0</v>
      </c>
      <c r="R634" s="165">
        <v>0</v>
      </c>
      <c r="S634" s="164">
        <v>0</v>
      </c>
      <c r="T634" s="165">
        <v>0</v>
      </c>
      <c r="U634" s="246">
        <v>0</v>
      </c>
      <c r="V634" s="241">
        <f>C634-'часть 1'!L645</f>
        <v>1464524</v>
      </c>
      <c r="W634" s="241"/>
      <c r="X634" s="241"/>
      <c r="Y634" s="9"/>
      <c r="Z634" s="9"/>
      <c r="AA634" s="9"/>
      <c r="AB634" s="9"/>
      <c r="AC634" s="9"/>
      <c r="AD634" s="9"/>
      <c r="AE634" s="12"/>
      <c r="AF634" s="9"/>
      <c r="AG634" s="9"/>
      <c r="AH634" s="9"/>
      <c r="AI634" s="254"/>
    </row>
    <row r="635" spans="1:35">
      <c r="A635" s="166">
        <v>74</v>
      </c>
      <c r="B635" s="163" t="s">
        <v>306</v>
      </c>
      <c r="C635" s="164">
        <v>1127374.33</v>
      </c>
      <c r="D635" s="164"/>
      <c r="E635" s="164"/>
      <c r="F635" s="164"/>
      <c r="G635" s="164"/>
      <c r="H635" s="164"/>
      <c r="I635" s="164"/>
      <c r="J635" s="164"/>
      <c r="K635" s="164">
        <v>1127374.33</v>
      </c>
      <c r="L635" s="162">
        <v>0</v>
      </c>
      <c r="M635" s="164">
        <v>0</v>
      </c>
      <c r="N635" s="164">
        <v>0</v>
      </c>
      <c r="O635" s="164">
        <v>0</v>
      </c>
      <c r="P635" s="162">
        <v>0</v>
      </c>
      <c r="Q635" s="164">
        <v>0</v>
      </c>
      <c r="R635" s="165">
        <v>0</v>
      </c>
      <c r="S635" s="164">
        <v>0</v>
      </c>
      <c r="T635" s="165">
        <v>0</v>
      </c>
      <c r="U635" s="246">
        <v>0</v>
      </c>
      <c r="V635" s="241">
        <f>C635-'часть 1'!L646</f>
        <v>-2593301.67</v>
      </c>
      <c r="W635" s="241"/>
      <c r="X635" s="241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254"/>
    </row>
    <row r="636" spans="1:35">
      <c r="A636" s="166">
        <v>75</v>
      </c>
      <c r="B636" s="163" t="s">
        <v>234</v>
      </c>
      <c r="C636" s="164">
        <v>1161456</v>
      </c>
      <c r="D636" s="164"/>
      <c r="E636" s="164"/>
      <c r="F636" s="164"/>
      <c r="G636" s="164"/>
      <c r="H636" s="164"/>
      <c r="I636" s="164"/>
      <c r="J636" s="164"/>
      <c r="K636" s="164">
        <v>1161456</v>
      </c>
      <c r="L636" s="162">
        <v>0</v>
      </c>
      <c r="M636" s="164">
        <v>0</v>
      </c>
      <c r="N636" s="164">
        <v>0</v>
      </c>
      <c r="O636" s="164">
        <v>0</v>
      </c>
      <c r="P636" s="162">
        <v>0</v>
      </c>
      <c r="Q636" s="164">
        <v>0</v>
      </c>
      <c r="R636" s="165">
        <v>0</v>
      </c>
      <c r="S636" s="164">
        <v>0</v>
      </c>
      <c r="T636" s="165">
        <v>0</v>
      </c>
      <c r="U636" s="246">
        <v>0</v>
      </c>
      <c r="V636" s="241">
        <f>C636-'часть 1'!L647</f>
        <v>-2526452</v>
      </c>
      <c r="W636" s="241"/>
      <c r="X636" s="241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254"/>
    </row>
    <row r="637" spans="1:35">
      <c r="A637" s="166">
        <v>76</v>
      </c>
      <c r="B637" s="163" t="s">
        <v>277</v>
      </c>
      <c r="C637" s="164">
        <v>1197250.23</v>
      </c>
      <c r="D637" s="164"/>
      <c r="E637" s="164"/>
      <c r="F637" s="164"/>
      <c r="G637" s="164"/>
      <c r="H637" s="164"/>
      <c r="I637" s="164"/>
      <c r="J637" s="164"/>
      <c r="K637" s="164">
        <v>1197250.23</v>
      </c>
      <c r="L637" s="162">
        <v>0</v>
      </c>
      <c r="M637" s="164">
        <v>0</v>
      </c>
      <c r="N637" s="167">
        <v>0</v>
      </c>
      <c r="O637" s="164">
        <v>0</v>
      </c>
      <c r="P637" s="162">
        <v>0</v>
      </c>
      <c r="Q637" s="164">
        <v>0</v>
      </c>
      <c r="R637" s="165">
        <v>0</v>
      </c>
      <c r="S637" s="164">
        <v>0</v>
      </c>
      <c r="T637" s="165">
        <v>0</v>
      </c>
      <c r="U637" s="246">
        <v>0</v>
      </c>
      <c r="V637" s="241">
        <f>C637-'часть 1'!L648</f>
        <v>-563717.12000000011</v>
      </c>
      <c r="W637" s="241"/>
      <c r="X637" s="241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254"/>
    </row>
    <row r="638" spans="1:35">
      <c r="A638" s="166">
        <v>77</v>
      </c>
      <c r="B638" s="163" t="s">
        <v>303</v>
      </c>
      <c r="C638" s="164">
        <v>2784233</v>
      </c>
      <c r="D638" s="164"/>
      <c r="E638" s="164"/>
      <c r="F638" s="164"/>
      <c r="G638" s="164"/>
      <c r="H638" s="164"/>
      <c r="I638" s="164"/>
      <c r="J638" s="164"/>
      <c r="K638" s="164">
        <v>0</v>
      </c>
      <c r="L638" s="162">
        <v>0</v>
      </c>
      <c r="M638" s="164">
        <v>0</v>
      </c>
      <c r="N638" s="164">
        <v>1391</v>
      </c>
      <c r="O638" s="164">
        <v>2784233</v>
      </c>
      <c r="P638" s="162">
        <v>0</v>
      </c>
      <c r="Q638" s="164">
        <v>0</v>
      </c>
      <c r="R638" s="165">
        <v>0</v>
      </c>
      <c r="S638" s="164">
        <v>0</v>
      </c>
      <c r="T638" s="165">
        <v>0</v>
      </c>
      <c r="U638" s="246">
        <v>0</v>
      </c>
      <c r="V638" s="241">
        <f>C638-'часть 1'!L649</f>
        <v>1902286</v>
      </c>
      <c r="W638" s="241"/>
      <c r="X638" s="241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254"/>
    </row>
    <row r="639" spans="1:35">
      <c r="A639" s="166">
        <v>78</v>
      </c>
      <c r="B639" s="163" t="s">
        <v>293</v>
      </c>
      <c r="C639" s="164">
        <v>2369961</v>
      </c>
      <c r="D639" s="164"/>
      <c r="E639" s="164"/>
      <c r="F639" s="164"/>
      <c r="G639" s="164"/>
      <c r="H639" s="164"/>
      <c r="I639" s="164"/>
      <c r="J639" s="164"/>
      <c r="K639" s="164">
        <v>2369961</v>
      </c>
      <c r="L639" s="162">
        <v>0</v>
      </c>
      <c r="M639" s="164">
        <v>0</v>
      </c>
      <c r="N639" s="164">
        <v>0</v>
      </c>
      <c r="O639" s="164">
        <v>0</v>
      </c>
      <c r="P639" s="162">
        <v>0</v>
      </c>
      <c r="Q639" s="164">
        <v>0</v>
      </c>
      <c r="R639" s="168">
        <v>0</v>
      </c>
      <c r="S639" s="164">
        <v>0</v>
      </c>
      <c r="T639" s="165">
        <v>0</v>
      </c>
      <c r="U639" s="246">
        <v>0</v>
      </c>
      <c r="V639" s="241">
        <f>C639-'часть 1'!L650</f>
        <v>1852222</v>
      </c>
      <c r="W639" s="241"/>
      <c r="X639" s="241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254"/>
    </row>
    <row r="640" spans="1:35">
      <c r="A640" s="166">
        <v>79</v>
      </c>
      <c r="B640" s="163" t="s">
        <v>463</v>
      </c>
      <c r="C640" s="164">
        <v>672819</v>
      </c>
      <c r="D640" s="164"/>
      <c r="E640" s="164"/>
      <c r="F640" s="164"/>
      <c r="G640" s="164"/>
      <c r="H640" s="164"/>
      <c r="I640" s="164"/>
      <c r="J640" s="164"/>
      <c r="K640" s="164">
        <v>0</v>
      </c>
      <c r="L640" s="162">
        <v>0</v>
      </c>
      <c r="M640" s="164">
        <v>0</v>
      </c>
      <c r="N640" s="164">
        <v>331.4</v>
      </c>
      <c r="O640" s="164">
        <v>672819</v>
      </c>
      <c r="P640" s="162">
        <v>0</v>
      </c>
      <c r="Q640" s="164">
        <v>0</v>
      </c>
      <c r="R640" s="168">
        <v>0</v>
      </c>
      <c r="S640" s="164">
        <v>0</v>
      </c>
      <c r="T640" s="165">
        <v>0</v>
      </c>
      <c r="U640" s="246">
        <v>0</v>
      </c>
      <c r="V640" s="241">
        <f>C640-'часть 1'!L651</f>
        <v>-1056076</v>
      </c>
      <c r="W640" s="241"/>
      <c r="X640" s="241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254"/>
    </row>
    <row r="641" spans="1:35">
      <c r="A641" s="166">
        <v>80</v>
      </c>
      <c r="B641" s="163" t="s">
        <v>340</v>
      </c>
      <c r="C641" s="164">
        <v>1651491</v>
      </c>
      <c r="D641" s="164"/>
      <c r="E641" s="164"/>
      <c r="F641" s="164"/>
      <c r="G641" s="164"/>
      <c r="H641" s="164"/>
      <c r="I641" s="164"/>
      <c r="J641" s="164"/>
      <c r="K641" s="164">
        <v>1651491</v>
      </c>
      <c r="L641" s="162">
        <v>0</v>
      </c>
      <c r="M641" s="164">
        <v>0</v>
      </c>
      <c r="N641" s="164">
        <v>0</v>
      </c>
      <c r="O641" s="164">
        <v>0</v>
      </c>
      <c r="P641" s="162">
        <v>0</v>
      </c>
      <c r="Q641" s="164">
        <v>0</v>
      </c>
      <c r="R641" s="165">
        <v>0</v>
      </c>
      <c r="S641" s="164">
        <v>0</v>
      </c>
      <c r="T641" s="165">
        <v>0</v>
      </c>
      <c r="U641" s="246">
        <v>0</v>
      </c>
      <c r="V641" s="241">
        <f>C641-'часть 1'!L652</f>
        <v>968962</v>
      </c>
      <c r="W641" s="241"/>
      <c r="X641" s="241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254"/>
    </row>
    <row r="642" spans="1:35">
      <c r="A642" s="166">
        <v>81</v>
      </c>
      <c r="B642" s="163" t="s">
        <v>254</v>
      </c>
      <c r="C642" s="164">
        <v>1432926</v>
      </c>
      <c r="D642" s="164"/>
      <c r="E642" s="164"/>
      <c r="F642" s="164"/>
      <c r="G642" s="164"/>
      <c r="H642" s="164"/>
      <c r="I642" s="164"/>
      <c r="J642" s="164"/>
      <c r="K642" s="164">
        <v>0</v>
      </c>
      <c r="L642" s="162">
        <v>0</v>
      </c>
      <c r="M642" s="164">
        <v>0</v>
      </c>
      <c r="N642" s="164">
        <v>710.73</v>
      </c>
      <c r="O642" s="164">
        <v>1432926</v>
      </c>
      <c r="P642" s="162">
        <v>0</v>
      </c>
      <c r="Q642" s="164">
        <v>0</v>
      </c>
      <c r="R642" s="168">
        <v>0</v>
      </c>
      <c r="S642" s="164">
        <v>0</v>
      </c>
      <c r="T642" s="165">
        <v>0</v>
      </c>
      <c r="U642" s="246">
        <v>0</v>
      </c>
      <c r="V642" s="241">
        <f>C642-'часть 1'!L653</f>
        <v>850769</v>
      </c>
      <c r="W642" s="241"/>
      <c r="X642" s="241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254"/>
    </row>
    <row r="643" spans="1:35">
      <c r="A643" s="166">
        <v>82</v>
      </c>
      <c r="B643" s="163" t="s">
        <v>343</v>
      </c>
      <c r="C643" s="164">
        <v>1137886</v>
      </c>
      <c r="D643" s="164"/>
      <c r="E643" s="164"/>
      <c r="F643" s="164"/>
      <c r="G643" s="164"/>
      <c r="H643" s="164"/>
      <c r="I643" s="164"/>
      <c r="J643" s="164"/>
      <c r="K643" s="164">
        <v>0</v>
      </c>
      <c r="L643" s="162">
        <v>0</v>
      </c>
      <c r="M643" s="164">
        <v>0</v>
      </c>
      <c r="N643" s="164">
        <v>0</v>
      </c>
      <c r="O643" s="164">
        <v>0</v>
      </c>
      <c r="P643" s="162">
        <v>0</v>
      </c>
      <c r="Q643" s="164">
        <v>0</v>
      </c>
      <c r="R643" s="167">
        <v>785.5</v>
      </c>
      <c r="S643" s="164">
        <v>1137886</v>
      </c>
      <c r="T643" s="165">
        <v>0</v>
      </c>
      <c r="U643" s="246">
        <v>0</v>
      </c>
      <c r="V643" s="241">
        <f>C643-'часть 1'!L654</f>
        <v>436182</v>
      </c>
      <c r="W643" s="241"/>
      <c r="X643" s="241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254"/>
    </row>
    <row r="644" spans="1:35">
      <c r="A644" s="166">
        <v>83</v>
      </c>
      <c r="B644" s="163" t="s">
        <v>305</v>
      </c>
      <c r="C644" s="164">
        <v>1814838</v>
      </c>
      <c r="D644" s="164"/>
      <c r="E644" s="164"/>
      <c r="F644" s="164"/>
      <c r="G644" s="164"/>
      <c r="H644" s="164"/>
      <c r="I644" s="164"/>
      <c r="J644" s="164"/>
      <c r="K644" s="164">
        <v>0</v>
      </c>
      <c r="L644" s="162">
        <v>0</v>
      </c>
      <c r="M644" s="164">
        <v>0</v>
      </c>
      <c r="N644" s="164">
        <v>917</v>
      </c>
      <c r="O644" s="164">
        <v>1814838</v>
      </c>
      <c r="P644" s="162">
        <v>0</v>
      </c>
      <c r="Q644" s="164">
        <v>0</v>
      </c>
      <c r="R644" s="165">
        <v>0</v>
      </c>
      <c r="S644" s="164">
        <v>0</v>
      </c>
      <c r="T644" s="165">
        <v>0</v>
      </c>
      <c r="U644" s="246">
        <v>0</v>
      </c>
      <c r="V644" s="241">
        <f>C644-'часть 1'!L655</f>
        <v>-154311</v>
      </c>
      <c r="W644" s="241"/>
      <c r="X644" s="241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254"/>
    </row>
    <row r="645" spans="1:35">
      <c r="A645" s="166">
        <v>84</v>
      </c>
      <c r="B645" s="163" t="s">
        <v>345</v>
      </c>
      <c r="C645" s="164">
        <v>1544359.54</v>
      </c>
      <c r="D645" s="164"/>
      <c r="E645" s="164"/>
      <c r="F645" s="164"/>
      <c r="G645" s="164"/>
      <c r="H645" s="164"/>
      <c r="I645" s="164"/>
      <c r="J645" s="164"/>
      <c r="K645" s="164">
        <v>1544359.54</v>
      </c>
      <c r="L645" s="162">
        <v>0</v>
      </c>
      <c r="M645" s="164">
        <v>0</v>
      </c>
      <c r="N645" s="164">
        <v>0</v>
      </c>
      <c r="O645" s="164">
        <v>0</v>
      </c>
      <c r="P645" s="162">
        <v>0</v>
      </c>
      <c r="Q645" s="164">
        <v>0</v>
      </c>
      <c r="R645" s="165">
        <v>0</v>
      </c>
      <c r="S645" s="164">
        <v>0</v>
      </c>
      <c r="T645" s="165">
        <v>0</v>
      </c>
      <c r="U645" s="246">
        <v>0</v>
      </c>
      <c r="V645" s="241">
        <f>C645-'часть 1'!L656</f>
        <v>521271.54000000004</v>
      </c>
      <c r="W645" s="241"/>
      <c r="X645" s="241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255"/>
    </row>
    <row r="646" spans="1:35" ht="30">
      <c r="A646" s="166">
        <v>85</v>
      </c>
      <c r="B646" s="163" t="s">
        <v>454</v>
      </c>
      <c r="C646" s="164">
        <v>1787034</v>
      </c>
      <c r="D646" s="164"/>
      <c r="E646" s="164"/>
      <c r="F646" s="164"/>
      <c r="G646" s="164"/>
      <c r="H646" s="164"/>
      <c r="I646" s="164"/>
      <c r="J646" s="164"/>
      <c r="K646" s="164">
        <v>0</v>
      </c>
      <c r="L646" s="162">
        <v>1</v>
      </c>
      <c r="M646" s="164">
        <v>1787034</v>
      </c>
      <c r="N646" s="164">
        <v>0</v>
      </c>
      <c r="O646" s="164">
        <v>0</v>
      </c>
      <c r="P646" s="162">
        <v>0</v>
      </c>
      <c r="Q646" s="164">
        <v>0</v>
      </c>
      <c r="R646" s="168">
        <v>0</v>
      </c>
      <c r="S646" s="164">
        <v>0</v>
      </c>
      <c r="T646" s="165">
        <v>0</v>
      </c>
      <c r="U646" s="246">
        <v>0</v>
      </c>
      <c r="V646" s="241">
        <f>C646-'часть 1'!L657</f>
        <v>-1547536</v>
      </c>
      <c r="W646" s="241"/>
      <c r="X646" s="241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254"/>
    </row>
    <row r="647" spans="1:35" ht="30">
      <c r="A647" s="166">
        <v>86</v>
      </c>
      <c r="B647" s="163" t="s">
        <v>455</v>
      </c>
      <c r="C647" s="164">
        <v>437998.57</v>
      </c>
      <c r="D647" s="164"/>
      <c r="E647" s="164"/>
      <c r="F647" s="164"/>
      <c r="G647" s="164"/>
      <c r="H647" s="164"/>
      <c r="I647" s="164"/>
      <c r="J647" s="164"/>
      <c r="K647" s="164">
        <v>437998.57</v>
      </c>
      <c r="L647" s="162">
        <v>0</v>
      </c>
      <c r="M647" s="164">
        <v>0</v>
      </c>
      <c r="N647" s="167">
        <v>0</v>
      </c>
      <c r="O647" s="164">
        <v>0</v>
      </c>
      <c r="P647" s="162">
        <v>0</v>
      </c>
      <c r="Q647" s="164">
        <v>0</v>
      </c>
      <c r="R647" s="168">
        <v>0</v>
      </c>
      <c r="S647" s="164">
        <v>0</v>
      </c>
      <c r="T647" s="165">
        <v>0</v>
      </c>
      <c r="U647" s="246">
        <v>0</v>
      </c>
      <c r="V647" s="241">
        <f>C647-'часть 1'!L658</f>
        <v>-689375.76</v>
      </c>
      <c r="W647" s="241"/>
      <c r="X647" s="241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254"/>
    </row>
    <row r="648" spans="1:35" ht="30">
      <c r="A648" s="166">
        <v>87</v>
      </c>
      <c r="B648" s="163" t="s">
        <v>456</v>
      </c>
      <c r="C648" s="164">
        <v>1116228</v>
      </c>
      <c r="D648" s="164"/>
      <c r="E648" s="164"/>
      <c r="F648" s="164"/>
      <c r="G648" s="164"/>
      <c r="H648" s="164"/>
      <c r="I648" s="164"/>
      <c r="J648" s="164"/>
      <c r="K648" s="164">
        <v>0</v>
      </c>
      <c r="L648" s="162">
        <v>0</v>
      </c>
      <c r="M648" s="164">
        <v>0</v>
      </c>
      <c r="N648" s="164">
        <v>734</v>
      </c>
      <c r="O648" s="164">
        <v>1116228</v>
      </c>
      <c r="P648" s="162">
        <v>0</v>
      </c>
      <c r="Q648" s="164">
        <v>0</v>
      </c>
      <c r="R648" s="168">
        <v>0</v>
      </c>
      <c r="S648" s="164">
        <v>0</v>
      </c>
      <c r="T648" s="165">
        <v>0</v>
      </c>
      <c r="U648" s="246">
        <v>0</v>
      </c>
      <c r="V648" s="241">
        <f>C648-'часть 1'!L659</f>
        <v>-45228</v>
      </c>
      <c r="W648" s="241"/>
      <c r="X648" s="241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254"/>
    </row>
    <row r="649" spans="1:35" ht="30">
      <c r="A649" s="166">
        <v>88</v>
      </c>
      <c r="B649" s="163" t="s">
        <v>457</v>
      </c>
      <c r="C649" s="164">
        <v>1313728</v>
      </c>
      <c r="D649" s="164"/>
      <c r="E649" s="164"/>
      <c r="F649" s="164"/>
      <c r="G649" s="164"/>
      <c r="H649" s="164"/>
      <c r="I649" s="164"/>
      <c r="J649" s="164"/>
      <c r="K649" s="164">
        <v>0</v>
      </c>
      <c r="L649" s="162">
        <v>0</v>
      </c>
      <c r="M649" s="164">
        <v>0</v>
      </c>
      <c r="N649" s="167">
        <v>660.7</v>
      </c>
      <c r="O649" s="164">
        <v>1313728</v>
      </c>
      <c r="P649" s="162">
        <v>0</v>
      </c>
      <c r="Q649" s="164">
        <v>0</v>
      </c>
      <c r="R649" s="165">
        <v>0</v>
      </c>
      <c r="S649" s="164">
        <v>0</v>
      </c>
      <c r="T649" s="165">
        <v>0</v>
      </c>
      <c r="U649" s="246">
        <v>0</v>
      </c>
      <c r="V649" s="241">
        <f>C649-'часть 1'!L660</f>
        <v>116477.77000000002</v>
      </c>
      <c r="W649" s="241"/>
      <c r="X649" s="241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254"/>
    </row>
    <row r="650" spans="1:35">
      <c r="A650" s="166">
        <v>89</v>
      </c>
      <c r="B650" s="163" t="s">
        <v>241</v>
      </c>
      <c r="C650" s="164">
        <v>359651</v>
      </c>
      <c r="D650" s="164"/>
      <c r="E650" s="164"/>
      <c r="F650" s="164"/>
      <c r="G650" s="164"/>
      <c r="H650" s="164"/>
      <c r="I650" s="164"/>
      <c r="J650" s="164"/>
      <c r="K650" s="164">
        <v>359651</v>
      </c>
      <c r="L650" s="162">
        <v>0</v>
      </c>
      <c r="M650" s="164">
        <v>0</v>
      </c>
      <c r="N650" s="164">
        <v>0</v>
      </c>
      <c r="O650" s="164">
        <v>0</v>
      </c>
      <c r="P650" s="162">
        <v>0</v>
      </c>
      <c r="Q650" s="164">
        <v>0</v>
      </c>
      <c r="R650" s="165">
        <v>0</v>
      </c>
      <c r="S650" s="164">
        <v>0</v>
      </c>
      <c r="T650" s="165">
        <v>0</v>
      </c>
      <c r="U650" s="246">
        <v>0</v>
      </c>
      <c r="V650" s="241">
        <f>C650-'часть 1'!L661</f>
        <v>-2424582</v>
      </c>
      <c r="W650" s="241"/>
      <c r="X650" s="241"/>
      <c r="Y650" s="9"/>
      <c r="Z650" s="9"/>
      <c r="AA650" s="9"/>
      <c r="AB650" s="9"/>
      <c r="AC650" s="3"/>
      <c r="AD650" s="9"/>
      <c r="AE650" s="9"/>
      <c r="AF650" s="9"/>
      <c r="AG650" s="9"/>
      <c r="AH650" s="9"/>
      <c r="AI650" s="254"/>
    </row>
    <row r="651" spans="1:35">
      <c r="A651" s="166">
        <v>90</v>
      </c>
      <c r="B651" s="163" t="s">
        <v>233</v>
      </c>
      <c r="C651" s="164">
        <v>906779</v>
      </c>
      <c r="D651" s="164"/>
      <c r="E651" s="164"/>
      <c r="F651" s="164"/>
      <c r="G651" s="164"/>
      <c r="H651" s="164"/>
      <c r="I651" s="164"/>
      <c r="J651" s="164"/>
      <c r="K651" s="164">
        <v>906779</v>
      </c>
      <c r="L651" s="162">
        <v>0</v>
      </c>
      <c r="M651" s="164">
        <v>0</v>
      </c>
      <c r="N651" s="164">
        <v>0</v>
      </c>
      <c r="O651" s="164">
        <v>0</v>
      </c>
      <c r="P651" s="162">
        <v>0</v>
      </c>
      <c r="Q651" s="164">
        <v>0</v>
      </c>
      <c r="R651" s="165">
        <v>0</v>
      </c>
      <c r="S651" s="164">
        <v>0</v>
      </c>
      <c r="T651" s="165">
        <v>0</v>
      </c>
      <c r="U651" s="246">
        <v>0</v>
      </c>
      <c r="V651" s="241">
        <f>C651-'часть 1'!L662</f>
        <v>-1463182</v>
      </c>
      <c r="W651" s="241"/>
      <c r="X651" s="241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254"/>
    </row>
    <row r="652" spans="1:35">
      <c r="A652" s="166">
        <v>91</v>
      </c>
      <c r="B652" s="163" t="s">
        <v>278</v>
      </c>
      <c r="C652" s="164">
        <v>886559</v>
      </c>
      <c r="D652" s="164"/>
      <c r="E652" s="164"/>
      <c r="F652" s="164"/>
      <c r="G652" s="164"/>
      <c r="H652" s="164"/>
      <c r="I652" s="164"/>
      <c r="J652" s="164"/>
      <c r="K652" s="164">
        <v>0</v>
      </c>
      <c r="L652" s="162">
        <v>0</v>
      </c>
      <c r="M652" s="164">
        <v>0</v>
      </c>
      <c r="N652" s="164">
        <v>440</v>
      </c>
      <c r="O652" s="167">
        <v>886559</v>
      </c>
      <c r="P652" s="162">
        <v>0</v>
      </c>
      <c r="Q652" s="164">
        <v>0</v>
      </c>
      <c r="R652" s="165">
        <v>0</v>
      </c>
      <c r="S652" s="164">
        <v>0</v>
      </c>
      <c r="T652" s="165">
        <v>0</v>
      </c>
      <c r="U652" s="246">
        <v>0</v>
      </c>
      <c r="V652" s="241">
        <f>C652-'часть 1'!L663</f>
        <v>213740</v>
      </c>
      <c r="W652" s="241"/>
      <c r="X652" s="241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254"/>
    </row>
    <row r="653" spans="1:35">
      <c r="A653" s="166">
        <v>92</v>
      </c>
      <c r="B653" s="163" t="s">
        <v>347</v>
      </c>
      <c r="C653" s="164">
        <v>642210</v>
      </c>
      <c r="D653" s="164"/>
      <c r="E653" s="164"/>
      <c r="F653" s="164"/>
      <c r="G653" s="164"/>
      <c r="H653" s="164"/>
      <c r="I653" s="164"/>
      <c r="J653" s="164"/>
      <c r="K653" s="164">
        <v>0</v>
      </c>
      <c r="L653" s="162">
        <v>0</v>
      </c>
      <c r="M653" s="164">
        <v>0</v>
      </c>
      <c r="N653" s="164">
        <v>0</v>
      </c>
      <c r="O653" s="164">
        <v>0</v>
      </c>
      <c r="P653" s="162">
        <v>0</v>
      </c>
      <c r="Q653" s="164">
        <v>0</v>
      </c>
      <c r="R653" s="164">
        <v>440</v>
      </c>
      <c r="S653" s="164">
        <v>642210</v>
      </c>
      <c r="T653" s="165">
        <v>0</v>
      </c>
      <c r="U653" s="246">
        <v>0</v>
      </c>
      <c r="V653" s="241">
        <f>C653-'часть 1'!L664</f>
        <v>-1009281</v>
      </c>
      <c r="W653" s="241"/>
      <c r="X653" s="241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254"/>
    </row>
    <row r="654" spans="1:35">
      <c r="A654" s="166">
        <v>93</v>
      </c>
      <c r="B654" s="163" t="s">
        <v>266</v>
      </c>
      <c r="C654" s="164">
        <v>1952489</v>
      </c>
      <c r="D654" s="164"/>
      <c r="E654" s="164"/>
      <c r="F654" s="164"/>
      <c r="G654" s="164"/>
      <c r="H654" s="164"/>
      <c r="I654" s="164"/>
      <c r="J654" s="164"/>
      <c r="K654" s="164">
        <v>0</v>
      </c>
      <c r="L654" s="162">
        <v>0</v>
      </c>
      <c r="M654" s="164">
        <v>0</v>
      </c>
      <c r="N654" s="164">
        <v>965</v>
      </c>
      <c r="O654" s="164">
        <v>1952489</v>
      </c>
      <c r="P654" s="162">
        <v>0</v>
      </c>
      <c r="Q654" s="164">
        <v>0</v>
      </c>
      <c r="R654" s="168">
        <v>0</v>
      </c>
      <c r="S654" s="164">
        <v>0</v>
      </c>
      <c r="T654" s="165">
        <v>0</v>
      </c>
      <c r="U654" s="246">
        <v>0</v>
      </c>
      <c r="V654" s="241">
        <f>C654-'часть 1'!L665</f>
        <v>519563</v>
      </c>
      <c r="W654" s="241"/>
      <c r="X654" s="241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254"/>
    </row>
    <row r="655" spans="1:35">
      <c r="A655" s="166">
        <v>94</v>
      </c>
      <c r="B655" s="163" t="s">
        <v>310</v>
      </c>
      <c r="C655" s="164">
        <v>15157748</v>
      </c>
      <c r="D655" s="164"/>
      <c r="E655" s="164"/>
      <c r="F655" s="164"/>
      <c r="G655" s="164"/>
      <c r="H655" s="164"/>
      <c r="I655" s="164"/>
      <c r="J655" s="164"/>
      <c r="K655" s="164">
        <v>0</v>
      </c>
      <c r="L655" s="162">
        <v>8</v>
      </c>
      <c r="M655" s="164">
        <v>15157748</v>
      </c>
      <c r="N655" s="164">
        <v>0</v>
      </c>
      <c r="O655" s="164">
        <v>0</v>
      </c>
      <c r="P655" s="162">
        <v>0</v>
      </c>
      <c r="Q655" s="164">
        <v>0</v>
      </c>
      <c r="R655" s="165">
        <v>0</v>
      </c>
      <c r="S655" s="164">
        <v>0</v>
      </c>
      <c r="T655" s="165">
        <v>0</v>
      </c>
      <c r="U655" s="246">
        <v>0</v>
      </c>
      <c r="V655" s="241">
        <f>C655-'часть 1'!L666</f>
        <v>14019862</v>
      </c>
      <c r="W655" s="241"/>
      <c r="X655" s="241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254"/>
    </row>
    <row r="656" spans="1:35">
      <c r="A656" s="166">
        <v>95</v>
      </c>
      <c r="B656" s="163" t="s">
        <v>281</v>
      </c>
      <c r="C656" s="164">
        <v>2542298.37</v>
      </c>
      <c r="D656" s="164"/>
      <c r="E656" s="164"/>
      <c r="F656" s="164"/>
      <c r="G656" s="164"/>
      <c r="H656" s="164"/>
      <c r="I656" s="164"/>
      <c r="J656" s="164"/>
      <c r="K656" s="164">
        <v>0</v>
      </c>
      <c r="L656" s="162">
        <v>0</v>
      </c>
      <c r="M656" s="164">
        <v>0</v>
      </c>
      <c r="N656" s="164">
        <v>1350</v>
      </c>
      <c r="O656" s="164">
        <v>2542298.37</v>
      </c>
      <c r="P656" s="162">
        <v>0</v>
      </c>
      <c r="Q656" s="164">
        <v>0</v>
      </c>
      <c r="R656" s="165">
        <v>0</v>
      </c>
      <c r="S656" s="164">
        <v>0</v>
      </c>
      <c r="T656" s="165">
        <v>0</v>
      </c>
      <c r="U656" s="246">
        <v>0</v>
      </c>
      <c r="V656" s="241">
        <f>C656-'часть 1'!L667</f>
        <v>727460.37000000011</v>
      </c>
      <c r="W656" s="241"/>
      <c r="X656" s="241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254"/>
    </row>
    <row r="657" spans="1:35">
      <c r="A657" s="166">
        <v>96</v>
      </c>
      <c r="B657" s="163" t="s">
        <v>248</v>
      </c>
      <c r="C657" s="164">
        <v>1114586</v>
      </c>
      <c r="D657" s="164"/>
      <c r="E657" s="164"/>
      <c r="F657" s="164"/>
      <c r="G657" s="164"/>
      <c r="H657" s="164"/>
      <c r="I657" s="164"/>
      <c r="J657" s="164"/>
      <c r="K657" s="164">
        <v>0</v>
      </c>
      <c r="L657" s="162">
        <v>0</v>
      </c>
      <c r="M657" s="164">
        <v>0</v>
      </c>
      <c r="N657" s="164">
        <v>550</v>
      </c>
      <c r="O657" s="164">
        <v>1114586</v>
      </c>
      <c r="P657" s="162">
        <v>0</v>
      </c>
      <c r="Q657" s="164">
        <v>0</v>
      </c>
      <c r="R657" s="168">
        <v>0</v>
      </c>
      <c r="S657" s="164">
        <v>0</v>
      </c>
      <c r="T657" s="165">
        <v>0</v>
      </c>
      <c r="U657" s="246">
        <v>0</v>
      </c>
      <c r="V657" s="241">
        <f>C657-'часть 1'!L668</f>
        <v>-429773.54000000004</v>
      </c>
      <c r="W657" s="241"/>
      <c r="X657" s="241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254"/>
    </row>
    <row r="658" spans="1:35">
      <c r="A658" s="166">
        <v>97</v>
      </c>
      <c r="B658" s="163" t="s">
        <v>301</v>
      </c>
      <c r="C658" s="164">
        <v>5623853</v>
      </c>
      <c r="D658" s="164"/>
      <c r="E658" s="164"/>
      <c r="F658" s="164"/>
      <c r="G658" s="164"/>
      <c r="H658" s="164"/>
      <c r="I658" s="164"/>
      <c r="J658" s="164"/>
      <c r="K658" s="164">
        <v>0</v>
      </c>
      <c r="L658" s="162">
        <v>3</v>
      </c>
      <c r="M658" s="170">
        <v>5623853</v>
      </c>
      <c r="N658" s="164">
        <v>0</v>
      </c>
      <c r="O658" s="164">
        <v>0</v>
      </c>
      <c r="P658" s="162">
        <v>0</v>
      </c>
      <c r="Q658" s="164">
        <v>0</v>
      </c>
      <c r="R658" s="168">
        <v>0</v>
      </c>
      <c r="S658" s="164">
        <v>0</v>
      </c>
      <c r="T658" s="165">
        <v>0</v>
      </c>
      <c r="U658" s="246">
        <v>0</v>
      </c>
      <c r="V658" s="241">
        <f>C658-'часть 1'!L669</f>
        <v>3836819</v>
      </c>
      <c r="W658" s="241"/>
      <c r="X658" s="241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254"/>
    </row>
    <row r="659" spans="1:35">
      <c r="A659" s="166">
        <v>98</v>
      </c>
      <c r="B659" s="163" t="s">
        <v>244</v>
      </c>
      <c r="C659" s="164">
        <v>2721106</v>
      </c>
      <c r="D659" s="164"/>
      <c r="E659" s="164"/>
      <c r="F659" s="164"/>
      <c r="G659" s="164"/>
      <c r="H659" s="164"/>
      <c r="I659" s="164"/>
      <c r="J659" s="164"/>
      <c r="K659" s="164">
        <v>0</v>
      </c>
      <c r="L659" s="162">
        <v>0</v>
      </c>
      <c r="M659" s="164">
        <v>0</v>
      </c>
      <c r="N659" s="164">
        <v>1371</v>
      </c>
      <c r="O659" s="164">
        <v>2721106</v>
      </c>
      <c r="P659" s="162">
        <v>0</v>
      </c>
      <c r="Q659" s="164">
        <v>0</v>
      </c>
      <c r="R659" s="165">
        <v>0</v>
      </c>
      <c r="S659" s="164">
        <v>0</v>
      </c>
      <c r="T659" s="165">
        <v>0</v>
      </c>
      <c r="U659" s="246">
        <v>0</v>
      </c>
      <c r="V659" s="241">
        <f>C659-'часть 1'!L670</f>
        <v>2283107.4300000002</v>
      </c>
      <c r="W659" s="241"/>
      <c r="X659" s="241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254"/>
    </row>
    <row r="660" spans="1:35">
      <c r="A660" s="166">
        <v>99</v>
      </c>
      <c r="B660" s="163" t="s">
        <v>288</v>
      </c>
      <c r="C660" s="164">
        <v>9789326.5500000007</v>
      </c>
      <c r="D660" s="164"/>
      <c r="E660" s="164"/>
      <c r="F660" s="164"/>
      <c r="G660" s="164"/>
      <c r="H660" s="164"/>
      <c r="I660" s="164"/>
      <c r="J660" s="164"/>
      <c r="K660" s="164">
        <v>6592990.5599999996</v>
      </c>
      <c r="L660" s="162">
        <v>0</v>
      </c>
      <c r="M660" s="164">
        <v>0</v>
      </c>
      <c r="N660" s="164">
        <v>2090</v>
      </c>
      <c r="O660" s="164">
        <v>3196335.99</v>
      </c>
      <c r="P660" s="162">
        <v>0</v>
      </c>
      <c r="Q660" s="164">
        <v>0</v>
      </c>
      <c r="R660" s="165">
        <v>0</v>
      </c>
      <c r="S660" s="164">
        <v>0</v>
      </c>
      <c r="T660" s="165">
        <v>0</v>
      </c>
      <c r="U660" s="246">
        <v>0</v>
      </c>
      <c r="V660" s="241">
        <f>C660-'часть 1'!L671</f>
        <v>8673098.5500000007</v>
      </c>
      <c r="W660" s="241"/>
      <c r="X660" s="241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254"/>
    </row>
    <row r="661" spans="1:35">
      <c r="A661" s="166">
        <v>100</v>
      </c>
      <c r="B661" s="163" t="s">
        <v>249</v>
      </c>
      <c r="C661" s="164">
        <v>1615074</v>
      </c>
      <c r="D661" s="164"/>
      <c r="E661" s="164"/>
      <c r="F661" s="164"/>
      <c r="G661" s="164"/>
      <c r="H661" s="164"/>
      <c r="I661" s="164"/>
      <c r="J661" s="164"/>
      <c r="K661" s="164" t="e">
        <f>#REF!</f>
        <v>#REF!</v>
      </c>
      <c r="L661" s="162">
        <v>0</v>
      </c>
      <c r="M661" s="164">
        <v>0</v>
      </c>
      <c r="N661" s="164">
        <v>0</v>
      </c>
      <c r="O661" s="164">
        <v>0</v>
      </c>
      <c r="P661" s="162">
        <v>0</v>
      </c>
      <c r="Q661" s="164">
        <v>0</v>
      </c>
      <c r="R661" s="168">
        <v>0</v>
      </c>
      <c r="S661" s="164">
        <v>0</v>
      </c>
      <c r="T661" s="165">
        <v>0</v>
      </c>
      <c r="U661" s="246">
        <v>0</v>
      </c>
      <c r="V661" s="241">
        <f>C661-'часть 1'!L672</f>
        <v>301346</v>
      </c>
      <c r="W661" s="241"/>
      <c r="X661" s="241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254"/>
    </row>
    <row r="662" spans="1:35">
      <c r="A662" s="166">
        <v>101</v>
      </c>
      <c r="B662" s="163" t="s">
        <v>265</v>
      </c>
      <c r="C662" s="164">
        <v>824390</v>
      </c>
      <c r="D662" s="164"/>
      <c r="E662" s="164"/>
      <c r="F662" s="164"/>
      <c r="G662" s="164"/>
      <c r="H662" s="164"/>
      <c r="I662" s="164"/>
      <c r="J662" s="164"/>
      <c r="K662" s="164">
        <v>824390</v>
      </c>
      <c r="L662" s="162">
        <v>0</v>
      </c>
      <c r="M662" s="164">
        <v>0</v>
      </c>
      <c r="N662" s="164">
        <v>0</v>
      </c>
      <c r="O662" s="164">
        <v>0</v>
      </c>
      <c r="P662" s="162">
        <v>0</v>
      </c>
      <c r="Q662" s="164">
        <v>0</v>
      </c>
      <c r="R662" s="165">
        <v>0</v>
      </c>
      <c r="S662" s="164">
        <v>0</v>
      </c>
      <c r="T662" s="165">
        <v>0</v>
      </c>
      <c r="U662" s="246">
        <v>0</v>
      </c>
      <c r="V662" s="241">
        <f>C662-'часть 1'!L673</f>
        <v>464739</v>
      </c>
      <c r="W662" s="241"/>
      <c r="X662" s="241"/>
      <c r="Y662" s="9"/>
      <c r="Z662" s="9"/>
      <c r="AA662" s="3"/>
      <c r="AB662" s="9"/>
      <c r="AC662" s="9"/>
      <c r="AD662" s="9"/>
      <c r="AE662" s="9"/>
      <c r="AF662" s="9"/>
      <c r="AG662" s="9"/>
      <c r="AH662" s="9"/>
      <c r="AI662" s="254"/>
    </row>
    <row r="663" spans="1:35">
      <c r="A663" s="166">
        <v>102</v>
      </c>
      <c r="B663" s="163" t="s">
        <v>292</v>
      </c>
      <c r="C663" s="164">
        <v>2661189</v>
      </c>
      <c r="D663" s="164"/>
      <c r="E663" s="164"/>
      <c r="F663" s="164"/>
      <c r="G663" s="164"/>
      <c r="H663" s="164"/>
      <c r="I663" s="164"/>
      <c r="J663" s="164"/>
      <c r="K663" s="164">
        <v>0</v>
      </c>
      <c r="L663" s="162">
        <v>0</v>
      </c>
      <c r="M663" s="164">
        <v>0</v>
      </c>
      <c r="N663" s="164">
        <v>1338.7</v>
      </c>
      <c r="O663" s="164">
        <v>2661189</v>
      </c>
      <c r="P663" s="162">
        <v>0</v>
      </c>
      <c r="Q663" s="164">
        <v>0</v>
      </c>
      <c r="R663" s="168">
        <v>0</v>
      </c>
      <c r="S663" s="164">
        <v>0</v>
      </c>
      <c r="T663" s="165">
        <v>0</v>
      </c>
      <c r="U663" s="246">
        <v>0</v>
      </c>
      <c r="V663" s="241">
        <f>C663-'часть 1'!L674</f>
        <v>1754410</v>
      </c>
      <c r="W663" s="241"/>
      <c r="X663" s="241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254"/>
    </row>
    <row r="664" spans="1:35">
      <c r="A664" s="166">
        <v>103</v>
      </c>
      <c r="B664" s="163" t="s">
        <v>276</v>
      </c>
      <c r="C664" s="164">
        <v>278220</v>
      </c>
      <c r="D664" s="164"/>
      <c r="E664" s="164"/>
      <c r="F664" s="164"/>
      <c r="G664" s="164"/>
      <c r="H664" s="164"/>
      <c r="I664" s="164"/>
      <c r="J664" s="164"/>
      <c r="K664" s="164">
        <v>278220</v>
      </c>
      <c r="L664" s="162">
        <v>0</v>
      </c>
      <c r="M664" s="164">
        <v>0</v>
      </c>
      <c r="N664" s="164">
        <v>0</v>
      </c>
      <c r="O664" s="164">
        <v>0</v>
      </c>
      <c r="P664" s="162">
        <v>0</v>
      </c>
      <c r="Q664" s="164">
        <v>0</v>
      </c>
      <c r="R664" s="165">
        <v>0</v>
      </c>
      <c r="S664" s="164">
        <v>0</v>
      </c>
      <c r="T664" s="165">
        <v>0</v>
      </c>
      <c r="U664" s="246">
        <v>0</v>
      </c>
      <c r="V664" s="241">
        <f>C664-'часть 1'!L675</f>
        <v>-608339</v>
      </c>
      <c r="W664" s="241"/>
      <c r="X664" s="241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254"/>
    </row>
    <row r="665" spans="1:35">
      <c r="A665" s="166">
        <v>104</v>
      </c>
      <c r="B665" s="163" t="s">
        <v>229</v>
      </c>
      <c r="C665" s="164">
        <v>2511472</v>
      </c>
      <c r="D665" s="164"/>
      <c r="E665" s="164"/>
      <c r="F665" s="164"/>
      <c r="G665" s="164"/>
      <c r="H665" s="164"/>
      <c r="I665" s="164"/>
      <c r="J665" s="164"/>
      <c r="K665" s="164">
        <v>2511472</v>
      </c>
      <c r="L665" s="162">
        <v>0</v>
      </c>
      <c r="M665" s="164">
        <v>0</v>
      </c>
      <c r="N665" s="164">
        <v>0</v>
      </c>
      <c r="O665" s="164">
        <v>0</v>
      </c>
      <c r="P665" s="162">
        <v>0</v>
      </c>
      <c r="Q665" s="164">
        <v>0</v>
      </c>
      <c r="R665" s="165">
        <v>0</v>
      </c>
      <c r="S665" s="164">
        <v>0</v>
      </c>
      <c r="T665" s="165">
        <v>0</v>
      </c>
      <c r="U665" s="246">
        <v>0</v>
      </c>
      <c r="V665" s="241">
        <f>C665-'часть 1'!L676</f>
        <v>1869262</v>
      </c>
      <c r="W665" s="241"/>
      <c r="X665" s="241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254"/>
    </row>
    <row r="666" spans="1:35" ht="30">
      <c r="A666" s="166">
        <v>105</v>
      </c>
      <c r="B666" s="163" t="s">
        <v>309</v>
      </c>
      <c r="C666" s="164">
        <v>871988</v>
      </c>
      <c r="D666" s="164"/>
      <c r="E666" s="164"/>
      <c r="F666" s="164"/>
      <c r="G666" s="164"/>
      <c r="H666" s="164"/>
      <c r="I666" s="164"/>
      <c r="J666" s="164"/>
      <c r="K666" s="164">
        <v>0</v>
      </c>
      <c r="L666" s="162">
        <v>0</v>
      </c>
      <c r="M666" s="164">
        <v>0</v>
      </c>
      <c r="N666" s="164">
        <v>438.23</v>
      </c>
      <c r="O666" s="164">
        <v>871988</v>
      </c>
      <c r="P666" s="162">
        <v>0</v>
      </c>
      <c r="Q666" s="164">
        <v>0</v>
      </c>
      <c r="R666" s="165">
        <v>0</v>
      </c>
      <c r="S666" s="164">
        <v>0</v>
      </c>
      <c r="T666" s="165">
        <v>0</v>
      </c>
      <c r="U666" s="246">
        <v>0</v>
      </c>
      <c r="V666" s="241">
        <f>C666-'часть 1'!L677</f>
        <v>-1080501</v>
      </c>
      <c r="W666" s="241"/>
      <c r="X666" s="241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254"/>
    </row>
    <row r="667" spans="1:35" ht="30">
      <c r="A667" s="166">
        <v>106</v>
      </c>
      <c r="B667" s="163" t="s">
        <v>308</v>
      </c>
      <c r="C667" s="164">
        <v>2113335</v>
      </c>
      <c r="D667" s="164"/>
      <c r="E667" s="164"/>
      <c r="F667" s="164"/>
      <c r="G667" s="164"/>
      <c r="H667" s="164"/>
      <c r="I667" s="164"/>
      <c r="J667" s="164"/>
      <c r="K667" s="164" t="e">
        <f>#REF!</f>
        <v>#REF!</v>
      </c>
      <c r="L667" s="162">
        <v>0</v>
      </c>
      <c r="M667" s="164">
        <v>0</v>
      </c>
      <c r="N667" s="164">
        <v>0</v>
      </c>
      <c r="O667" s="164">
        <v>0</v>
      </c>
      <c r="P667" s="162">
        <v>0</v>
      </c>
      <c r="Q667" s="164">
        <v>0</v>
      </c>
      <c r="R667" s="165">
        <v>0</v>
      </c>
      <c r="S667" s="164">
        <v>0</v>
      </c>
      <c r="T667" s="165">
        <v>0</v>
      </c>
      <c r="U667" s="246">
        <v>0</v>
      </c>
      <c r="V667" s="241">
        <f>C667-'часть 1'!L678</f>
        <v>-13044413</v>
      </c>
      <c r="W667" s="241"/>
      <c r="X667" s="241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254"/>
    </row>
    <row r="668" spans="1:35">
      <c r="A668" s="166">
        <v>107</v>
      </c>
      <c r="B668" s="163" t="s">
        <v>296</v>
      </c>
      <c r="C668" s="164">
        <v>996585</v>
      </c>
      <c r="D668" s="164"/>
      <c r="E668" s="164"/>
      <c r="F668" s="164"/>
      <c r="G668" s="164"/>
      <c r="H668" s="164"/>
      <c r="I668" s="164"/>
      <c r="J668" s="164"/>
      <c r="K668" s="164">
        <v>0</v>
      </c>
      <c r="L668" s="162">
        <v>0</v>
      </c>
      <c r="M668" s="164">
        <v>0</v>
      </c>
      <c r="N668" s="164">
        <v>496.2</v>
      </c>
      <c r="O668" s="164">
        <v>996585</v>
      </c>
      <c r="P668" s="162">
        <v>0</v>
      </c>
      <c r="Q668" s="164">
        <v>0</v>
      </c>
      <c r="R668" s="165">
        <v>0</v>
      </c>
      <c r="S668" s="164">
        <v>0</v>
      </c>
      <c r="T668" s="165">
        <v>0</v>
      </c>
      <c r="U668" s="246">
        <v>0</v>
      </c>
      <c r="V668" s="241">
        <f>C668-'часть 1'!L679</f>
        <v>-1545713.37</v>
      </c>
      <c r="W668" s="241"/>
      <c r="X668" s="241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254"/>
    </row>
    <row r="669" spans="1:35">
      <c r="A669" s="166">
        <v>108</v>
      </c>
      <c r="B669" s="163" t="s">
        <v>240</v>
      </c>
      <c r="C669" s="164">
        <v>637739</v>
      </c>
      <c r="D669" s="164"/>
      <c r="E669" s="164"/>
      <c r="F669" s="164"/>
      <c r="G669" s="164"/>
      <c r="H669" s="164"/>
      <c r="I669" s="164"/>
      <c r="J669" s="164"/>
      <c r="K669" s="164">
        <v>637739</v>
      </c>
      <c r="L669" s="162">
        <v>0</v>
      </c>
      <c r="M669" s="164">
        <v>0</v>
      </c>
      <c r="N669" s="164">
        <v>0</v>
      </c>
      <c r="O669" s="164">
        <v>0</v>
      </c>
      <c r="P669" s="162">
        <v>0</v>
      </c>
      <c r="Q669" s="164">
        <v>0</v>
      </c>
      <c r="R669" s="165">
        <v>0</v>
      </c>
      <c r="S669" s="164">
        <v>0</v>
      </c>
      <c r="T669" s="165">
        <v>0</v>
      </c>
      <c r="U669" s="246">
        <v>0</v>
      </c>
      <c r="V669" s="241">
        <f>C669-'часть 1'!L680</f>
        <v>-476847</v>
      </c>
      <c r="W669" s="241"/>
      <c r="X669" s="241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254"/>
    </row>
    <row r="670" spans="1:35">
      <c r="A670" s="166">
        <v>109</v>
      </c>
      <c r="B670" s="163" t="s">
        <v>243</v>
      </c>
      <c r="C670" s="164">
        <v>1357217</v>
      </c>
      <c r="D670" s="164"/>
      <c r="E670" s="164"/>
      <c r="F670" s="164"/>
      <c r="G670" s="164"/>
      <c r="H670" s="164"/>
      <c r="I670" s="164"/>
      <c r="J670" s="164"/>
      <c r="K670" s="164">
        <v>0</v>
      </c>
      <c r="L670" s="162">
        <v>0</v>
      </c>
      <c r="M670" s="164">
        <v>0</v>
      </c>
      <c r="N670" s="164">
        <v>675</v>
      </c>
      <c r="O670" s="164">
        <v>1357217</v>
      </c>
      <c r="P670" s="162">
        <v>0</v>
      </c>
      <c r="Q670" s="164">
        <v>0</v>
      </c>
      <c r="R670" s="165">
        <v>0</v>
      </c>
      <c r="S670" s="164">
        <v>0</v>
      </c>
      <c r="T670" s="165">
        <v>0</v>
      </c>
      <c r="U670" s="246">
        <v>0</v>
      </c>
      <c r="V670" s="241">
        <f>C670-'часть 1'!L681</f>
        <v>-4266636</v>
      </c>
      <c r="W670" s="241"/>
      <c r="X670" s="241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254"/>
    </row>
    <row r="671" spans="1:35">
      <c r="A671" s="166">
        <v>110</v>
      </c>
      <c r="B671" s="163" t="s">
        <v>269</v>
      </c>
      <c r="C671" s="164">
        <v>836226</v>
      </c>
      <c r="D671" s="164"/>
      <c r="E671" s="164"/>
      <c r="F671" s="164"/>
      <c r="G671" s="164"/>
      <c r="H671" s="164"/>
      <c r="I671" s="164"/>
      <c r="J671" s="164"/>
      <c r="K671" s="164">
        <v>0</v>
      </c>
      <c r="L671" s="162">
        <v>0</v>
      </c>
      <c r="M671" s="164">
        <v>0</v>
      </c>
      <c r="N671" s="164">
        <v>414.1</v>
      </c>
      <c r="O671" s="167">
        <v>836226</v>
      </c>
      <c r="P671" s="162">
        <v>0</v>
      </c>
      <c r="Q671" s="164">
        <v>0</v>
      </c>
      <c r="R671" s="165">
        <v>0</v>
      </c>
      <c r="S671" s="164">
        <v>0</v>
      </c>
      <c r="T671" s="165">
        <v>0</v>
      </c>
      <c r="U671" s="246">
        <v>0</v>
      </c>
      <c r="V671" s="241">
        <f>C671-'часть 1'!L682</f>
        <v>-1884880</v>
      </c>
      <c r="W671" s="241"/>
      <c r="X671" s="241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254"/>
    </row>
    <row r="672" spans="1:35">
      <c r="A672" s="166">
        <v>111</v>
      </c>
      <c r="B672" s="163" t="s">
        <v>299</v>
      </c>
      <c r="C672" s="164">
        <v>640078</v>
      </c>
      <c r="D672" s="164"/>
      <c r="E672" s="164"/>
      <c r="F672" s="164"/>
      <c r="G672" s="164"/>
      <c r="H672" s="164"/>
      <c r="I672" s="164"/>
      <c r="J672" s="164"/>
      <c r="K672" s="164">
        <v>640078</v>
      </c>
      <c r="L672" s="162">
        <v>0</v>
      </c>
      <c r="M672" s="164">
        <v>0</v>
      </c>
      <c r="N672" s="164">
        <v>0</v>
      </c>
      <c r="O672" s="164">
        <v>0</v>
      </c>
      <c r="P672" s="162">
        <v>0</v>
      </c>
      <c r="Q672" s="164">
        <v>0</v>
      </c>
      <c r="R672" s="165">
        <v>0</v>
      </c>
      <c r="S672" s="164">
        <v>0</v>
      </c>
      <c r="T672" s="165">
        <v>0</v>
      </c>
      <c r="U672" s="246">
        <v>0</v>
      </c>
      <c r="V672" s="241">
        <f>C672-'часть 1'!L683</f>
        <v>-9149248.5500000007</v>
      </c>
      <c r="W672" s="241"/>
      <c r="X672" s="241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254"/>
    </row>
    <row r="673" spans="1:35">
      <c r="A673" s="166">
        <v>112</v>
      </c>
      <c r="B673" s="163" t="s">
        <v>236</v>
      </c>
      <c r="C673" s="164">
        <v>202649</v>
      </c>
      <c r="D673" s="164"/>
      <c r="E673" s="164"/>
      <c r="F673" s="164"/>
      <c r="G673" s="164"/>
      <c r="H673" s="164"/>
      <c r="I673" s="164"/>
      <c r="J673" s="164"/>
      <c r="K673" s="164" t="e">
        <f>#REF!</f>
        <v>#REF!</v>
      </c>
      <c r="L673" s="162">
        <v>0</v>
      </c>
      <c r="M673" s="164">
        <v>0</v>
      </c>
      <c r="N673" s="164">
        <v>0</v>
      </c>
      <c r="O673" s="164">
        <v>0</v>
      </c>
      <c r="P673" s="162">
        <v>0</v>
      </c>
      <c r="Q673" s="164">
        <v>0</v>
      </c>
      <c r="R673" s="168">
        <v>0</v>
      </c>
      <c r="S673" s="164">
        <v>0</v>
      </c>
      <c r="T673" s="165">
        <v>0</v>
      </c>
      <c r="U673" s="246">
        <v>0</v>
      </c>
      <c r="V673" s="241">
        <f>C673-'часть 1'!L684</f>
        <v>-1412425</v>
      </c>
      <c r="W673" s="241"/>
      <c r="X673" s="241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254"/>
    </row>
    <row r="674" spans="1:35">
      <c r="A674" s="166">
        <v>113</v>
      </c>
      <c r="B674" s="163" t="s">
        <v>285</v>
      </c>
      <c r="C674" s="164">
        <v>7892437</v>
      </c>
      <c r="D674" s="164"/>
      <c r="E674" s="164"/>
      <c r="F674" s="164"/>
      <c r="G674" s="164"/>
      <c r="H674" s="164"/>
      <c r="I674" s="164"/>
      <c r="J674" s="164"/>
      <c r="K674" s="164">
        <v>7892437</v>
      </c>
      <c r="L674" s="162">
        <v>0</v>
      </c>
      <c r="M674" s="164">
        <v>0</v>
      </c>
      <c r="N674" s="164">
        <v>0</v>
      </c>
      <c r="O674" s="164">
        <v>0</v>
      </c>
      <c r="P674" s="162">
        <v>0</v>
      </c>
      <c r="Q674" s="164">
        <v>0</v>
      </c>
      <c r="R674" s="165">
        <v>0</v>
      </c>
      <c r="S674" s="164">
        <v>0</v>
      </c>
      <c r="T674" s="165">
        <v>0</v>
      </c>
      <c r="U674" s="246">
        <v>0</v>
      </c>
      <c r="V674" s="241">
        <f>C674-'часть 1'!L685</f>
        <v>7068047</v>
      </c>
      <c r="W674" s="241"/>
      <c r="X674" s="241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254"/>
    </row>
    <row r="675" spans="1:35">
      <c r="A675" s="166">
        <v>114</v>
      </c>
      <c r="B675" s="163" t="s">
        <v>237</v>
      </c>
      <c r="C675" s="164">
        <v>523389</v>
      </c>
      <c r="D675" s="164"/>
      <c r="E675" s="164"/>
      <c r="F675" s="164"/>
      <c r="G675" s="164"/>
      <c r="H675" s="164"/>
      <c r="I675" s="164"/>
      <c r="J675" s="164"/>
      <c r="K675" s="164">
        <v>0</v>
      </c>
      <c r="L675" s="162">
        <v>0</v>
      </c>
      <c r="M675" s="164">
        <v>0</v>
      </c>
      <c r="N675" s="164">
        <v>255</v>
      </c>
      <c r="O675" s="164">
        <v>523389</v>
      </c>
      <c r="P675" s="162">
        <v>0</v>
      </c>
      <c r="Q675" s="164">
        <v>0</v>
      </c>
      <c r="R675" s="168">
        <v>0</v>
      </c>
      <c r="S675" s="164">
        <v>0</v>
      </c>
      <c r="T675" s="165">
        <v>0</v>
      </c>
      <c r="U675" s="246">
        <v>0</v>
      </c>
      <c r="V675" s="241">
        <f>C675-'часть 1'!L686</f>
        <v>-2137800</v>
      </c>
      <c r="W675" s="241"/>
      <c r="X675" s="241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254"/>
    </row>
    <row r="676" spans="1:35">
      <c r="A676" s="166">
        <v>115</v>
      </c>
      <c r="B676" s="163" t="s">
        <v>264</v>
      </c>
      <c r="C676" s="164">
        <v>1038920</v>
      </c>
      <c r="D676" s="164"/>
      <c r="E676" s="164"/>
      <c r="F676" s="164"/>
      <c r="G676" s="164"/>
      <c r="H676" s="164"/>
      <c r="I676" s="164"/>
      <c r="J676" s="164"/>
      <c r="K676" s="164">
        <v>1038920</v>
      </c>
      <c r="L676" s="162">
        <v>0</v>
      </c>
      <c r="M676" s="164">
        <v>0</v>
      </c>
      <c r="N676" s="164">
        <v>0</v>
      </c>
      <c r="O676" s="164">
        <v>0</v>
      </c>
      <c r="P676" s="162">
        <v>0</v>
      </c>
      <c r="Q676" s="164">
        <v>0</v>
      </c>
      <c r="R676" s="165">
        <v>0</v>
      </c>
      <c r="S676" s="164">
        <v>0</v>
      </c>
      <c r="T676" s="165">
        <v>0</v>
      </c>
      <c r="U676" s="246">
        <v>0</v>
      </c>
      <c r="V676" s="241">
        <f>C676-'часть 1'!L687</f>
        <v>760700</v>
      </c>
      <c r="W676" s="241"/>
      <c r="X676" s="241"/>
      <c r="Y676" s="9"/>
      <c r="Z676" s="9"/>
      <c r="AA676" s="9"/>
      <c r="AB676" s="9"/>
      <c r="AC676" s="3"/>
      <c r="AD676" s="9"/>
      <c r="AE676" s="9"/>
      <c r="AF676" s="9"/>
      <c r="AG676" s="9"/>
      <c r="AH676" s="9"/>
      <c r="AI676" s="254"/>
    </row>
    <row r="677" spans="1:35">
      <c r="A677" s="162">
        <v>116</v>
      </c>
      <c r="B677" s="163" t="s">
        <v>258</v>
      </c>
      <c r="C677" s="164">
        <v>1742553</v>
      </c>
      <c r="D677" s="164"/>
      <c r="E677" s="164"/>
      <c r="F677" s="164"/>
      <c r="G677" s="164"/>
      <c r="H677" s="164"/>
      <c r="I677" s="164"/>
      <c r="J677" s="164"/>
      <c r="K677" s="164">
        <v>0</v>
      </c>
      <c r="L677" s="162">
        <v>0</v>
      </c>
      <c r="M677" s="164">
        <v>0</v>
      </c>
      <c r="N677" s="164">
        <v>874.22</v>
      </c>
      <c r="O677" s="167">
        <v>1742553</v>
      </c>
      <c r="P677" s="162">
        <v>0</v>
      </c>
      <c r="Q677" s="164">
        <v>0</v>
      </c>
      <c r="R677" s="165">
        <v>0</v>
      </c>
      <c r="S677" s="164">
        <v>0</v>
      </c>
      <c r="T677" s="165">
        <v>0</v>
      </c>
      <c r="U677" s="246">
        <v>0</v>
      </c>
      <c r="V677" s="241">
        <f>C677-'часть 1'!L688</f>
        <v>-768919</v>
      </c>
      <c r="W677" s="241"/>
      <c r="X677" s="241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254"/>
    </row>
    <row r="678" spans="1:35">
      <c r="A678" s="162">
        <v>117</v>
      </c>
      <c r="B678" s="163" t="s">
        <v>250</v>
      </c>
      <c r="C678" s="164">
        <v>2124581</v>
      </c>
      <c r="D678" s="164"/>
      <c r="E678" s="164"/>
      <c r="F678" s="164"/>
      <c r="G678" s="164"/>
      <c r="H678" s="164"/>
      <c r="I678" s="164"/>
      <c r="J678" s="164"/>
      <c r="K678" s="164">
        <v>0</v>
      </c>
      <c r="L678" s="162">
        <v>0</v>
      </c>
      <c r="M678" s="164">
        <v>0</v>
      </c>
      <c r="N678" s="164">
        <v>1070</v>
      </c>
      <c r="O678" s="167">
        <v>2124581</v>
      </c>
      <c r="P678" s="162">
        <v>0</v>
      </c>
      <c r="Q678" s="164">
        <v>0</v>
      </c>
      <c r="R678" s="168">
        <v>0</v>
      </c>
      <c r="S678" s="164">
        <v>0</v>
      </c>
      <c r="T678" s="165">
        <v>0</v>
      </c>
      <c r="U678" s="246">
        <v>0</v>
      </c>
      <c r="V678" s="241">
        <f>C678-'часть 1'!L689</f>
        <v>1252593</v>
      </c>
      <c r="W678" s="241"/>
      <c r="X678" s="241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254"/>
    </row>
    <row r="679" spans="1:35">
      <c r="A679" s="162">
        <v>118</v>
      </c>
      <c r="B679" s="163" t="s">
        <v>282</v>
      </c>
      <c r="C679" s="164">
        <v>2347478</v>
      </c>
      <c r="D679" s="164"/>
      <c r="E679" s="164"/>
      <c r="F679" s="164"/>
      <c r="G679" s="164"/>
      <c r="H679" s="164"/>
      <c r="I679" s="164"/>
      <c r="J679" s="164"/>
      <c r="K679" s="164">
        <v>0</v>
      </c>
      <c r="L679" s="162">
        <v>0</v>
      </c>
      <c r="M679" s="164">
        <v>0</v>
      </c>
      <c r="N679" s="164">
        <v>1185.07</v>
      </c>
      <c r="O679" s="164">
        <v>2347478</v>
      </c>
      <c r="P679" s="162">
        <v>0</v>
      </c>
      <c r="Q679" s="164">
        <v>0</v>
      </c>
      <c r="R679" s="165">
        <v>0</v>
      </c>
      <c r="S679" s="164">
        <v>0</v>
      </c>
      <c r="T679" s="165">
        <v>0</v>
      </c>
      <c r="U679" s="246">
        <v>0</v>
      </c>
      <c r="V679" s="241">
        <f>C679-'часть 1'!L690</f>
        <v>234143</v>
      </c>
      <c r="W679" s="241"/>
      <c r="X679" s="241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254"/>
    </row>
    <row r="680" spans="1:35">
      <c r="A680" s="162">
        <v>119</v>
      </c>
      <c r="B680" s="163" t="s">
        <v>267</v>
      </c>
      <c r="C680" s="164">
        <v>2468472</v>
      </c>
      <c r="D680" s="164"/>
      <c r="E680" s="164"/>
      <c r="F680" s="164"/>
      <c r="G680" s="164"/>
      <c r="H680" s="164"/>
      <c r="I680" s="164"/>
      <c r="J680" s="164"/>
      <c r="K680" s="164">
        <v>0</v>
      </c>
      <c r="L680" s="162">
        <v>0</v>
      </c>
      <c r="M680" s="164">
        <v>0</v>
      </c>
      <c r="N680" s="167">
        <v>1246.5</v>
      </c>
      <c r="O680" s="164">
        <v>2468472</v>
      </c>
      <c r="P680" s="162">
        <v>0</v>
      </c>
      <c r="Q680" s="164">
        <v>0</v>
      </c>
      <c r="R680" s="165">
        <v>0</v>
      </c>
      <c r="S680" s="164">
        <v>0</v>
      </c>
      <c r="T680" s="165">
        <v>0</v>
      </c>
      <c r="U680" s="246">
        <v>0</v>
      </c>
      <c r="V680" s="241">
        <f>C680-'часть 1'!L691</f>
        <v>1471887</v>
      </c>
      <c r="W680" s="241"/>
      <c r="X680" s="241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254"/>
    </row>
    <row r="681" spans="1:35">
      <c r="A681" s="162">
        <v>120</v>
      </c>
      <c r="B681" s="163" t="s">
        <v>284</v>
      </c>
      <c r="C681" s="164">
        <v>1612780</v>
      </c>
      <c r="D681" s="164"/>
      <c r="E681" s="164"/>
      <c r="F681" s="164"/>
      <c r="G681" s="164"/>
      <c r="H681" s="164"/>
      <c r="I681" s="164"/>
      <c r="J681" s="164"/>
      <c r="K681" s="164">
        <v>0</v>
      </c>
      <c r="L681" s="162">
        <v>0</v>
      </c>
      <c r="M681" s="164">
        <v>0</v>
      </c>
      <c r="N681" s="164">
        <v>810.5</v>
      </c>
      <c r="O681" s="164">
        <v>1612780</v>
      </c>
      <c r="P681" s="162">
        <v>0</v>
      </c>
      <c r="Q681" s="164">
        <v>0</v>
      </c>
      <c r="R681" s="165">
        <v>0</v>
      </c>
      <c r="S681" s="164">
        <v>0</v>
      </c>
      <c r="T681" s="165">
        <v>0</v>
      </c>
      <c r="U681" s="246">
        <v>0</v>
      </c>
      <c r="V681" s="241">
        <f>C681-'часть 1'!L692</f>
        <v>975041</v>
      </c>
      <c r="W681" s="241"/>
      <c r="X681" s="241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254"/>
    </row>
    <row r="682" spans="1:35">
      <c r="A682" s="162">
        <v>121</v>
      </c>
      <c r="B682" s="163" t="s">
        <v>256</v>
      </c>
      <c r="C682" s="164">
        <v>2580419</v>
      </c>
      <c r="D682" s="164"/>
      <c r="E682" s="164"/>
      <c r="F682" s="164"/>
      <c r="G682" s="164"/>
      <c r="H682" s="164"/>
      <c r="I682" s="164"/>
      <c r="J682" s="164"/>
      <c r="K682" s="164">
        <v>0</v>
      </c>
      <c r="L682" s="162">
        <v>0</v>
      </c>
      <c r="M682" s="164">
        <v>0</v>
      </c>
      <c r="N682" s="164">
        <v>786.3</v>
      </c>
      <c r="O682" s="164">
        <v>1565675</v>
      </c>
      <c r="P682" s="162">
        <v>0</v>
      </c>
      <c r="Q682" s="164">
        <v>0</v>
      </c>
      <c r="R682" s="164">
        <v>700</v>
      </c>
      <c r="S682" s="164">
        <v>1014744</v>
      </c>
      <c r="T682" s="165">
        <v>0</v>
      </c>
      <c r="U682" s="246">
        <v>0</v>
      </c>
      <c r="V682" s="241">
        <f>C682-'часть 1'!L693</f>
        <v>1223202</v>
      </c>
      <c r="W682" s="241"/>
      <c r="X682" s="241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254"/>
    </row>
    <row r="683" spans="1:35">
      <c r="A683" s="162">
        <v>122</v>
      </c>
      <c r="B683" s="163" t="s">
        <v>335</v>
      </c>
      <c r="C683" s="164">
        <v>1681645</v>
      </c>
      <c r="D683" s="164"/>
      <c r="E683" s="164"/>
      <c r="F683" s="164"/>
      <c r="G683" s="164"/>
      <c r="H683" s="164"/>
      <c r="I683" s="164"/>
      <c r="J683" s="164"/>
      <c r="K683" s="164">
        <v>0</v>
      </c>
      <c r="L683" s="162">
        <v>0</v>
      </c>
      <c r="M683" s="164">
        <v>0</v>
      </c>
      <c r="N683" s="164">
        <v>848.59</v>
      </c>
      <c r="O683" s="164">
        <v>1681645</v>
      </c>
      <c r="P683" s="162">
        <v>0</v>
      </c>
      <c r="Q683" s="164">
        <v>0</v>
      </c>
      <c r="R683" s="168">
        <v>0</v>
      </c>
      <c r="S683" s="164">
        <v>0</v>
      </c>
      <c r="T683" s="165">
        <v>0</v>
      </c>
      <c r="U683" s="246">
        <v>0</v>
      </c>
      <c r="V683" s="241">
        <f>C683-'часть 1'!L694</f>
        <v>845419</v>
      </c>
      <c r="W683" s="241"/>
      <c r="X683" s="241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254"/>
    </row>
    <row r="684" spans="1:35">
      <c r="A684" s="162">
        <v>123</v>
      </c>
      <c r="B684" s="163" t="s">
        <v>255</v>
      </c>
      <c r="C684" s="164">
        <v>1318880</v>
      </c>
      <c r="D684" s="164"/>
      <c r="E684" s="164"/>
      <c r="F684" s="164"/>
      <c r="G684" s="164"/>
      <c r="H684" s="164"/>
      <c r="I684" s="164"/>
      <c r="J684" s="164"/>
      <c r="K684" s="164">
        <v>0</v>
      </c>
      <c r="L684" s="162">
        <v>0</v>
      </c>
      <c r="M684" s="164">
        <v>0</v>
      </c>
      <c r="N684" s="164">
        <v>660</v>
      </c>
      <c r="O684" s="164">
        <v>1318880</v>
      </c>
      <c r="P684" s="162">
        <v>0</v>
      </c>
      <c r="Q684" s="164">
        <v>0</v>
      </c>
      <c r="R684" s="168">
        <v>0</v>
      </c>
      <c r="S684" s="164">
        <v>0</v>
      </c>
      <c r="T684" s="165">
        <v>0</v>
      </c>
      <c r="U684" s="246">
        <v>0</v>
      </c>
      <c r="V684" s="241">
        <f>C684-'часть 1'!L695</f>
        <v>678802</v>
      </c>
      <c r="W684" s="241"/>
      <c r="X684" s="241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254"/>
    </row>
    <row r="685" spans="1:35">
      <c r="A685" s="162">
        <v>124</v>
      </c>
      <c r="B685" s="163" t="s">
        <v>245</v>
      </c>
      <c r="C685" s="164">
        <v>1566345</v>
      </c>
      <c r="D685" s="164"/>
      <c r="E685" s="164"/>
      <c r="F685" s="164"/>
      <c r="G685" s="164"/>
      <c r="H685" s="164"/>
      <c r="I685" s="164"/>
      <c r="J685" s="164"/>
      <c r="K685" s="164">
        <v>0</v>
      </c>
      <c r="L685" s="162">
        <v>0</v>
      </c>
      <c r="M685" s="164">
        <v>0</v>
      </c>
      <c r="N685" s="164">
        <v>422</v>
      </c>
      <c r="O685" s="164">
        <v>850468</v>
      </c>
      <c r="P685" s="162">
        <v>0</v>
      </c>
      <c r="Q685" s="164">
        <v>0</v>
      </c>
      <c r="R685" s="164">
        <v>492</v>
      </c>
      <c r="S685" s="164">
        <v>715877</v>
      </c>
      <c r="T685" s="165">
        <v>0</v>
      </c>
      <c r="U685" s="246">
        <v>0</v>
      </c>
      <c r="V685" s="241">
        <f>C685-'часть 1'!L696</f>
        <v>1363696</v>
      </c>
      <c r="W685" s="241"/>
      <c r="X685" s="241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254"/>
    </row>
    <row r="686" spans="1:35" ht="30">
      <c r="A686" s="162">
        <v>125</v>
      </c>
      <c r="B686" s="163" t="s">
        <v>451</v>
      </c>
      <c r="C686" s="164">
        <v>1910088</v>
      </c>
      <c r="D686" s="164"/>
      <c r="E686" s="164"/>
      <c r="F686" s="164"/>
      <c r="G686" s="164"/>
      <c r="H686" s="164"/>
      <c r="I686" s="164"/>
      <c r="J686" s="164"/>
      <c r="K686" s="164">
        <v>1910088</v>
      </c>
      <c r="L686" s="162">
        <v>0</v>
      </c>
      <c r="M686" s="164">
        <v>0</v>
      </c>
      <c r="N686" s="164">
        <v>0</v>
      </c>
      <c r="O686" s="164">
        <v>0</v>
      </c>
      <c r="P686" s="162">
        <v>0</v>
      </c>
      <c r="Q686" s="164">
        <v>0</v>
      </c>
      <c r="R686" s="168">
        <v>0</v>
      </c>
      <c r="S686" s="164">
        <v>0</v>
      </c>
      <c r="T686" s="165">
        <v>0</v>
      </c>
      <c r="U686" s="246">
        <v>0</v>
      </c>
      <c r="V686" s="241">
        <f>C686-'часть 1'!L697</f>
        <v>-5982349</v>
      </c>
      <c r="W686" s="241"/>
      <c r="X686" s="241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254"/>
    </row>
    <row r="687" spans="1:35">
      <c r="A687" s="162">
        <v>126</v>
      </c>
      <c r="B687" s="163" t="s">
        <v>280</v>
      </c>
      <c r="C687" s="164">
        <v>2694957</v>
      </c>
      <c r="D687" s="164"/>
      <c r="E687" s="164"/>
      <c r="F687" s="164"/>
      <c r="G687" s="164"/>
      <c r="H687" s="164"/>
      <c r="I687" s="164"/>
      <c r="J687" s="164"/>
      <c r="K687" s="164">
        <v>710638</v>
      </c>
      <c r="L687" s="162">
        <v>0</v>
      </c>
      <c r="M687" s="164">
        <v>0</v>
      </c>
      <c r="N687" s="164">
        <v>0</v>
      </c>
      <c r="O687" s="164">
        <v>0</v>
      </c>
      <c r="P687" s="162">
        <v>0</v>
      </c>
      <c r="Q687" s="164">
        <v>0</v>
      </c>
      <c r="R687" s="164">
        <v>1359.5</v>
      </c>
      <c r="S687" s="164">
        <v>1984319</v>
      </c>
      <c r="T687" s="165">
        <v>0</v>
      </c>
      <c r="U687" s="246">
        <v>0</v>
      </c>
      <c r="V687" s="241">
        <f>C687-'часть 1'!L698</f>
        <v>2171568</v>
      </c>
      <c r="W687" s="241"/>
      <c r="X687" s="241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254"/>
    </row>
    <row r="688" spans="1:35">
      <c r="A688" s="162">
        <v>127</v>
      </c>
      <c r="B688" s="163" t="s">
        <v>367</v>
      </c>
      <c r="C688" s="164">
        <v>580578</v>
      </c>
      <c r="D688" s="164"/>
      <c r="E688" s="164"/>
      <c r="F688" s="164"/>
      <c r="G688" s="164"/>
      <c r="H688" s="164"/>
      <c r="I688" s="164"/>
      <c r="J688" s="164"/>
      <c r="K688" s="164">
        <v>0</v>
      </c>
      <c r="L688" s="162">
        <v>0</v>
      </c>
      <c r="M688" s="164">
        <v>0</v>
      </c>
      <c r="N688" s="164">
        <v>293.5</v>
      </c>
      <c r="O688" s="164">
        <v>580578</v>
      </c>
      <c r="P688" s="162">
        <v>0</v>
      </c>
      <c r="Q688" s="164">
        <v>0</v>
      </c>
      <c r="R688" s="165">
        <v>0</v>
      </c>
      <c r="S688" s="164">
        <v>0</v>
      </c>
      <c r="T688" s="165">
        <v>0</v>
      </c>
      <c r="U688" s="246">
        <v>0</v>
      </c>
      <c r="V688" s="241">
        <f>C688-'часть 1'!L699</f>
        <v>-458342</v>
      </c>
      <c r="W688" s="241"/>
      <c r="X688" s="241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254"/>
    </row>
    <row r="689" spans="1:35">
      <c r="A689" s="162">
        <v>128</v>
      </c>
      <c r="B689" s="163" t="s">
        <v>464</v>
      </c>
      <c r="C689" s="164">
        <v>615357</v>
      </c>
      <c r="D689" s="164"/>
      <c r="E689" s="164"/>
      <c r="F689" s="164"/>
      <c r="G689" s="164"/>
      <c r="H689" s="164"/>
      <c r="I689" s="164"/>
      <c r="J689" s="164"/>
      <c r="K689" s="164">
        <v>0</v>
      </c>
      <c r="L689" s="162">
        <v>0</v>
      </c>
      <c r="M689" s="164">
        <v>0</v>
      </c>
      <c r="N689" s="164">
        <v>301</v>
      </c>
      <c r="O689" s="164">
        <v>615357</v>
      </c>
      <c r="P689" s="162">
        <v>0</v>
      </c>
      <c r="Q689" s="164">
        <v>0</v>
      </c>
      <c r="R689" s="165">
        <v>0</v>
      </c>
      <c r="S689" s="164">
        <v>0</v>
      </c>
      <c r="T689" s="165">
        <v>0</v>
      </c>
      <c r="U689" s="246">
        <v>0</v>
      </c>
      <c r="V689" s="241">
        <f>C689-'часть 1'!L700</f>
        <v>-1127196</v>
      </c>
      <c r="W689" s="241"/>
      <c r="X689" s="241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254"/>
    </row>
    <row r="690" spans="1:35">
      <c r="A690" s="162">
        <v>129</v>
      </c>
      <c r="B690" s="163" t="s">
        <v>385</v>
      </c>
      <c r="C690" s="164">
        <v>269948.13</v>
      </c>
      <c r="D690" s="164"/>
      <c r="E690" s="164"/>
      <c r="F690" s="164"/>
      <c r="G690" s="164"/>
      <c r="H690" s="164"/>
      <c r="I690" s="164"/>
      <c r="J690" s="164"/>
      <c r="K690" s="164">
        <v>269948.13</v>
      </c>
      <c r="L690" s="162">
        <v>0</v>
      </c>
      <c r="M690" s="164">
        <v>0</v>
      </c>
      <c r="N690" s="164">
        <v>0</v>
      </c>
      <c r="O690" s="164">
        <v>0</v>
      </c>
      <c r="P690" s="162">
        <v>0</v>
      </c>
      <c r="Q690" s="164">
        <v>0</v>
      </c>
      <c r="R690" s="165">
        <v>0</v>
      </c>
      <c r="S690" s="164">
        <v>0</v>
      </c>
      <c r="T690" s="165">
        <v>0</v>
      </c>
      <c r="U690" s="246">
        <v>0</v>
      </c>
      <c r="V690" s="241">
        <f>C690-'часть 1'!L701</f>
        <v>-1854632.87</v>
      </c>
      <c r="W690" s="241"/>
      <c r="X690" s="241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254"/>
    </row>
    <row r="691" spans="1:35">
      <c r="A691" s="162">
        <v>130</v>
      </c>
      <c r="B691" s="163" t="s">
        <v>238</v>
      </c>
      <c r="C691" s="164">
        <v>807980</v>
      </c>
      <c r="D691" s="164"/>
      <c r="E691" s="164"/>
      <c r="F691" s="164"/>
      <c r="G691" s="164"/>
      <c r="H691" s="164"/>
      <c r="I691" s="164"/>
      <c r="J691" s="164"/>
      <c r="K691" s="164">
        <v>0</v>
      </c>
      <c r="L691" s="162">
        <v>0</v>
      </c>
      <c r="M691" s="164">
        <v>0</v>
      </c>
      <c r="N691" s="164">
        <v>400</v>
      </c>
      <c r="O691" s="164">
        <v>807980</v>
      </c>
      <c r="P691" s="162">
        <v>0</v>
      </c>
      <c r="Q691" s="164">
        <v>0</v>
      </c>
      <c r="R691" s="168">
        <v>0</v>
      </c>
      <c r="S691" s="164">
        <v>0</v>
      </c>
      <c r="T691" s="165">
        <v>0</v>
      </c>
      <c r="U691" s="246">
        <v>0</v>
      </c>
      <c r="V691" s="241">
        <f>C691-'часть 1'!L702</f>
        <v>-1539498</v>
      </c>
      <c r="W691" s="241"/>
      <c r="X691" s="241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254"/>
    </row>
    <row r="692" spans="1:35">
      <c r="A692" s="162">
        <v>131</v>
      </c>
      <c r="B692" s="163" t="s">
        <v>273</v>
      </c>
      <c r="C692" s="164">
        <v>661525</v>
      </c>
      <c r="D692" s="164"/>
      <c r="E692" s="164"/>
      <c r="F692" s="164"/>
      <c r="G692" s="164"/>
      <c r="H692" s="164"/>
      <c r="I692" s="164"/>
      <c r="J692" s="164"/>
      <c r="K692" s="164">
        <v>0</v>
      </c>
      <c r="L692" s="162">
        <v>0</v>
      </c>
      <c r="M692" s="164">
        <v>0</v>
      </c>
      <c r="N692" s="164">
        <v>325</v>
      </c>
      <c r="O692" s="167">
        <v>661525</v>
      </c>
      <c r="P692" s="162">
        <v>0</v>
      </c>
      <c r="Q692" s="164">
        <v>0</v>
      </c>
      <c r="R692" s="165">
        <v>0</v>
      </c>
      <c r="S692" s="164">
        <v>0</v>
      </c>
      <c r="T692" s="165">
        <v>0</v>
      </c>
      <c r="U692" s="246">
        <v>0</v>
      </c>
      <c r="V692" s="241">
        <f>C692-'часть 1'!L703</f>
        <v>-1806947</v>
      </c>
      <c r="W692" s="241"/>
      <c r="X692" s="241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254"/>
    </row>
    <row r="693" spans="1:35">
      <c r="A693" s="166">
        <v>132</v>
      </c>
      <c r="B693" s="163" t="s">
        <v>297</v>
      </c>
      <c r="C693" s="164">
        <v>3719885</v>
      </c>
      <c r="D693" s="164"/>
      <c r="E693" s="164"/>
      <c r="F693" s="164"/>
      <c r="G693" s="164"/>
      <c r="H693" s="164"/>
      <c r="I693" s="164"/>
      <c r="J693" s="164"/>
      <c r="K693" s="164">
        <v>0</v>
      </c>
      <c r="L693" s="162">
        <v>2</v>
      </c>
      <c r="M693" s="164">
        <v>3719885</v>
      </c>
      <c r="N693" s="164">
        <v>0</v>
      </c>
      <c r="O693" s="164">
        <v>0</v>
      </c>
      <c r="P693" s="162">
        <v>0</v>
      </c>
      <c r="Q693" s="164">
        <v>0</v>
      </c>
      <c r="R693" s="165">
        <v>0</v>
      </c>
      <c r="S693" s="164">
        <v>0</v>
      </c>
      <c r="T693" s="165">
        <v>0</v>
      </c>
      <c r="U693" s="246">
        <v>0</v>
      </c>
      <c r="V693" s="241">
        <f>C693-'часть 1'!L704</f>
        <v>2107105</v>
      </c>
      <c r="W693" s="241"/>
      <c r="X693" s="241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254"/>
    </row>
    <row r="694" spans="1:35">
      <c r="A694" s="166">
        <v>133</v>
      </c>
      <c r="B694" s="163" t="s">
        <v>263</v>
      </c>
      <c r="C694" s="164">
        <v>1726391</v>
      </c>
      <c r="D694" s="164"/>
      <c r="E694" s="164"/>
      <c r="F694" s="164"/>
      <c r="G694" s="164"/>
      <c r="H694" s="164"/>
      <c r="I694" s="164"/>
      <c r="J694" s="164"/>
      <c r="K694" s="164">
        <v>0</v>
      </c>
      <c r="L694" s="162">
        <v>0</v>
      </c>
      <c r="M694" s="164">
        <v>0</v>
      </c>
      <c r="N694" s="164">
        <v>866.8</v>
      </c>
      <c r="O694" s="164">
        <v>1726391</v>
      </c>
      <c r="P694" s="162">
        <v>0</v>
      </c>
      <c r="Q694" s="164">
        <v>0</v>
      </c>
      <c r="R694" s="165">
        <v>0</v>
      </c>
      <c r="S694" s="164">
        <v>0</v>
      </c>
      <c r="T694" s="165">
        <v>0</v>
      </c>
      <c r="U694" s="246">
        <v>0</v>
      </c>
      <c r="V694" s="241">
        <f>C694-'часть 1'!L705</f>
        <v>-854028</v>
      </c>
      <c r="W694" s="241"/>
      <c r="X694" s="241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254"/>
    </row>
    <row r="695" spans="1:35">
      <c r="A695" s="166">
        <v>134</v>
      </c>
      <c r="B695" s="163" t="s">
        <v>235</v>
      </c>
      <c r="C695" s="164">
        <v>1521754</v>
      </c>
      <c r="D695" s="164"/>
      <c r="E695" s="164"/>
      <c r="F695" s="164"/>
      <c r="G695" s="164"/>
      <c r="H695" s="164"/>
      <c r="I695" s="164"/>
      <c r="J695" s="164"/>
      <c r="K695" s="164">
        <v>0</v>
      </c>
      <c r="L695" s="162">
        <v>0</v>
      </c>
      <c r="M695" s="164">
        <v>0</v>
      </c>
      <c r="N695" s="164">
        <v>430</v>
      </c>
      <c r="O695" s="164">
        <v>866735</v>
      </c>
      <c r="P695" s="162">
        <v>0</v>
      </c>
      <c r="Q695" s="164">
        <v>0</v>
      </c>
      <c r="R695" s="164">
        <v>449</v>
      </c>
      <c r="S695" s="164">
        <v>655019</v>
      </c>
      <c r="T695" s="165">
        <v>0</v>
      </c>
      <c r="U695" s="246">
        <v>0</v>
      </c>
      <c r="V695" s="241">
        <f>C695-'часть 1'!L706</f>
        <v>-159891</v>
      </c>
      <c r="W695" s="241"/>
      <c r="X695" s="241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254"/>
    </row>
    <row r="696" spans="1:35">
      <c r="A696" s="166">
        <v>135</v>
      </c>
      <c r="B696" s="163" t="s">
        <v>227</v>
      </c>
      <c r="C696" s="164">
        <v>671505</v>
      </c>
      <c r="D696" s="164"/>
      <c r="E696" s="164"/>
      <c r="F696" s="164"/>
      <c r="G696" s="164"/>
      <c r="H696" s="164"/>
      <c r="I696" s="164"/>
      <c r="J696" s="164"/>
      <c r="K696" s="164" t="e">
        <f>#REF!</f>
        <v>#REF!</v>
      </c>
      <c r="L696" s="162">
        <v>0</v>
      </c>
      <c r="M696" s="164">
        <v>0</v>
      </c>
      <c r="N696" s="164">
        <v>0</v>
      </c>
      <c r="O696" s="164">
        <v>0</v>
      </c>
      <c r="P696" s="162">
        <v>0</v>
      </c>
      <c r="Q696" s="164">
        <v>0</v>
      </c>
      <c r="R696" s="164">
        <v>404.5</v>
      </c>
      <c r="S696" s="164">
        <v>591227</v>
      </c>
      <c r="T696" s="165">
        <v>0</v>
      </c>
      <c r="U696" s="246">
        <v>0</v>
      </c>
      <c r="V696" s="241">
        <f>C696-'часть 1'!L707</f>
        <v>-647375</v>
      </c>
      <c r="W696" s="241"/>
      <c r="X696" s="241"/>
      <c r="Y696" s="9"/>
      <c r="Z696" s="235"/>
      <c r="AA696" s="9"/>
      <c r="AB696" s="9"/>
      <c r="AC696" s="9"/>
      <c r="AD696" s="9"/>
      <c r="AE696" s="9"/>
      <c r="AF696" s="9"/>
      <c r="AG696" s="9"/>
      <c r="AH696" s="9"/>
      <c r="AI696" s="254"/>
    </row>
    <row r="697" spans="1:35">
      <c r="A697" s="166">
        <v>136</v>
      </c>
      <c r="B697" s="163" t="s">
        <v>339</v>
      </c>
      <c r="C697" s="164">
        <v>1081718</v>
      </c>
      <c r="D697" s="164"/>
      <c r="E697" s="164"/>
      <c r="F697" s="164"/>
      <c r="G697" s="164"/>
      <c r="H697" s="164"/>
      <c r="I697" s="164"/>
      <c r="J697" s="164"/>
      <c r="K697" s="164">
        <v>0</v>
      </c>
      <c r="L697" s="162">
        <v>0</v>
      </c>
      <c r="M697" s="164">
        <v>0</v>
      </c>
      <c r="N697" s="164">
        <v>531.70000000000005</v>
      </c>
      <c r="O697" s="164">
        <v>1081718</v>
      </c>
      <c r="P697" s="162">
        <v>0</v>
      </c>
      <c r="Q697" s="164">
        <v>0</v>
      </c>
      <c r="R697" s="165">
        <v>0</v>
      </c>
      <c r="S697" s="164">
        <v>0</v>
      </c>
      <c r="T697" s="165">
        <v>0</v>
      </c>
      <c r="U697" s="246">
        <v>0</v>
      </c>
      <c r="V697" s="241">
        <f>C697-'часть 1'!L708</f>
        <v>-484627</v>
      </c>
      <c r="W697" s="241"/>
      <c r="X697" s="241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254"/>
    </row>
    <row r="698" spans="1:35">
      <c r="A698" s="166">
        <v>137</v>
      </c>
      <c r="B698" s="163" t="s">
        <v>231</v>
      </c>
      <c r="C698" s="164">
        <v>206635</v>
      </c>
      <c r="D698" s="164"/>
      <c r="E698" s="164"/>
      <c r="F698" s="164"/>
      <c r="G698" s="164"/>
      <c r="H698" s="164"/>
      <c r="I698" s="164"/>
      <c r="J698" s="164"/>
      <c r="K698" s="164">
        <v>206635</v>
      </c>
      <c r="L698" s="162">
        <v>0</v>
      </c>
      <c r="M698" s="164">
        <v>0</v>
      </c>
      <c r="N698" s="164">
        <v>0</v>
      </c>
      <c r="O698" s="164">
        <v>0</v>
      </c>
      <c r="P698" s="162">
        <v>0</v>
      </c>
      <c r="Q698" s="164">
        <v>0</v>
      </c>
      <c r="R698" s="165">
        <v>0</v>
      </c>
      <c r="S698" s="164">
        <v>0</v>
      </c>
      <c r="T698" s="165">
        <v>0</v>
      </c>
      <c r="U698" s="246">
        <v>0</v>
      </c>
      <c r="V698" s="241">
        <f>C698-'часть 1'!L709</f>
        <v>-1703453</v>
      </c>
      <c r="W698" s="241"/>
      <c r="X698" s="241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254"/>
    </row>
    <row r="699" spans="1:35">
      <c r="A699" s="166">
        <v>138</v>
      </c>
      <c r="B699" s="163" t="s">
        <v>300</v>
      </c>
      <c r="C699" s="164">
        <v>1044081.04</v>
      </c>
      <c r="D699" s="164"/>
      <c r="E699" s="164"/>
      <c r="F699" s="164"/>
      <c r="G699" s="164"/>
      <c r="H699" s="164"/>
      <c r="I699" s="164"/>
      <c r="J699" s="164"/>
      <c r="K699" s="164">
        <v>0</v>
      </c>
      <c r="L699" s="162">
        <v>0</v>
      </c>
      <c r="M699" s="164">
        <v>0</v>
      </c>
      <c r="N699" s="164">
        <v>516.5</v>
      </c>
      <c r="O699" s="164">
        <v>1044081.04</v>
      </c>
      <c r="P699" s="162">
        <v>0</v>
      </c>
      <c r="Q699" s="164">
        <v>0</v>
      </c>
      <c r="R699" s="168">
        <v>0</v>
      </c>
      <c r="S699" s="164">
        <v>0</v>
      </c>
      <c r="T699" s="165">
        <v>0</v>
      </c>
      <c r="U699" s="246">
        <v>0</v>
      </c>
      <c r="V699" s="241">
        <f>C699-'часть 1'!L710</f>
        <v>-1650875.96</v>
      </c>
      <c r="W699" s="241"/>
      <c r="X699" s="241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254"/>
    </row>
    <row r="700" spans="1:35">
      <c r="A700" s="166">
        <v>139</v>
      </c>
      <c r="B700" s="163" t="s">
        <v>283</v>
      </c>
      <c r="C700" s="164">
        <v>1340000</v>
      </c>
      <c r="D700" s="164"/>
      <c r="E700" s="164"/>
      <c r="F700" s="164"/>
      <c r="G700" s="164"/>
      <c r="H700" s="164"/>
      <c r="I700" s="164"/>
      <c r="J700" s="164"/>
      <c r="K700" s="164">
        <v>1340000</v>
      </c>
      <c r="L700" s="162">
        <v>0</v>
      </c>
      <c r="M700" s="164">
        <v>0</v>
      </c>
      <c r="N700" s="164">
        <v>0</v>
      </c>
      <c r="O700" s="164">
        <v>0</v>
      </c>
      <c r="P700" s="162">
        <v>0</v>
      </c>
      <c r="Q700" s="164">
        <v>0</v>
      </c>
      <c r="R700" s="165">
        <v>0</v>
      </c>
      <c r="S700" s="164">
        <v>0</v>
      </c>
      <c r="T700" s="165">
        <v>0</v>
      </c>
      <c r="U700" s="246">
        <v>0</v>
      </c>
      <c r="V700" s="241">
        <f>C700-'часть 1'!L711</f>
        <v>759422</v>
      </c>
      <c r="W700" s="241"/>
      <c r="X700" s="241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254"/>
    </row>
    <row r="701" spans="1:35">
      <c r="A701" s="166">
        <v>140</v>
      </c>
      <c r="B701" s="163" t="s">
        <v>450</v>
      </c>
      <c r="C701" s="164">
        <v>2294529</v>
      </c>
      <c r="D701" s="164"/>
      <c r="E701" s="164"/>
      <c r="F701" s="164"/>
      <c r="G701" s="164"/>
      <c r="H701" s="164"/>
      <c r="I701" s="164"/>
      <c r="J701" s="164"/>
      <c r="K701" s="164">
        <v>0</v>
      </c>
      <c r="L701" s="162">
        <v>0</v>
      </c>
      <c r="M701" s="164">
        <v>0</v>
      </c>
      <c r="N701" s="164">
        <v>1162</v>
      </c>
      <c r="O701" s="164">
        <v>2294529</v>
      </c>
      <c r="P701" s="162">
        <v>0</v>
      </c>
      <c r="Q701" s="164">
        <v>0</v>
      </c>
      <c r="R701" s="165">
        <v>0</v>
      </c>
      <c r="S701" s="164">
        <v>0</v>
      </c>
      <c r="T701" s="165">
        <v>0</v>
      </c>
      <c r="U701" s="246">
        <v>0</v>
      </c>
      <c r="V701" s="241">
        <f>C701-'часть 1'!L712</f>
        <v>1679172</v>
      </c>
      <c r="W701" s="241"/>
      <c r="X701" s="241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254"/>
    </row>
    <row r="702" spans="1:35">
      <c r="A702" s="166">
        <v>141</v>
      </c>
      <c r="B702" s="163" t="s">
        <v>230</v>
      </c>
      <c r="C702" s="164">
        <v>2615616.2000000002</v>
      </c>
      <c r="D702" s="164"/>
      <c r="E702" s="164"/>
      <c r="F702" s="164"/>
      <c r="G702" s="164"/>
      <c r="H702" s="164"/>
      <c r="I702" s="164"/>
      <c r="J702" s="164"/>
      <c r="K702" s="164">
        <v>0</v>
      </c>
      <c r="L702" s="162">
        <v>0</v>
      </c>
      <c r="M702" s="164">
        <v>0</v>
      </c>
      <c r="N702" s="164">
        <v>0</v>
      </c>
      <c r="O702" s="164">
        <v>0</v>
      </c>
      <c r="P702" s="162">
        <v>0</v>
      </c>
      <c r="Q702" s="164">
        <v>0</v>
      </c>
      <c r="R702" s="164">
        <v>2540</v>
      </c>
      <c r="S702" s="164">
        <v>2615616.2000000002</v>
      </c>
      <c r="T702" s="165">
        <v>0</v>
      </c>
      <c r="U702" s="246">
        <v>0</v>
      </c>
      <c r="V702" s="241">
        <f>C702-'часть 1'!L713</f>
        <v>2345668.0700000003</v>
      </c>
      <c r="W702" s="241"/>
      <c r="X702" s="241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254"/>
    </row>
    <row r="703" spans="1:35">
      <c r="A703" s="166">
        <v>142</v>
      </c>
      <c r="B703" s="163" t="s">
        <v>295</v>
      </c>
      <c r="C703" s="164">
        <v>1561539</v>
      </c>
      <c r="D703" s="164"/>
      <c r="E703" s="164"/>
      <c r="F703" s="164"/>
      <c r="G703" s="164"/>
      <c r="H703" s="164"/>
      <c r="I703" s="164"/>
      <c r="J703" s="164"/>
      <c r="K703" s="164">
        <v>0</v>
      </c>
      <c r="L703" s="162">
        <v>0</v>
      </c>
      <c r="M703" s="164">
        <v>0</v>
      </c>
      <c r="N703" s="164">
        <v>787.85</v>
      </c>
      <c r="O703" s="164">
        <v>1561539</v>
      </c>
      <c r="P703" s="169">
        <v>0</v>
      </c>
      <c r="Q703" s="164">
        <v>0</v>
      </c>
      <c r="R703" s="168">
        <v>0</v>
      </c>
      <c r="S703" s="164">
        <v>0</v>
      </c>
      <c r="T703" s="165">
        <v>0</v>
      </c>
      <c r="U703" s="246">
        <v>0</v>
      </c>
      <c r="V703" s="241">
        <f>C703-'часть 1'!L714</f>
        <v>753559</v>
      </c>
      <c r="W703" s="241"/>
      <c r="X703" s="241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254"/>
    </row>
    <row r="704" spans="1:35">
      <c r="A704" s="166">
        <v>143</v>
      </c>
      <c r="B704" s="163" t="s">
        <v>294</v>
      </c>
      <c r="C704" s="164">
        <v>1421187</v>
      </c>
      <c r="D704" s="164"/>
      <c r="E704" s="164"/>
      <c r="F704" s="164"/>
      <c r="G704" s="164"/>
      <c r="H704" s="164"/>
      <c r="I704" s="164"/>
      <c r="J704" s="164"/>
      <c r="K704" s="164">
        <v>0</v>
      </c>
      <c r="L704" s="162">
        <v>0</v>
      </c>
      <c r="M704" s="164">
        <v>0</v>
      </c>
      <c r="N704" s="164">
        <v>687</v>
      </c>
      <c r="O704" s="167">
        <v>1421187</v>
      </c>
      <c r="P704" s="162">
        <v>0</v>
      </c>
      <c r="Q704" s="164">
        <v>0</v>
      </c>
      <c r="R704" s="168">
        <v>0</v>
      </c>
      <c r="S704" s="164">
        <v>0</v>
      </c>
      <c r="T704" s="165">
        <v>0</v>
      </c>
      <c r="U704" s="246">
        <v>0</v>
      </c>
      <c r="V704" s="241">
        <f>C704-'часть 1'!L715</f>
        <v>759662</v>
      </c>
      <c r="W704" s="241"/>
      <c r="X704" s="241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254"/>
    </row>
    <row r="705" spans="1:35">
      <c r="A705" s="166">
        <v>144</v>
      </c>
      <c r="B705" s="163" t="s">
        <v>270</v>
      </c>
      <c r="C705" s="164">
        <v>2469740</v>
      </c>
      <c r="D705" s="164"/>
      <c r="E705" s="164"/>
      <c r="F705" s="164"/>
      <c r="G705" s="164"/>
      <c r="H705" s="164"/>
      <c r="I705" s="164"/>
      <c r="J705" s="164"/>
      <c r="K705" s="164">
        <v>757154</v>
      </c>
      <c r="L705" s="162">
        <v>0</v>
      </c>
      <c r="M705" s="164">
        <v>0</v>
      </c>
      <c r="N705" s="164">
        <v>868.1</v>
      </c>
      <c r="O705" s="164">
        <v>1712586</v>
      </c>
      <c r="P705" s="162">
        <v>0</v>
      </c>
      <c r="Q705" s="164">
        <v>0</v>
      </c>
      <c r="R705" s="165">
        <v>0</v>
      </c>
      <c r="S705" s="164">
        <v>0</v>
      </c>
      <c r="T705" s="165">
        <v>0</v>
      </c>
      <c r="U705" s="246">
        <v>0</v>
      </c>
      <c r="V705" s="241">
        <f>C705-'часть 1'!L716</f>
        <v>-1250145</v>
      </c>
      <c r="W705" s="241"/>
      <c r="X705" s="241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254"/>
    </row>
    <row r="706" spans="1:35">
      <c r="A706" s="166">
        <v>145</v>
      </c>
      <c r="B706" s="163" t="s">
        <v>252</v>
      </c>
      <c r="C706" s="164">
        <v>1104857</v>
      </c>
      <c r="D706" s="164"/>
      <c r="E706" s="164"/>
      <c r="F706" s="164"/>
      <c r="G706" s="164"/>
      <c r="H706" s="164"/>
      <c r="I706" s="164"/>
      <c r="J706" s="164"/>
      <c r="K706" s="164">
        <v>0</v>
      </c>
      <c r="L706" s="162">
        <v>0</v>
      </c>
      <c r="M706" s="164">
        <v>0</v>
      </c>
      <c r="N706" s="164">
        <v>545.6</v>
      </c>
      <c r="O706" s="164">
        <v>1104857</v>
      </c>
      <c r="P706" s="162">
        <v>0</v>
      </c>
      <c r="Q706" s="164">
        <v>0</v>
      </c>
      <c r="R706" s="168">
        <v>0</v>
      </c>
      <c r="S706" s="164">
        <v>0</v>
      </c>
      <c r="T706" s="165">
        <v>0</v>
      </c>
      <c r="U706" s="246">
        <v>0</v>
      </c>
      <c r="V706" s="241">
        <f>C706-'часть 1'!L717</f>
        <v>-621534</v>
      </c>
      <c r="W706" s="241"/>
      <c r="X706" s="241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254"/>
    </row>
    <row r="707" spans="1:35">
      <c r="A707" s="166">
        <v>146</v>
      </c>
      <c r="B707" s="163" t="s">
        <v>304</v>
      </c>
      <c r="C707" s="164">
        <v>1877378</v>
      </c>
      <c r="D707" s="164"/>
      <c r="E707" s="164"/>
      <c r="F707" s="164"/>
      <c r="G707" s="164"/>
      <c r="H707" s="164"/>
      <c r="I707" s="164"/>
      <c r="J707" s="164"/>
      <c r="K707" s="164">
        <v>0</v>
      </c>
      <c r="L707" s="162">
        <v>1</v>
      </c>
      <c r="M707" s="167">
        <v>1877378</v>
      </c>
      <c r="N707" s="164">
        <v>0</v>
      </c>
      <c r="O707" s="164">
        <v>0</v>
      </c>
      <c r="P707" s="162">
        <v>0</v>
      </c>
      <c r="Q707" s="164">
        <v>0</v>
      </c>
      <c r="R707" s="165">
        <v>0</v>
      </c>
      <c r="S707" s="164">
        <v>0</v>
      </c>
      <c r="T707" s="165">
        <v>0</v>
      </c>
      <c r="U707" s="246">
        <v>0</v>
      </c>
      <c r="V707" s="241">
        <f>C707-'часть 1'!L718</f>
        <v>355624</v>
      </c>
      <c r="W707" s="241"/>
      <c r="X707" s="241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254"/>
    </row>
    <row r="708" spans="1:35">
      <c r="A708" s="166">
        <v>147</v>
      </c>
      <c r="B708" s="163" t="s">
        <v>228</v>
      </c>
      <c r="C708" s="164">
        <v>2945836</v>
      </c>
      <c r="D708" s="164"/>
      <c r="E708" s="164"/>
      <c r="F708" s="164"/>
      <c r="G708" s="164"/>
      <c r="H708" s="164"/>
      <c r="I708" s="164"/>
      <c r="J708" s="164"/>
      <c r="K708" s="164" t="e">
        <f>#REF!</f>
        <v>#REF!</v>
      </c>
      <c r="L708" s="162">
        <v>0</v>
      </c>
      <c r="M708" s="164">
        <v>0</v>
      </c>
      <c r="N708" s="164">
        <v>0</v>
      </c>
      <c r="O708" s="164">
        <v>0</v>
      </c>
      <c r="P708" s="162">
        <v>0</v>
      </c>
      <c r="Q708" s="164">
        <v>0</v>
      </c>
      <c r="R708" s="165">
        <v>0</v>
      </c>
      <c r="S708" s="164">
        <v>0</v>
      </c>
      <c r="T708" s="165">
        <v>0</v>
      </c>
      <c r="U708" s="246">
        <v>0</v>
      </c>
      <c r="V708" s="241">
        <f>C708-'часть 1'!L719</f>
        <v>2274331</v>
      </c>
      <c r="W708" s="241"/>
      <c r="X708" s="241"/>
      <c r="Y708" s="9"/>
      <c r="Z708" s="9"/>
      <c r="AA708" s="9"/>
      <c r="AB708" s="235"/>
      <c r="AC708" s="9"/>
      <c r="AD708" s="9"/>
      <c r="AE708" s="9"/>
      <c r="AF708" s="235"/>
      <c r="AG708" s="9"/>
      <c r="AH708" s="9"/>
      <c r="AI708" s="254"/>
    </row>
    <row r="709" spans="1:35">
      <c r="A709" s="166">
        <v>148</v>
      </c>
      <c r="B709" s="163" t="s">
        <v>225</v>
      </c>
      <c r="C709" s="164">
        <v>1118494</v>
      </c>
      <c r="D709" s="164"/>
      <c r="E709" s="164"/>
      <c r="F709" s="164"/>
      <c r="G709" s="164"/>
      <c r="H709" s="164"/>
      <c r="I709" s="164"/>
      <c r="J709" s="164"/>
      <c r="K709" s="164">
        <v>1118494</v>
      </c>
      <c r="L709" s="162">
        <v>0</v>
      </c>
      <c r="M709" s="164">
        <v>0</v>
      </c>
      <c r="N709" s="167">
        <v>0</v>
      </c>
      <c r="O709" s="164">
        <v>0</v>
      </c>
      <c r="P709" s="162">
        <v>0</v>
      </c>
      <c r="Q709" s="164">
        <v>0</v>
      </c>
      <c r="R709" s="168">
        <v>0</v>
      </c>
      <c r="S709" s="164">
        <v>0</v>
      </c>
      <c r="T709" s="165">
        <v>0</v>
      </c>
      <c r="U709" s="246">
        <v>0</v>
      </c>
      <c r="V709" s="241">
        <f>C709-'часть 1'!L720</f>
        <v>36776</v>
      </c>
      <c r="W709" s="241"/>
      <c r="X709" s="241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254"/>
    </row>
    <row r="710" spans="1:35">
      <c r="A710" s="166">
        <v>149</v>
      </c>
      <c r="B710" s="163" t="s">
        <v>232</v>
      </c>
      <c r="C710" s="164">
        <v>2540427</v>
      </c>
      <c r="D710" s="164"/>
      <c r="E710" s="164"/>
      <c r="F710" s="164"/>
      <c r="G710" s="164"/>
      <c r="H710" s="164"/>
      <c r="I710" s="164"/>
      <c r="J710" s="164"/>
      <c r="K710" s="164">
        <v>0</v>
      </c>
      <c r="L710" s="162">
        <v>0</v>
      </c>
      <c r="M710" s="164">
        <v>0</v>
      </c>
      <c r="N710" s="164">
        <v>592</v>
      </c>
      <c r="O710" s="164">
        <v>1201460</v>
      </c>
      <c r="P710" s="162">
        <v>0</v>
      </c>
      <c r="Q710" s="164">
        <v>0</v>
      </c>
      <c r="R710" s="164">
        <v>922</v>
      </c>
      <c r="S710" s="164">
        <v>1338967</v>
      </c>
      <c r="T710" s="165">
        <v>0</v>
      </c>
      <c r="U710" s="246">
        <v>0</v>
      </c>
      <c r="V710" s="241">
        <f>C710-'часть 1'!L721</f>
        <v>2333792</v>
      </c>
      <c r="W710" s="241"/>
      <c r="X710" s="241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254"/>
    </row>
    <row r="711" spans="1:35">
      <c r="A711" s="166">
        <v>150</v>
      </c>
      <c r="B711" s="163" t="s">
        <v>275</v>
      </c>
      <c r="C711" s="164">
        <v>2253297</v>
      </c>
      <c r="D711" s="164"/>
      <c r="E711" s="164"/>
      <c r="F711" s="164"/>
      <c r="G711" s="164"/>
      <c r="H711" s="164"/>
      <c r="I711" s="164"/>
      <c r="J711" s="164"/>
      <c r="K711" s="164">
        <v>0</v>
      </c>
      <c r="L711" s="162">
        <v>0</v>
      </c>
      <c r="M711" s="164">
        <v>0</v>
      </c>
      <c r="N711" s="164">
        <v>1126</v>
      </c>
      <c r="O711" s="164">
        <v>2253297</v>
      </c>
      <c r="P711" s="162">
        <v>0</v>
      </c>
      <c r="Q711" s="164">
        <v>0</v>
      </c>
      <c r="R711" s="165">
        <v>0</v>
      </c>
      <c r="S711" s="164">
        <v>0</v>
      </c>
      <c r="T711" s="165">
        <v>0</v>
      </c>
      <c r="U711" s="246">
        <v>0</v>
      </c>
      <c r="V711" s="241">
        <f>C711-'часть 1'!L722</f>
        <v>1209215.96</v>
      </c>
      <c r="W711" s="241"/>
      <c r="X711" s="241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254"/>
    </row>
    <row r="712" spans="1:35" s="237" customFormat="1">
      <c r="A712" s="162">
        <v>151</v>
      </c>
      <c r="B712" s="163" t="s">
        <v>286</v>
      </c>
      <c r="C712" s="164">
        <v>1390061</v>
      </c>
      <c r="D712" s="164"/>
      <c r="E712" s="164"/>
      <c r="F712" s="164"/>
      <c r="G712" s="164"/>
      <c r="H712" s="164"/>
      <c r="I712" s="164"/>
      <c r="J712" s="164"/>
      <c r="K712" s="164" t="e">
        <f>#REF!</f>
        <v>#REF!</v>
      </c>
      <c r="L712" s="162">
        <v>0</v>
      </c>
      <c r="M712" s="164">
        <v>0</v>
      </c>
      <c r="N712" s="164">
        <v>0</v>
      </c>
      <c r="O712" s="164">
        <v>0</v>
      </c>
      <c r="P712" s="162">
        <v>0</v>
      </c>
      <c r="Q712" s="164">
        <v>0</v>
      </c>
      <c r="R712" s="165">
        <v>0</v>
      </c>
      <c r="S712" s="164">
        <v>0</v>
      </c>
      <c r="T712" s="165">
        <v>0</v>
      </c>
      <c r="U712" s="246">
        <v>0</v>
      </c>
      <c r="V712" s="241">
        <f>C712-'часть 1'!L723</f>
        <v>50061</v>
      </c>
      <c r="W712" s="241"/>
      <c r="X712" s="241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254"/>
    </row>
    <row r="713" spans="1:35" ht="30">
      <c r="A713" s="166">
        <v>152</v>
      </c>
      <c r="B713" s="163" t="s">
        <v>342</v>
      </c>
      <c r="C713" s="164">
        <v>3213804</v>
      </c>
      <c r="D713" s="164"/>
      <c r="E713" s="164"/>
      <c r="F713" s="164"/>
      <c r="G713" s="164"/>
      <c r="H713" s="164"/>
      <c r="I713" s="164"/>
      <c r="J713" s="164"/>
      <c r="K713" s="164">
        <v>846948</v>
      </c>
      <c r="L713" s="162">
        <v>0</v>
      </c>
      <c r="M713" s="164">
        <v>0</v>
      </c>
      <c r="N713" s="164">
        <v>1200</v>
      </c>
      <c r="O713" s="164">
        <v>2366856</v>
      </c>
      <c r="P713" s="162">
        <v>0</v>
      </c>
      <c r="Q713" s="164">
        <v>0</v>
      </c>
      <c r="R713" s="165">
        <v>0</v>
      </c>
      <c r="S713" s="164">
        <v>0</v>
      </c>
      <c r="T713" s="165">
        <v>0</v>
      </c>
      <c r="U713" s="246">
        <v>0</v>
      </c>
      <c r="V713" s="241">
        <f>C713-'часть 1'!L724</f>
        <v>919275</v>
      </c>
      <c r="W713" s="241"/>
      <c r="X713" s="241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254"/>
    </row>
    <row r="714" spans="1:35">
      <c r="A714" s="166">
        <v>153</v>
      </c>
      <c r="B714" s="163" t="s">
        <v>298</v>
      </c>
      <c r="C714" s="164">
        <v>3202371</v>
      </c>
      <c r="D714" s="164"/>
      <c r="E714" s="164"/>
      <c r="F714" s="164"/>
      <c r="G714" s="164"/>
      <c r="H714" s="164"/>
      <c r="I714" s="164"/>
      <c r="J714" s="164"/>
      <c r="K714" s="164">
        <v>0</v>
      </c>
      <c r="L714" s="162">
        <v>0</v>
      </c>
      <c r="M714" s="164">
        <v>0</v>
      </c>
      <c r="N714" s="164">
        <v>0</v>
      </c>
      <c r="O714" s="164">
        <v>0</v>
      </c>
      <c r="P714" s="162">
        <v>0</v>
      </c>
      <c r="Q714" s="164">
        <v>0</v>
      </c>
      <c r="R714" s="164">
        <v>2220.83</v>
      </c>
      <c r="S714" s="164">
        <v>3202371</v>
      </c>
      <c r="T714" s="165">
        <v>0</v>
      </c>
      <c r="U714" s="246">
        <v>0</v>
      </c>
      <c r="V714" s="241">
        <f>C714-'часть 1'!L725</f>
        <v>586754.79999999981</v>
      </c>
      <c r="W714" s="241"/>
      <c r="X714" s="241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254"/>
    </row>
    <row r="715" spans="1:35">
      <c r="A715" s="166">
        <v>154</v>
      </c>
      <c r="B715" s="163" t="s">
        <v>253</v>
      </c>
      <c r="C715" s="164">
        <v>709022</v>
      </c>
      <c r="D715" s="164"/>
      <c r="E715" s="164"/>
      <c r="F715" s="164"/>
      <c r="G715" s="164"/>
      <c r="H715" s="164"/>
      <c r="I715" s="164"/>
      <c r="J715" s="164"/>
      <c r="K715" s="164">
        <v>0</v>
      </c>
      <c r="L715" s="162">
        <v>0</v>
      </c>
      <c r="M715" s="164">
        <v>0</v>
      </c>
      <c r="N715" s="164">
        <v>0</v>
      </c>
      <c r="O715" s="164">
        <v>0</v>
      </c>
      <c r="P715" s="162">
        <v>0</v>
      </c>
      <c r="Q715" s="164">
        <v>0</v>
      </c>
      <c r="R715" s="164">
        <v>486.6</v>
      </c>
      <c r="S715" s="167">
        <v>709022</v>
      </c>
      <c r="T715" s="165">
        <v>0</v>
      </c>
      <c r="U715" s="246">
        <v>0</v>
      </c>
      <c r="V715" s="241">
        <f>C715-'часть 1'!L726</f>
        <v>-852517</v>
      </c>
      <c r="W715" s="241"/>
      <c r="X715" s="241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254"/>
    </row>
    <row r="716" spans="1:35">
      <c r="A716" s="162">
        <v>155</v>
      </c>
      <c r="B716" s="163" t="s">
        <v>260</v>
      </c>
      <c r="C716" s="164">
        <v>1136930</v>
      </c>
      <c r="D716" s="164"/>
      <c r="E716" s="164"/>
      <c r="F716" s="164"/>
      <c r="G716" s="164"/>
      <c r="H716" s="164"/>
      <c r="I716" s="164"/>
      <c r="J716" s="164"/>
      <c r="K716" s="164">
        <v>0</v>
      </c>
      <c r="L716" s="162">
        <v>0</v>
      </c>
      <c r="M716" s="164">
        <v>0</v>
      </c>
      <c r="N716" s="164">
        <v>278</v>
      </c>
      <c r="O716" s="164">
        <v>570382</v>
      </c>
      <c r="P716" s="162">
        <v>0</v>
      </c>
      <c r="Q716" s="164">
        <v>0</v>
      </c>
      <c r="R716" s="164">
        <v>386.88</v>
      </c>
      <c r="S716" s="164">
        <v>566548</v>
      </c>
      <c r="T716" s="165">
        <v>0</v>
      </c>
      <c r="U716" s="246">
        <v>0</v>
      </c>
      <c r="V716" s="241">
        <f>C716-'часть 1'!L727</f>
        <v>-284257</v>
      </c>
      <c r="W716" s="241"/>
      <c r="X716" s="241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254"/>
    </row>
    <row r="717" spans="1:35">
      <c r="A717" s="166">
        <v>156</v>
      </c>
      <c r="B717" s="163" t="s">
        <v>349</v>
      </c>
      <c r="C717" s="164">
        <v>1320636</v>
      </c>
      <c r="D717" s="164"/>
      <c r="E717" s="164"/>
      <c r="F717" s="164"/>
      <c r="G717" s="164"/>
      <c r="H717" s="164"/>
      <c r="I717" s="164"/>
      <c r="J717" s="164"/>
      <c r="K717" s="164">
        <v>0</v>
      </c>
      <c r="L717" s="162">
        <v>0</v>
      </c>
      <c r="M717" s="164">
        <v>0</v>
      </c>
      <c r="N717" s="171">
        <v>662</v>
      </c>
      <c r="O717" s="167">
        <v>1320636</v>
      </c>
      <c r="P717" s="162">
        <v>0</v>
      </c>
      <c r="Q717" s="164">
        <v>0</v>
      </c>
      <c r="R717" s="165">
        <v>0</v>
      </c>
      <c r="S717" s="164">
        <v>0</v>
      </c>
      <c r="T717" s="165">
        <v>0</v>
      </c>
      <c r="U717" s="246">
        <v>0</v>
      </c>
      <c r="V717" s="241">
        <f>C717-'часть 1'!L728</f>
        <v>-1149104</v>
      </c>
      <c r="W717" s="241"/>
      <c r="X717" s="241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254"/>
    </row>
    <row r="718" spans="1:35">
      <c r="A718" s="166">
        <v>157</v>
      </c>
      <c r="B718" s="163" t="s">
        <v>302</v>
      </c>
      <c r="C718" s="164">
        <v>4265098</v>
      </c>
      <c r="D718" s="164"/>
      <c r="E718" s="164"/>
      <c r="F718" s="164"/>
      <c r="G718" s="164"/>
      <c r="H718" s="164"/>
      <c r="I718" s="164"/>
      <c r="J718" s="164"/>
      <c r="K718" s="164">
        <v>0</v>
      </c>
      <c r="L718" s="162">
        <v>0</v>
      </c>
      <c r="M718" s="164">
        <v>0</v>
      </c>
      <c r="N718" s="164">
        <v>0</v>
      </c>
      <c r="O718" s="164">
        <v>0</v>
      </c>
      <c r="P718" s="162">
        <v>0</v>
      </c>
      <c r="Q718" s="164">
        <v>0</v>
      </c>
      <c r="R718" s="164">
        <v>2927.5</v>
      </c>
      <c r="S718" s="164">
        <v>4265098</v>
      </c>
      <c r="T718" s="165">
        <v>0</v>
      </c>
      <c r="U718" s="246">
        <v>0</v>
      </c>
      <c r="V718" s="241">
        <f>C718-'часть 1'!L729</f>
        <v>3160241</v>
      </c>
      <c r="W718" s="241"/>
      <c r="X718" s="241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254"/>
    </row>
    <row r="719" spans="1:35">
      <c r="A719" s="166">
        <v>158</v>
      </c>
      <c r="B719" s="163" t="s">
        <v>341</v>
      </c>
      <c r="C719" s="164">
        <v>2115890</v>
      </c>
      <c r="D719" s="164"/>
      <c r="E719" s="164"/>
      <c r="F719" s="164"/>
      <c r="G719" s="164"/>
      <c r="H719" s="164"/>
      <c r="I719" s="164"/>
      <c r="J719" s="164"/>
      <c r="K719" s="164">
        <v>2115890</v>
      </c>
      <c r="L719" s="162">
        <v>0</v>
      </c>
      <c r="M719" s="164">
        <v>0</v>
      </c>
      <c r="N719" s="164">
        <v>0</v>
      </c>
      <c r="O719" s="164">
        <v>0</v>
      </c>
      <c r="P719" s="162">
        <v>0</v>
      </c>
      <c r="Q719" s="164">
        <v>0</v>
      </c>
      <c r="R719" s="165">
        <v>0</v>
      </c>
      <c r="S719" s="164">
        <v>0</v>
      </c>
      <c r="T719" s="165">
        <v>0</v>
      </c>
      <c r="U719" s="246">
        <v>0</v>
      </c>
      <c r="V719" s="241">
        <f>C719-'часть 1'!L730</f>
        <v>238512</v>
      </c>
      <c r="W719" s="241"/>
      <c r="X719" s="241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254"/>
    </row>
    <row r="720" spans="1:35">
      <c r="A720" s="166">
        <v>159</v>
      </c>
      <c r="B720" s="163" t="s">
        <v>242</v>
      </c>
      <c r="C720" s="164">
        <v>482251.51</v>
      </c>
      <c r="D720" s="164"/>
      <c r="E720" s="164"/>
      <c r="F720" s="164"/>
      <c r="G720" s="164"/>
      <c r="H720" s="164"/>
      <c r="I720" s="164"/>
      <c r="J720" s="164"/>
      <c r="K720" s="164">
        <v>482251.51</v>
      </c>
      <c r="L720" s="162">
        <v>0</v>
      </c>
      <c r="M720" s="164">
        <v>0</v>
      </c>
      <c r="N720" s="164">
        <v>0</v>
      </c>
      <c r="O720" s="164">
        <v>0</v>
      </c>
      <c r="P720" s="162">
        <v>0</v>
      </c>
      <c r="Q720" s="164">
        <v>0</v>
      </c>
      <c r="R720" s="165">
        <v>0</v>
      </c>
      <c r="S720" s="164">
        <v>0</v>
      </c>
      <c r="T720" s="165">
        <v>0</v>
      </c>
      <c r="U720" s="246">
        <v>0</v>
      </c>
      <c r="V720" s="241">
        <f>C720-'часть 1'!L731</f>
        <v>-2463584.4900000002</v>
      </c>
      <c r="W720" s="241"/>
      <c r="X720" s="241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254"/>
    </row>
    <row r="721" spans="1:35">
      <c r="A721" s="166">
        <v>160</v>
      </c>
      <c r="B721" s="163" t="s">
        <v>279</v>
      </c>
      <c r="C721" s="164">
        <v>1018040.92</v>
      </c>
      <c r="D721" s="164"/>
      <c r="E721" s="164"/>
      <c r="F721" s="164"/>
      <c r="G721" s="164"/>
      <c r="H721" s="164"/>
      <c r="I721" s="164"/>
      <c r="J721" s="164"/>
      <c r="K721" s="164">
        <v>0</v>
      </c>
      <c r="L721" s="162">
        <v>0</v>
      </c>
      <c r="M721" s="164">
        <v>0</v>
      </c>
      <c r="N721" s="164">
        <v>516.5</v>
      </c>
      <c r="O721" s="164">
        <v>1018040.92</v>
      </c>
      <c r="P721" s="162">
        <v>0</v>
      </c>
      <c r="Q721" s="164">
        <v>0</v>
      </c>
      <c r="R721" s="165">
        <v>0</v>
      </c>
      <c r="S721" s="164">
        <v>0</v>
      </c>
      <c r="T721" s="165">
        <v>0</v>
      </c>
      <c r="U721" s="246">
        <v>0</v>
      </c>
      <c r="V721" s="241">
        <f>C721-'часть 1'!L732</f>
        <v>-100453.07999999996</v>
      </c>
      <c r="W721" s="241"/>
      <c r="X721" s="241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254"/>
    </row>
    <row r="722" spans="1:35">
      <c r="A722" s="166">
        <v>161</v>
      </c>
      <c r="B722" s="163" t="s">
        <v>262</v>
      </c>
      <c r="C722" s="164">
        <v>1871554</v>
      </c>
      <c r="D722" s="164"/>
      <c r="E722" s="164"/>
      <c r="F722" s="164"/>
      <c r="G722" s="164"/>
      <c r="H722" s="164"/>
      <c r="I722" s="164"/>
      <c r="J722" s="164"/>
      <c r="K722" s="164">
        <v>0</v>
      </c>
      <c r="L722" s="162">
        <v>1</v>
      </c>
      <c r="M722" s="164">
        <v>1871554</v>
      </c>
      <c r="N722" s="164">
        <v>0</v>
      </c>
      <c r="O722" s="164">
        <v>0</v>
      </c>
      <c r="P722" s="162">
        <v>0</v>
      </c>
      <c r="Q722" s="164">
        <v>0</v>
      </c>
      <c r="R722" s="165">
        <v>0</v>
      </c>
      <c r="S722" s="164">
        <v>0</v>
      </c>
      <c r="T722" s="165">
        <v>0</v>
      </c>
      <c r="U722" s="246">
        <v>0</v>
      </c>
      <c r="V722" s="241">
        <f>C722-'часть 1'!L733</f>
        <v>-668873</v>
      </c>
      <c r="W722" s="241"/>
      <c r="X722" s="241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254"/>
    </row>
    <row r="723" spans="1:35">
      <c r="A723" s="166">
        <v>162</v>
      </c>
      <c r="B723" s="163" t="s">
        <v>290</v>
      </c>
      <c r="C723" s="164">
        <v>2652530</v>
      </c>
      <c r="D723" s="164"/>
      <c r="E723" s="164"/>
      <c r="F723" s="164"/>
      <c r="G723" s="164"/>
      <c r="H723" s="164"/>
      <c r="I723" s="164"/>
      <c r="J723" s="164"/>
      <c r="K723" s="164">
        <v>2652530</v>
      </c>
      <c r="L723" s="162">
        <v>0</v>
      </c>
      <c r="M723" s="164">
        <v>0</v>
      </c>
      <c r="N723" s="167">
        <v>0</v>
      </c>
      <c r="O723" s="164">
        <v>0</v>
      </c>
      <c r="P723" s="162">
        <v>0</v>
      </c>
      <c r="Q723" s="164">
        <v>0</v>
      </c>
      <c r="R723" s="168">
        <v>0</v>
      </c>
      <c r="S723" s="164">
        <v>0</v>
      </c>
      <c r="T723" s="165">
        <v>0</v>
      </c>
      <c r="U723" s="246">
        <v>0</v>
      </c>
      <c r="V723" s="241">
        <f>C723-'часть 1'!L734</f>
        <v>399233</v>
      </c>
      <c r="W723" s="241"/>
      <c r="X723" s="241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254"/>
    </row>
    <row r="724" spans="1:35">
      <c r="A724" s="166">
        <v>163</v>
      </c>
      <c r="B724" s="163" t="s">
        <v>356</v>
      </c>
      <c r="C724" s="164">
        <v>3645969</v>
      </c>
      <c r="D724" s="164"/>
      <c r="E724" s="164"/>
      <c r="F724" s="164"/>
      <c r="G724" s="164"/>
      <c r="H724" s="164"/>
      <c r="I724" s="164"/>
      <c r="J724" s="164"/>
      <c r="K724" s="164" t="e">
        <f>#REF!</f>
        <v>#REF!</v>
      </c>
      <c r="L724" s="162">
        <v>0</v>
      </c>
      <c r="M724" s="164">
        <v>0</v>
      </c>
      <c r="N724" s="164">
        <v>0</v>
      </c>
      <c r="O724" s="164">
        <v>0</v>
      </c>
      <c r="P724" s="162">
        <v>0</v>
      </c>
      <c r="Q724" s="164">
        <v>0</v>
      </c>
      <c r="R724" s="168">
        <v>0</v>
      </c>
      <c r="S724" s="164">
        <v>0</v>
      </c>
      <c r="T724" s="165">
        <v>0</v>
      </c>
      <c r="U724" s="246">
        <v>0</v>
      </c>
      <c r="V724" s="241">
        <f>C724-'часть 1'!L735</f>
        <v>2255908</v>
      </c>
      <c r="W724" s="241"/>
      <c r="X724" s="241"/>
      <c r="Y724" s="9"/>
      <c r="Z724" s="9"/>
      <c r="AA724" s="9"/>
      <c r="AB724" s="9"/>
      <c r="AC724" s="3"/>
      <c r="AD724" s="9"/>
      <c r="AE724" s="9"/>
      <c r="AF724" s="9"/>
      <c r="AG724" s="9"/>
      <c r="AH724" s="9"/>
      <c r="AI724" s="254"/>
    </row>
    <row r="725" spans="1:35">
      <c r="A725" s="166">
        <v>164</v>
      </c>
      <c r="B725" s="163" t="s">
        <v>354</v>
      </c>
      <c r="C725" s="164">
        <v>771330</v>
      </c>
      <c r="D725" s="164"/>
      <c r="E725" s="164"/>
      <c r="F725" s="164"/>
      <c r="G725" s="164"/>
      <c r="H725" s="164"/>
      <c r="I725" s="164"/>
      <c r="J725" s="164"/>
      <c r="K725" s="164">
        <v>0</v>
      </c>
      <c r="L725" s="162">
        <v>0</v>
      </c>
      <c r="M725" s="164">
        <v>0</v>
      </c>
      <c r="N725" s="164">
        <v>376</v>
      </c>
      <c r="O725" s="164">
        <v>771330</v>
      </c>
      <c r="P725" s="162">
        <v>0</v>
      </c>
      <c r="Q725" s="164">
        <v>0</v>
      </c>
      <c r="R725" s="165">
        <v>0</v>
      </c>
      <c r="S725" s="164">
        <v>0</v>
      </c>
      <c r="T725" s="165">
        <v>0</v>
      </c>
      <c r="U725" s="246">
        <v>0</v>
      </c>
      <c r="V725" s="241">
        <f>C725-'часть 1'!L736</f>
        <v>-2442474</v>
      </c>
      <c r="W725" s="241"/>
      <c r="X725" s="241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254"/>
    </row>
    <row r="726" spans="1:35">
      <c r="A726" s="166">
        <v>165</v>
      </c>
      <c r="B726" s="163" t="s">
        <v>352</v>
      </c>
      <c r="C726" s="164">
        <v>1894719</v>
      </c>
      <c r="D726" s="164"/>
      <c r="E726" s="164"/>
      <c r="F726" s="164"/>
      <c r="G726" s="164"/>
      <c r="H726" s="164"/>
      <c r="I726" s="164"/>
      <c r="J726" s="164"/>
      <c r="K726" s="164">
        <v>0</v>
      </c>
      <c r="L726" s="162">
        <v>1</v>
      </c>
      <c r="M726" s="164">
        <v>1894719</v>
      </c>
      <c r="N726" s="164">
        <v>0</v>
      </c>
      <c r="O726" s="164">
        <v>0</v>
      </c>
      <c r="P726" s="162">
        <v>0</v>
      </c>
      <c r="Q726" s="164">
        <v>0</v>
      </c>
      <c r="R726" s="165">
        <v>0</v>
      </c>
      <c r="S726" s="164">
        <v>0</v>
      </c>
      <c r="T726" s="165">
        <v>0</v>
      </c>
      <c r="U726" s="246">
        <v>0</v>
      </c>
      <c r="V726" s="241">
        <f>C726-'часть 1'!L737</f>
        <v>-1307652</v>
      </c>
      <c r="W726" s="241"/>
      <c r="X726" s="241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254"/>
    </row>
    <row r="727" spans="1:35">
      <c r="A727" s="166">
        <v>166</v>
      </c>
      <c r="B727" s="163" t="s">
        <v>355</v>
      </c>
      <c r="C727" s="164">
        <v>1492412</v>
      </c>
      <c r="D727" s="164"/>
      <c r="E727" s="164"/>
      <c r="F727" s="164"/>
      <c r="G727" s="164"/>
      <c r="H727" s="164"/>
      <c r="I727" s="164"/>
      <c r="J727" s="164"/>
      <c r="K727" s="164">
        <v>0</v>
      </c>
      <c r="L727" s="162">
        <v>0</v>
      </c>
      <c r="M727" s="164">
        <v>0</v>
      </c>
      <c r="N727" s="164">
        <v>752</v>
      </c>
      <c r="O727" s="164">
        <v>1492412</v>
      </c>
      <c r="P727" s="162">
        <v>0</v>
      </c>
      <c r="Q727" s="164">
        <v>0</v>
      </c>
      <c r="R727" s="165">
        <v>0</v>
      </c>
      <c r="S727" s="164">
        <v>0</v>
      </c>
      <c r="T727" s="165">
        <v>0</v>
      </c>
      <c r="U727" s="246">
        <v>0</v>
      </c>
      <c r="V727" s="241">
        <f>C727-'часть 1'!L738</f>
        <v>783390</v>
      </c>
      <c r="W727" s="241"/>
      <c r="X727" s="241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254"/>
    </row>
    <row r="728" spans="1:35">
      <c r="A728" s="166">
        <v>167</v>
      </c>
      <c r="B728" s="163" t="s">
        <v>318</v>
      </c>
      <c r="C728" s="164">
        <v>651523.25</v>
      </c>
      <c r="D728" s="164"/>
      <c r="E728" s="164"/>
      <c r="F728" s="164"/>
      <c r="G728" s="164"/>
      <c r="H728" s="164"/>
      <c r="I728" s="164"/>
      <c r="J728" s="164"/>
      <c r="K728" s="164">
        <v>651523.25</v>
      </c>
      <c r="L728" s="162">
        <v>0</v>
      </c>
      <c r="M728" s="164">
        <v>0</v>
      </c>
      <c r="N728" s="167">
        <v>0</v>
      </c>
      <c r="O728" s="164">
        <v>0</v>
      </c>
      <c r="P728" s="162">
        <v>0</v>
      </c>
      <c r="Q728" s="164">
        <v>0</v>
      </c>
      <c r="R728" s="168">
        <v>0</v>
      </c>
      <c r="S728" s="164">
        <v>0</v>
      </c>
      <c r="T728" s="165">
        <v>0</v>
      </c>
      <c r="U728" s="246">
        <v>0</v>
      </c>
      <c r="V728" s="241">
        <f>C728-'часть 1'!L739</f>
        <v>-485406.75</v>
      </c>
      <c r="W728" s="241"/>
      <c r="X728" s="241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254"/>
    </row>
    <row r="729" spans="1:35" ht="15.75" thickBot="1">
      <c r="A729" s="166">
        <v>168</v>
      </c>
      <c r="B729" s="163" t="s">
        <v>353</v>
      </c>
      <c r="C729" s="164">
        <v>1221424.83</v>
      </c>
      <c r="D729" s="164"/>
      <c r="E729" s="164"/>
      <c r="F729" s="164"/>
      <c r="G729" s="164"/>
      <c r="H729" s="164"/>
      <c r="I729" s="164"/>
      <c r="J729" s="164"/>
      <c r="K729" s="164">
        <v>0</v>
      </c>
      <c r="L729" s="162">
        <v>0</v>
      </c>
      <c r="M729" s="164">
        <v>0</v>
      </c>
      <c r="N729" s="164">
        <v>640</v>
      </c>
      <c r="O729" s="164">
        <v>1221424.83</v>
      </c>
      <c r="P729" s="162">
        <v>0</v>
      </c>
      <c r="Q729" s="164">
        <v>0</v>
      </c>
      <c r="R729" s="168">
        <v>0</v>
      </c>
      <c r="S729" s="164">
        <v>0</v>
      </c>
      <c r="T729" s="165">
        <v>0</v>
      </c>
      <c r="U729" s="246">
        <v>0</v>
      </c>
      <c r="V729" s="241">
        <f>C729-'часть 1'!L740</f>
        <v>-99211.169999999925</v>
      </c>
      <c r="W729" s="241"/>
      <c r="X729" s="241"/>
      <c r="Y729" s="50"/>
      <c r="Z729" s="9"/>
      <c r="AA729" s="50"/>
      <c r="AB729" s="9"/>
      <c r="AC729" s="50"/>
      <c r="AD729" s="9"/>
      <c r="AE729" s="50"/>
      <c r="AF729" s="9"/>
      <c r="AG729" s="50"/>
      <c r="AH729" s="9"/>
      <c r="AI729" s="257"/>
    </row>
    <row r="730" spans="1:35" ht="31.5" customHeight="1">
      <c r="A730" s="166"/>
      <c r="B730" s="163" t="s">
        <v>91</v>
      </c>
      <c r="C730" s="164">
        <f>C731+C732+C733+C734+C735+C736+C737+C738+C739+C740+C741+C742+C743</f>
        <v>21022265</v>
      </c>
      <c r="D730" s="164">
        <f t="shared" ref="D730:V730" si="78">D731+D732+D733+D734+D735+D736+D737+D738+D739+D740+D741+D742+D743</f>
        <v>0</v>
      </c>
      <c r="E730" s="164">
        <f t="shared" si="78"/>
        <v>0</v>
      </c>
      <c r="F730" s="164">
        <f t="shared" si="78"/>
        <v>0</v>
      </c>
      <c r="G730" s="164">
        <f t="shared" si="78"/>
        <v>0</v>
      </c>
      <c r="H730" s="164">
        <f t="shared" si="78"/>
        <v>0</v>
      </c>
      <c r="I730" s="164">
        <f t="shared" si="78"/>
        <v>0</v>
      </c>
      <c r="J730" s="164">
        <f t="shared" si="78"/>
        <v>0</v>
      </c>
      <c r="K730" s="164">
        <f t="shared" si="78"/>
        <v>0</v>
      </c>
      <c r="L730" s="164">
        <f t="shared" si="78"/>
        <v>0</v>
      </c>
      <c r="M730" s="164">
        <f t="shared" si="78"/>
        <v>0</v>
      </c>
      <c r="N730" s="164">
        <f t="shared" si="78"/>
        <v>7004.99</v>
      </c>
      <c r="O730" s="164">
        <f t="shared" si="78"/>
        <v>21022265</v>
      </c>
      <c r="P730" s="164">
        <f t="shared" si="78"/>
        <v>0</v>
      </c>
      <c r="Q730" s="164">
        <f t="shared" si="78"/>
        <v>0</v>
      </c>
      <c r="R730" s="164">
        <f t="shared" si="78"/>
        <v>0</v>
      </c>
      <c r="S730" s="164">
        <f t="shared" si="78"/>
        <v>0</v>
      </c>
      <c r="T730" s="164">
        <f t="shared" si="78"/>
        <v>0</v>
      </c>
      <c r="U730" s="164">
        <f t="shared" si="78"/>
        <v>0</v>
      </c>
      <c r="V730" s="164">
        <f t="shared" si="78"/>
        <v>0</v>
      </c>
      <c r="W730" s="241"/>
      <c r="X730" s="241"/>
    </row>
    <row r="731" spans="1:35" ht="15.75">
      <c r="A731" s="166">
        <v>169</v>
      </c>
      <c r="B731" s="225" t="s">
        <v>949</v>
      </c>
      <c r="C731" s="164">
        <f>'часть 1'!L754</f>
        <v>2589031</v>
      </c>
      <c r="D731" s="164">
        <v>0</v>
      </c>
      <c r="E731" s="164">
        <v>0</v>
      </c>
      <c r="F731" s="164">
        <v>0</v>
      </c>
      <c r="G731" s="164">
        <v>0</v>
      </c>
      <c r="H731" s="164">
        <v>0</v>
      </c>
      <c r="I731" s="164">
        <v>0</v>
      </c>
      <c r="J731" s="164">
        <v>0</v>
      </c>
      <c r="K731" s="164">
        <v>0</v>
      </c>
      <c r="L731" s="174">
        <v>0</v>
      </c>
      <c r="M731" s="167">
        <v>0</v>
      </c>
      <c r="N731" s="167">
        <v>1034</v>
      </c>
      <c r="O731" s="167">
        <f>C731</f>
        <v>2589031</v>
      </c>
      <c r="P731" s="169">
        <v>0</v>
      </c>
      <c r="Q731" s="167">
        <v>0</v>
      </c>
      <c r="R731" s="168">
        <v>0</v>
      </c>
      <c r="S731" s="175">
        <v>0</v>
      </c>
      <c r="T731" s="169">
        <v>0</v>
      </c>
      <c r="U731" s="247">
        <v>0</v>
      </c>
      <c r="V731" s="241"/>
      <c r="W731" s="241">
        <f>O731/N731</f>
        <v>2503.8984526112185</v>
      </c>
      <c r="X731" s="241"/>
    </row>
    <row r="732" spans="1:35" ht="15.75">
      <c r="A732" s="166">
        <v>170</v>
      </c>
      <c r="B732" s="225" t="s">
        <v>950</v>
      </c>
      <c r="C732" s="164">
        <f>'часть 1'!L755</f>
        <v>2100989</v>
      </c>
      <c r="D732" s="164">
        <v>0</v>
      </c>
      <c r="E732" s="164">
        <v>0</v>
      </c>
      <c r="F732" s="164">
        <v>0</v>
      </c>
      <c r="G732" s="164">
        <v>0</v>
      </c>
      <c r="H732" s="164">
        <v>0</v>
      </c>
      <c r="I732" s="164">
        <v>0</v>
      </c>
      <c r="J732" s="164">
        <v>0</v>
      </c>
      <c r="K732" s="164">
        <v>0</v>
      </c>
      <c r="L732" s="174">
        <v>0</v>
      </c>
      <c r="M732" s="167">
        <v>0</v>
      </c>
      <c r="N732" s="167">
        <v>660</v>
      </c>
      <c r="O732" s="167">
        <f t="shared" ref="O732:O743" si="79">C732</f>
        <v>2100989</v>
      </c>
      <c r="P732" s="169">
        <v>0</v>
      </c>
      <c r="Q732" s="167">
        <v>0</v>
      </c>
      <c r="R732" s="168">
        <v>0</v>
      </c>
      <c r="S732" s="175">
        <v>0</v>
      </c>
      <c r="T732" s="169">
        <v>0</v>
      </c>
      <c r="U732" s="247">
        <v>0</v>
      </c>
      <c r="V732" s="241"/>
      <c r="W732" s="241">
        <f t="shared" ref="W732:W743" si="80">O732/N732</f>
        <v>3183.3166666666666</v>
      </c>
      <c r="X732" s="241"/>
    </row>
    <row r="733" spans="1:35" ht="15.75">
      <c r="A733" s="166">
        <v>171</v>
      </c>
      <c r="B733" s="225" t="s">
        <v>951</v>
      </c>
      <c r="C733" s="164">
        <f>'часть 1'!L756</f>
        <v>1913404</v>
      </c>
      <c r="D733" s="164">
        <v>0</v>
      </c>
      <c r="E733" s="164">
        <v>0</v>
      </c>
      <c r="F733" s="164">
        <v>0</v>
      </c>
      <c r="G733" s="164">
        <v>0</v>
      </c>
      <c r="H733" s="164">
        <v>0</v>
      </c>
      <c r="I733" s="164">
        <v>0</v>
      </c>
      <c r="J733" s="164">
        <v>0</v>
      </c>
      <c r="K733" s="164">
        <v>0</v>
      </c>
      <c r="L733" s="174">
        <v>0</v>
      </c>
      <c r="M733" s="167">
        <v>0</v>
      </c>
      <c r="N733" s="167">
        <v>600</v>
      </c>
      <c r="O733" s="167">
        <f t="shared" si="79"/>
        <v>1913404</v>
      </c>
      <c r="P733" s="169">
        <v>0</v>
      </c>
      <c r="Q733" s="167">
        <v>0</v>
      </c>
      <c r="R733" s="168">
        <v>0</v>
      </c>
      <c r="S733" s="175">
        <v>0</v>
      </c>
      <c r="T733" s="169">
        <v>0</v>
      </c>
      <c r="U733" s="247">
        <v>0</v>
      </c>
      <c r="V733" s="241"/>
      <c r="W733" s="241">
        <f t="shared" si="80"/>
        <v>3189.0066666666667</v>
      </c>
      <c r="X733" s="241"/>
    </row>
    <row r="734" spans="1:35" ht="15.75">
      <c r="A734" s="166">
        <v>172</v>
      </c>
      <c r="B734" s="225" t="s">
        <v>952</v>
      </c>
      <c r="C734" s="164">
        <f>'часть 1'!L757</f>
        <v>2563779</v>
      </c>
      <c r="D734" s="164">
        <v>0</v>
      </c>
      <c r="E734" s="164">
        <v>0</v>
      </c>
      <c r="F734" s="164">
        <v>0</v>
      </c>
      <c r="G734" s="164">
        <v>0</v>
      </c>
      <c r="H734" s="164">
        <v>0</v>
      </c>
      <c r="I734" s="164">
        <v>0</v>
      </c>
      <c r="J734" s="164">
        <v>0</v>
      </c>
      <c r="K734" s="164">
        <v>0</v>
      </c>
      <c r="L734" s="174">
        <v>0</v>
      </c>
      <c r="M734" s="167">
        <v>0</v>
      </c>
      <c r="N734" s="167">
        <v>1024</v>
      </c>
      <c r="O734" s="167">
        <f t="shared" si="79"/>
        <v>2563779</v>
      </c>
      <c r="P734" s="169">
        <v>0</v>
      </c>
      <c r="Q734" s="167">
        <v>0</v>
      </c>
      <c r="R734" s="168">
        <v>0</v>
      </c>
      <c r="S734" s="175">
        <v>0</v>
      </c>
      <c r="T734" s="169">
        <v>0</v>
      </c>
      <c r="U734" s="247">
        <v>0</v>
      </c>
      <c r="V734" s="241"/>
      <c r="W734" s="241">
        <f t="shared" si="80"/>
        <v>2503.6904296875</v>
      </c>
      <c r="X734" s="241"/>
    </row>
    <row r="735" spans="1:35" ht="15.75">
      <c r="A735" s="166">
        <v>173</v>
      </c>
      <c r="B735" s="225" t="s">
        <v>953</v>
      </c>
      <c r="C735" s="164">
        <f>'часть 1'!L758</f>
        <v>1211476</v>
      </c>
      <c r="D735" s="164">
        <v>0</v>
      </c>
      <c r="E735" s="164">
        <v>0</v>
      </c>
      <c r="F735" s="164">
        <v>0</v>
      </c>
      <c r="G735" s="164">
        <v>0</v>
      </c>
      <c r="H735" s="164">
        <v>0</v>
      </c>
      <c r="I735" s="164">
        <v>0</v>
      </c>
      <c r="J735" s="164">
        <v>0</v>
      </c>
      <c r="K735" s="164">
        <v>0</v>
      </c>
      <c r="L735" s="174">
        <v>0</v>
      </c>
      <c r="M735" s="167">
        <v>0</v>
      </c>
      <c r="N735" s="167">
        <v>373.39</v>
      </c>
      <c r="O735" s="167">
        <f t="shared" si="79"/>
        <v>1211476</v>
      </c>
      <c r="P735" s="169">
        <v>0</v>
      </c>
      <c r="Q735" s="167">
        <v>0</v>
      </c>
      <c r="R735" s="168">
        <v>0</v>
      </c>
      <c r="S735" s="175">
        <v>0</v>
      </c>
      <c r="T735" s="169">
        <v>0</v>
      </c>
      <c r="U735" s="247">
        <v>0</v>
      </c>
      <c r="V735" s="241"/>
      <c r="W735" s="241">
        <f t="shared" si="80"/>
        <v>3244.5325263129703</v>
      </c>
      <c r="X735" s="241"/>
    </row>
    <row r="736" spans="1:35" ht="15.75">
      <c r="A736" s="166">
        <v>174</v>
      </c>
      <c r="B736" s="225" t="s">
        <v>954</v>
      </c>
      <c r="C736" s="164">
        <f>'часть 1'!L759</f>
        <v>3154876</v>
      </c>
      <c r="D736" s="164">
        <v>0</v>
      </c>
      <c r="E736" s="164">
        <v>0</v>
      </c>
      <c r="F736" s="164">
        <v>0</v>
      </c>
      <c r="G736" s="164">
        <v>0</v>
      </c>
      <c r="H736" s="164">
        <v>0</v>
      </c>
      <c r="I736" s="164">
        <v>0</v>
      </c>
      <c r="J736" s="164">
        <v>0</v>
      </c>
      <c r="K736" s="164">
        <v>0</v>
      </c>
      <c r="L736" s="174">
        <v>0</v>
      </c>
      <c r="M736" s="167">
        <v>0</v>
      </c>
      <c r="N736" s="167">
        <v>997</v>
      </c>
      <c r="O736" s="167">
        <f t="shared" si="79"/>
        <v>3154876</v>
      </c>
      <c r="P736" s="169">
        <v>0</v>
      </c>
      <c r="Q736" s="167">
        <v>0</v>
      </c>
      <c r="R736" s="168">
        <v>0</v>
      </c>
      <c r="S736" s="175">
        <v>0</v>
      </c>
      <c r="T736" s="169">
        <v>0</v>
      </c>
      <c r="U736" s="247">
        <v>0</v>
      </c>
      <c r="V736" s="241"/>
      <c r="W736" s="241">
        <f t="shared" si="80"/>
        <v>3164.3691073219661</v>
      </c>
      <c r="X736" s="241"/>
    </row>
    <row r="737" spans="1:27" ht="15.75">
      <c r="A737" s="166">
        <v>175</v>
      </c>
      <c r="B737" s="225" t="s">
        <v>955</v>
      </c>
      <c r="C737" s="164">
        <f>'часть 1'!L760</f>
        <v>869705</v>
      </c>
      <c r="D737" s="164">
        <v>0</v>
      </c>
      <c r="E737" s="164">
        <v>0</v>
      </c>
      <c r="F737" s="164">
        <v>0</v>
      </c>
      <c r="G737" s="164">
        <v>0</v>
      </c>
      <c r="H737" s="164">
        <v>0</v>
      </c>
      <c r="I737" s="164">
        <v>0</v>
      </c>
      <c r="J737" s="164">
        <v>0</v>
      </c>
      <c r="K737" s="164">
        <v>0</v>
      </c>
      <c r="L737" s="174">
        <v>0</v>
      </c>
      <c r="M737" s="167">
        <v>0</v>
      </c>
      <c r="N737" s="167">
        <v>269</v>
      </c>
      <c r="O737" s="167">
        <f t="shared" si="79"/>
        <v>869705</v>
      </c>
      <c r="P737" s="169">
        <v>0</v>
      </c>
      <c r="Q737" s="167">
        <v>0</v>
      </c>
      <c r="R737" s="168">
        <v>0</v>
      </c>
      <c r="S737" s="175">
        <v>0</v>
      </c>
      <c r="T737" s="169">
        <v>0</v>
      </c>
      <c r="U737" s="247">
        <v>0</v>
      </c>
      <c r="V737" s="241"/>
      <c r="W737" s="241">
        <f t="shared" si="80"/>
        <v>3233.1040892193309</v>
      </c>
      <c r="X737" s="241"/>
    </row>
    <row r="738" spans="1:27" ht="15.75">
      <c r="A738" s="166"/>
      <c r="B738" s="225" t="s">
        <v>956</v>
      </c>
      <c r="C738" s="164">
        <f>'часть 1'!L761</f>
        <v>1873863</v>
      </c>
      <c r="D738" s="164">
        <v>0</v>
      </c>
      <c r="E738" s="164">
        <v>0</v>
      </c>
      <c r="F738" s="164">
        <v>0</v>
      </c>
      <c r="G738" s="164">
        <v>0</v>
      </c>
      <c r="H738" s="164">
        <v>0</v>
      </c>
      <c r="I738" s="164">
        <v>0</v>
      </c>
      <c r="J738" s="164">
        <v>0</v>
      </c>
      <c r="K738" s="164">
        <v>0</v>
      </c>
      <c r="L738" s="174">
        <v>0</v>
      </c>
      <c r="M738" s="167">
        <v>0</v>
      </c>
      <c r="N738" s="167">
        <v>585</v>
      </c>
      <c r="O738" s="167">
        <f t="shared" si="79"/>
        <v>1873863</v>
      </c>
      <c r="P738" s="169">
        <v>0</v>
      </c>
      <c r="Q738" s="167">
        <v>0</v>
      </c>
      <c r="R738" s="168">
        <v>0</v>
      </c>
      <c r="S738" s="175">
        <v>0</v>
      </c>
      <c r="T738" s="169">
        <v>0</v>
      </c>
      <c r="U738" s="247">
        <v>0</v>
      </c>
      <c r="V738" s="241"/>
      <c r="W738" s="241">
        <f t="shared" si="80"/>
        <v>3203.1846153846154</v>
      </c>
      <c r="X738" s="241"/>
    </row>
    <row r="739" spans="1:27" ht="15.75">
      <c r="A739" s="166"/>
      <c r="B739" s="225" t="s">
        <v>957</v>
      </c>
      <c r="C739" s="164">
        <f>'часть 1'!L762</f>
        <v>1044244</v>
      </c>
      <c r="D739" s="164">
        <v>0</v>
      </c>
      <c r="E739" s="164">
        <v>0</v>
      </c>
      <c r="F739" s="164">
        <v>0</v>
      </c>
      <c r="G739" s="164">
        <v>0</v>
      </c>
      <c r="H739" s="164">
        <v>0</v>
      </c>
      <c r="I739" s="164">
        <v>0</v>
      </c>
      <c r="J739" s="164">
        <v>0</v>
      </c>
      <c r="K739" s="164">
        <v>0</v>
      </c>
      <c r="L739" s="174">
        <v>0</v>
      </c>
      <c r="M739" s="167">
        <v>0</v>
      </c>
      <c r="N739" s="167">
        <v>320</v>
      </c>
      <c r="O739" s="167">
        <f t="shared" si="79"/>
        <v>1044244</v>
      </c>
      <c r="P739" s="169">
        <v>0</v>
      </c>
      <c r="Q739" s="167">
        <v>0</v>
      </c>
      <c r="R739" s="168">
        <v>0</v>
      </c>
      <c r="S739" s="175">
        <v>0</v>
      </c>
      <c r="T739" s="169">
        <v>0</v>
      </c>
      <c r="U739" s="247">
        <v>0</v>
      </c>
      <c r="V739" s="241"/>
      <c r="W739" s="241">
        <f t="shared" si="80"/>
        <v>3263.2624999999998</v>
      </c>
      <c r="X739" s="241"/>
    </row>
    <row r="740" spans="1:27" ht="15.75">
      <c r="A740" s="166"/>
      <c r="B740" s="225" t="s">
        <v>958</v>
      </c>
      <c r="C740" s="164">
        <f>'часть 1'!L763</f>
        <v>831874</v>
      </c>
      <c r="D740" s="164">
        <v>0</v>
      </c>
      <c r="E740" s="164">
        <v>0</v>
      </c>
      <c r="F740" s="164">
        <v>0</v>
      </c>
      <c r="G740" s="164">
        <v>0</v>
      </c>
      <c r="H740" s="164">
        <v>0</v>
      </c>
      <c r="I740" s="164">
        <v>0</v>
      </c>
      <c r="J740" s="164">
        <v>0</v>
      </c>
      <c r="K740" s="164">
        <v>0</v>
      </c>
      <c r="L740" s="174">
        <v>0</v>
      </c>
      <c r="M740" s="167">
        <v>0</v>
      </c>
      <c r="N740" s="167">
        <v>253</v>
      </c>
      <c r="O740" s="167">
        <f t="shared" si="79"/>
        <v>831874</v>
      </c>
      <c r="P740" s="169">
        <v>0</v>
      </c>
      <c r="Q740" s="167">
        <v>0</v>
      </c>
      <c r="R740" s="168">
        <v>0</v>
      </c>
      <c r="S740" s="175">
        <v>0</v>
      </c>
      <c r="T740" s="169">
        <v>0</v>
      </c>
      <c r="U740" s="247">
        <v>0</v>
      </c>
      <c r="V740" s="241"/>
      <c r="W740" s="241">
        <f t="shared" si="80"/>
        <v>3288.0395256916995</v>
      </c>
      <c r="X740" s="241"/>
    </row>
    <row r="741" spans="1:27" ht="15.75">
      <c r="A741" s="166"/>
      <c r="B741" s="225" t="s">
        <v>959</v>
      </c>
      <c r="C741" s="164">
        <f>'часть 1'!L764</f>
        <v>1249958</v>
      </c>
      <c r="D741" s="164">
        <v>0</v>
      </c>
      <c r="E741" s="164">
        <v>0</v>
      </c>
      <c r="F741" s="164">
        <v>0</v>
      </c>
      <c r="G741" s="164">
        <v>0</v>
      </c>
      <c r="H741" s="164">
        <v>0</v>
      </c>
      <c r="I741" s="164">
        <v>0</v>
      </c>
      <c r="J741" s="164">
        <v>0</v>
      </c>
      <c r="K741" s="164">
        <v>0</v>
      </c>
      <c r="L741" s="174">
        <v>0</v>
      </c>
      <c r="M741" s="167">
        <v>0</v>
      </c>
      <c r="N741" s="167">
        <v>390</v>
      </c>
      <c r="O741" s="167">
        <f t="shared" si="79"/>
        <v>1249958</v>
      </c>
      <c r="P741" s="169">
        <v>0</v>
      </c>
      <c r="Q741" s="167">
        <v>0</v>
      </c>
      <c r="R741" s="168">
        <v>0</v>
      </c>
      <c r="S741" s="175">
        <v>0</v>
      </c>
      <c r="T741" s="169">
        <v>0</v>
      </c>
      <c r="U741" s="247">
        <v>0</v>
      </c>
      <c r="V741" s="241"/>
      <c r="W741" s="241">
        <f t="shared" si="80"/>
        <v>3205.020512820513</v>
      </c>
      <c r="X741" s="241"/>
    </row>
    <row r="742" spans="1:27" ht="15.75">
      <c r="A742" s="166"/>
      <c r="B742" s="225" t="s">
        <v>960</v>
      </c>
      <c r="C742" s="164">
        <f>'часть 1'!L765</f>
        <v>1054021</v>
      </c>
      <c r="D742" s="164">
        <v>0</v>
      </c>
      <c r="E742" s="164">
        <v>0</v>
      </c>
      <c r="F742" s="164">
        <v>0</v>
      </c>
      <c r="G742" s="164">
        <v>0</v>
      </c>
      <c r="H742" s="164">
        <v>0</v>
      </c>
      <c r="I742" s="164">
        <v>0</v>
      </c>
      <c r="J742" s="164">
        <v>0</v>
      </c>
      <c r="K742" s="164">
        <v>0</v>
      </c>
      <c r="L742" s="174">
        <v>0</v>
      </c>
      <c r="M742" s="167">
        <v>0</v>
      </c>
      <c r="N742" s="167">
        <v>327.60000000000002</v>
      </c>
      <c r="O742" s="167">
        <f t="shared" si="79"/>
        <v>1054021</v>
      </c>
      <c r="P742" s="169">
        <v>0</v>
      </c>
      <c r="Q742" s="167">
        <v>0</v>
      </c>
      <c r="R742" s="168">
        <v>0</v>
      </c>
      <c r="S742" s="175">
        <v>0</v>
      </c>
      <c r="T742" s="169">
        <v>0</v>
      </c>
      <c r="U742" s="247">
        <v>0</v>
      </c>
      <c r="V742" s="241"/>
      <c r="W742" s="241">
        <f t="shared" si="80"/>
        <v>3217.4023199023195</v>
      </c>
      <c r="X742" s="241"/>
    </row>
    <row r="743" spans="1:27" ht="15.75">
      <c r="A743" s="166">
        <v>176</v>
      </c>
      <c r="B743" s="225" t="s">
        <v>961</v>
      </c>
      <c r="C743" s="164">
        <f>'часть 1'!L766</f>
        <v>565045</v>
      </c>
      <c r="D743" s="164">
        <v>0</v>
      </c>
      <c r="E743" s="164">
        <v>0</v>
      </c>
      <c r="F743" s="164">
        <v>0</v>
      </c>
      <c r="G743" s="164">
        <v>0</v>
      </c>
      <c r="H743" s="164">
        <v>0</v>
      </c>
      <c r="I743" s="164">
        <v>0</v>
      </c>
      <c r="J743" s="164">
        <v>0</v>
      </c>
      <c r="K743" s="164">
        <v>0</v>
      </c>
      <c r="L743" s="174">
        <v>0</v>
      </c>
      <c r="M743" s="167">
        <v>0</v>
      </c>
      <c r="N743" s="167">
        <v>172</v>
      </c>
      <c r="O743" s="167">
        <f t="shared" si="79"/>
        <v>565045</v>
      </c>
      <c r="P743" s="169">
        <v>0</v>
      </c>
      <c r="Q743" s="167">
        <v>0</v>
      </c>
      <c r="R743" s="168">
        <v>0</v>
      </c>
      <c r="S743" s="175">
        <v>0</v>
      </c>
      <c r="T743" s="169">
        <v>0</v>
      </c>
      <c r="U743" s="247">
        <v>0</v>
      </c>
      <c r="V743" s="241"/>
      <c r="W743" s="241">
        <f t="shared" si="80"/>
        <v>3285.1453488372094</v>
      </c>
      <c r="X743" s="241"/>
    </row>
    <row r="744" spans="1:27" ht="18.75" customHeight="1">
      <c r="A744" s="427"/>
      <c r="B744" s="444" t="s">
        <v>92</v>
      </c>
      <c r="C744" s="429">
        <f>C745+C746</f>
        <v>1681461</v>
      </c>
      <c r="D744" s="429">
        <f t="shared" ref="D744:V744" si="81">D745+D746</f>
        <v>409319</v>
      </c>
      <c r="E744" s="429">
        <f t="shared" si="81"/>
        <v>0</v>
      </c>
      <c r="F744" s="429">
        <f t="shared" si="81"/>
        <v>409319</v>
      </c>
      <c r="G744" s="429">
        <f t="shared" si="81"/>
        <v>0</v>
      </c>
      <c r="H744" s="429">
        <f t="shared" si="81"/>
        <v>0</v>
      </c>
      <c r="I744" s="429">
        <f t="shared" si="81"/>
        <v>0</v>
      </c>
      <c r="J744" s="429">
        <f t="shared" si="81"/>
        <v>0</v>
      </c>
      <c r="K744" s="429">
        <f t="shared" si="81"/>
        <v>0</v>
      </c>
      <c r="L744" s="429">
        <f t="shared" si="81"/>
        <v>0</v>
      </c>
      <c r="M744" s="429">
        <f t="shared" si="81"/>
        <v>0</v>
      </c>
      <c r="N744" s="429">
        <f t="shared" si="81"/>
        <v>396.5</v>
      </c>
      <c r="O744" s="429">
        <f t="shared" si="81"/>
        <v>1272142</v>
      </c>
      <c r="P744" s="429">
        <f t="shared" si="81"/>
        <v>0</v>
      </c>
      <c r="Q744" s="429">
        <f t="shared" si="81"/>
        <v>0</v>
      </c>
      <c r="R744" s="429">
        <f t="shared" si="81"/>
        <v>0</v>
      </c>
      <c r="S744" s="429">
        <f t="shared" si="81"/>
        <v>0</v>
      </c>
      <c r="T744" s="429">
        <f t="shared" si="81"/>
        <v>0</v>
      </c>
      <c r="U744" s="429">
        <f t="shared" si="81"/>
        <v>0</v>
      </c>
      <c r="V744" s="164">
        <f t="shared" si="81"/>
        <v>0</v>
      </c>
      <c r="W744" s="241"/>
      <c r="X744" s="241"/>
    </row>
    <row r="745" spans="1:27" ht="18.75" customHeight="1">
      <c r="A745" s="427"/>
      <c r="B745" s="444" t="s">
        <v>647</v>
      </c>
      <c r="C745" s="429">
        <f>'часть 1'!L768</f>
        <v>409319</v>
      </c>
      <c r="D745" s="429">
        <f>E745+F745+G745+H745+I745+J745+K745</f>
        <v>409319</v>
      </c>
      <c r="E745" s="429">
        <v>0</v>
      </c>
      <c r="F745" s="429">
        <v>409319</v>
      </c>
      <c r="G745" s="429">
        <v>0</v>
      </c>
      <c r="H745" s="429">
        <v>0</v>
      </c>
      <c r="I745" s="429">
        <v>0</v>
      </c>
      <c r="J745" s="429">
        <v>0</v>
      </c>
      <c r="K745" s="429">
        <v>0</v>
      </c>
      <c r="L745" s="427">
        <v>0</v>
      </c>
      <c r="M745" s="429">
        <v>0</v>
      </c>
      <c r="N745" s="429">
        <v>0</v>
      </c>
      <c r="O745" s="429">
        <v>0</v>
      </c>
      <c r="P745" s="427">
        <v>0</v>
      </c>
      <c r="Q745" s="429">
        <v>0</v>
      </c>
      <c r="R745" s="430">
        <v>0</v>
      </c>
      <c r="S745" s="429">
        <v>0</v>
      </c>
      <c r="T745" s="427">
        <v>0</v>
      </c>
      <c r="U745" s="431">
        <v>0</v>
      </c>
      <c r="V745" s="241"/>
      <c r="W745" s="241"/>
      <c r="X745" s="241"/>
      <c r="AA745" s="1">
        <f>F745/'часть 1'!I768</f>
        <v>1035.7262145748989</v>
      </c>
    </row>
    <row r="746" spans="1:27">
      <c r="A746" s="427">
        <v>177</v>
      </c>
      <c r="B746" s="444" t="s">
        <v>648</v>
      </c>
      <c r="C746" s="429">
        <f>'часть 1'!L769</f>
        <v>1272142</v>
      </c>
      <c r="D746" s="429">
        <f>E746+F746+G746+H746+I746+J746+K746</f>
        <v>0</v>
      </c>
      <c r="E746" s="429">
        <v>0</v>
      </c>
      <c r="F746" s="429">
        <v>0</v>
      </c>
      <c r="G746" s="429">
        <v>0</v>
      </c>
      <c r="H746" s="429">
        <v>0</v>
      </c>
      <c r="I746" s="429">
        <v>0</v>
      </c>
      <c r="J746" s="429">
        <v>0</v>
      </c>
      <c r="K746" s="429">
        <v>0</v>
      </c>
      <c r="L746" s="427">
        <v>0</v>
      </c>
      <c r="M746" s="432">
        <v>0</v>
      </c>
      <c r="N746" s="490">
        <v>396.5</v>
      </c>
      <c r="O746" s="432">
        <v>1272142</v>
      </c>
      <c r="P746" s="372">
        <v>0</v>
      </c>
      <c r="Q746" s="432">
        <v>0</v>
      </c>
      <c r="R746" s="433">
        <v>0</v>
      </c>
      <c r="S746" s="434">
        <v>0</v>
      </c>
      <c r="T746" s="372">
        <v>0</v>
      </c>
      <c r="U746" s="797">
        <v>0</v>
      </c>
      <c r="V746" s="241"/>
      <c r="W746" s="241">
        <f>O746/N746</f>
        <v>3208.4287515762926</v>
      </c>
      <c r="X746" s="241"/>
    </row>
    <row r="747" spans="1:27" ht="18.75" customHeight="1">
      <c r="A747" s="427"/>
      <c r="B747" s="428" t="s">
        <v>93</v>
      </c>
      <c r="C747" s="429">
        <f>C748+C749</f>
        <v>4013524</v>
      </c>
      <c r="D747" s="429">
        <f t="shared" ref="D747:U747" si="82">D748+D749</f>
        <v>0</v>
      </c>
      <c r="E747" s="429">
        <f t="shared" si="82"/>
        <v>0</v>
      </c>
      <c r="F747" s="429">
        <f t="shared" si="82"/>
        <v>0</v>
      </c>
      <c r="G747" s="429">
        <f t="shared" si="82"/>
        <v>0</v>
      </c>
      <c r="H747" s="429">
        <f t="shared" si="82"/>
        <v>0</v>
      </c>
      <c r="I747" s="429">
        <f t="shared" si="82"/>
        <v>0</v>
      </c>
      <c r="J747" s="429">
        <f t="shared" si="82"/>
        <v>0</v>
      </c>
      <c r="K747" s="429">
        <f t="shared" si="82"/>
        <v>0</v>
      </c>
      <c r="L747" s="429">
        <f t="shared" si="82"/>
        <v>0</v>
      </c>
      <c r="M747" s="429">
        <f t="shared" si="82"/>
        <v>0</v>
      </c>
      <c r="N747" s="429">
        <f t="shared" si="82"/>
        <v>1514.82</v>
      </c>
      <c r="O747" s="429">
        <f t="shared" si="82"/>
        <v>4013524</v>
      </c>
      <c r="P747" s="429">
        <f t="shared" si="82"/>
        <v>0</v>
      </c>
      <c r="Q747" s="429">
        <f t="shared" si="82"/>
        <v>0</v>
      </c>
      <c r="R747" s="429">
        <f t="shared" si="82"/>
        <v>0</v>
      </c>
      <c r="S747" s="429">
        <f t="shared" si="82"/>
        <v>0</v>
      </c>
      <c r="T747" s="429">
        <f t="shared" si="82"/>
        <v>0</v>
      </c>
      <c r="U747" s="429">
        <f t="shared" si="82"/>
        <v>0</v>
      </c>
      <c r="V747" s="241"/>
      <c r="W747" s="241"/>
      <c r="X747" s="241"/>
    </row>
    <row r="748" spans="1:27" s="18" customFormat="1">
      <c r="A748" s="427">
        <v>178</v>
      </c>
      <c r="B748" s="622" t="s">
        <v>788</v>
      </c>
      <c r="C748" s="437">
        <f>'часть 1'!L771</f>
        <v>2978035</v>
      </c>
      <c r="D748" s="437">
        <v>0</v>
      </c>
      <c r="E748" s="437">
        <v>0</v>
      </c>
      <c r="F748" s="437">
        <v>0</v>
      </c>
      <c r="G748" s="437">
        <v>0</v>
      </c>
      <c r="H748" s="437">
        <v>0</v>
      </c>
      <c r="I748" s="437">
        <v>0</v>
      </c>
      <c r="J748" s="437">
        <v>0</v>
      </c>
      <c r="K748" s="437">
        <v>0</v>
      </c>
      <c r="L748" s="440">
        <v>0</v>
      </c>
      <c r="M748" s="437">
        <v>0</v>
      </c>
      <c r="N748" s="437">
        <v>1190.5</v>
      </c>
      <c r="O748" s="437">
        <v>2978035</v>
      </c>
      <c r="P748" s="440">
        <v>0</v>
      </c>
      <c r="Q748" s="437">
        <v>0</v>
      </c>
      <c r="R748" s="441">
        <v>0</v>
      </c>
      <c r="S748" s="437">
        <v>0</v>
      </c>
      <c r="T748" s="440">
        <v>0</v>
      </c>
      <c r="U748" s="442">
        <v>0</v>
      </c>
      <c r="V748" s="241"/>
      <c r="W748" s="241">
        <f>O748/N748</f>
        <v>2501.4993700125997</v>
      </c>
      <c r="X748" s="241"/>
    </row>
    <row r="749" spans="1:27" s="18" customFormat="1">
      <c r="A749" s="427">
        <v>179</v>
      </c>
      <c r="B749" s="622" t="s">
        <v>789</v>
      </c>
      <c r="C749" s="437">
        <f>'часть 1'!L772</f>
        <v>1035489</v>
      </c>
      <c r="D749" s="437">
        <v>0</v>
      </c>
      <c r="E749" s="437">
        <v>0</v>
      </c>
      <c r="F749" s="437">
        <v>0</v>
      </c>
      <c r="G749" s="437">
        <v>0</v>
      </c>
      <c r="H749" s="437">
        <v>0</v>
      </c>
      <c r="I749" s="437">
        <v>0</v>
      </c>
      <c r="J749" s="437">
        <v>0</v>
      </c>
      <c r="K749" s="437">
        <v>0</v>
      </c>
      <c r="L749" s="440">
        <v>0</v>
      </c>
      <c r="M749" s="437">
        <v>0</v>
      </c>
      <c r="N749" s="437">
        <v>324.32</v>
      </c>
      <c r="O749" s="437">
        <v>1035489</v>
      </c>
      <c r="P749" s="440">
        <v>0</v>
      </c>
      <c r="Q749" s="437">
        <v>0</v>
      </c>
      <c r="R749" s="441">
        <v>0</v>
      </c>
      <c r="S749" s="437">
        <v>0</v>
      </c>
      <c r="T749" s="440">
        <v>0</v>
      </c>
      <c r="U749" s="442">
        <v>0</v>
      </c>
      <c r="V749" s="241"/>
      <c r="W749" s="241">
        <f>O749/N749</f>
        <v>3192.8003206709423</v>
      </c>
      <c r="X749" s="241"/>
    </row>
    <row r="750" spans="1:27" s="18" customFormat="1">
      <c r="A750" s="427"/>
      <c r="B750" s="622"/>
      <c r="C750" s="437"/>
      <c r="D750" s="437"/>
      <c r="E750" s="437"/>
      <c r="F750" s="437"/>
      <c r="G750" s="437"/>
      <c r="H750" s="437"/>
      <c r="I750" s="437"/>
      <c r="J750" s="437"/>
      <c r="K750" s="437"/>
      <c r="L750" s="440"/>
      <c r="M750" s="437"/>
      <c r="N750" s="437"/>
      <c r="O750" s="437"/>
      <c r="P750" s="440"/>
      <c r="Q750" s="437"/>
      <c r="R750" s="441"/>
      <c r="S750" s="437"/>
      <c r="T750" s="440"/>
      <c r="U750" s="442"/>
      <c r="V750" s="241"/>
      <c r="W750" s="241"/>
      <c r="X750" s="241"/>
    </row>
    <row r="751" spans="1:27" s="18" customFormat="1">
      <c r="A751" s="427"/>
      <c r="B751" s="622"/>
      <c r="C751" s="437"/>
      <c r="D751" s="437"/>
      <c r="E751" s="437"/>
      <c r="F751" s="437"/>
      <c r="G751" s="437"/>
      <c r="H751" s="437"/>
      <c r="I751" s="437"/>
      <c r="J751" s="437"/>
      <c r="K751" s="437"/>
      <c r="L751" s="440"/>
      <c r="M751" s="437"/>
      <c r="N751" s="437"/>
      <c r="O751" s="437"/>
      <c r="P751" s="440"/>
      <c r="Q751" s="437"/>
      <c r="R751" s="441"/>
      <c r="S751" s="437"/>
      <c r="T751" s="440"/>
      <c r="U751" s="442"/>
      <c r="V751" s="241"/>
      <c r="W751" s="241"/>
      <c r="X751" s="241"/>
    </row>
    <row r="752" spans="1:27" s="18" customFormat="1">
      <c r="A752" s="427"/>
      <c r="B752" s="622"/>
      <c r="C752" s="437"/>
      <c r="D752" s="437"/>
      <c r="E752" s="437"/>
      <c r="F752" s="437"/>
      <c r="G752" s="437"/>
      <c r="H752" s="437"/>
      <c r="I752" s="437"/>
      <c r="J752" s="437"/>
      <c r="K752" s="437"/>
      <c r="L752" s="440"/>
      <c r="M752" s="437"/>
      <c r="N752" s="437"/>
      <c r="O752" s="437"/>
      <c r="P752" s="440"/>
      <c r="Q752" s="437"/>
      <c r="R752" s="441"/>
      <c r="S752" s="437"/>
      <c r="T752" s="440"/>
      <c r="U752" s="442"/>
      <c r="V752" s="241"/>
      <c r="W752" s="241"/>
      <c r="X752" s="241"/>
    </row>
    <row r="753" spans="1:24" s="18" customFormat="1">
      <c r="A753" s="427"/>
      <c r="B753" s="622"/>
      <c r="C753" s="437"/>
      <c r="D753" s="437"/>
      <c r="E753" s="437"/>
      <c r="F753" s="437"/>
      <c r="G753" s="437"/>
      <c r="H753" s="437"/>
      <c r="I753" s="437"/>
      <c r="J753" s="437"/>
      <c r="K753" s="437"/>
      <c r="L753" s="440"/>
      <c r="M753" s="437"/>
      <c r="N753" s="437"/>
      <c r="O753" s="437"/>
      <c r="P753" s="440"/>
      <c r="Q753" s="437"/>
      <c r="R753" s="441"/>
      <c r="S753" s="437"/>
      <c r="T753" s="440"/>
      <c r="U753" s="442"/>
      <c r="V753" s="241"/>
      <c r="W753" s="241"/>
      <c r="X753" s="241"/>
    </row>
    <row r="754" spans="1:24" s="18" customFormat="1">
      <c r="A754" s="427"/>
      <c r="B754" s="622"/>
      <c r="C754" s="437"/>
      <c r="D754" s="437"/>
      <c r="E754" s="437"/>
      <c r="F754" s="437"/>
      <c r="G754" s="437"/>
      <c r="H754" s="437"/>
      <c r="I754" s="437"/>
      <c r="J754" s="437"/>
      <c r="K754" s="437"/>
      <c r="L754" s="440"/>
      <c r="M754" s="437"/>
      <c r="N754" s="437"/>
      <c r="O754" s="437"/>
      <c r="P754" s="440"/>
      <c r="Q754" s="437"/>
      <c r="R754" s="441"/>
      <c r="S754" s="437"/>
      <c r="T754" s="440"/>
      <c r="U754" s="442"/>
      <c r="V754" s="241"/>
      <c r="W754" s="241"/>
      <c r="X754" s="241"/>
    </row>
    <row r="755" spans="1:24" s="18" customFormat="1">
      <c r="A755" s="427"/>
      <c r="B755" s="622"/>
      <c r="C755" s="437"/>
      <c r="D755" s="437"/>
      <c r="E755" s="437"/>
      <c r="F755" s="437"/>
      <c r="G755" s="437"/>
      <c r="H755" s="437"/>
      <c r="I755" s="437"/>
      <c r="J755" s="437"/>
      <c r="K755" s="437"/>
      <c r="L755" s="440"/>
      <c r="M755" s="437"/>
      <c r="N755" s="437"/>
      <c r="O755" s="437"/>
      <c r="P755" s="440"/>
      <c r="Q755" s="437"/>
      <c r="R755" s="441"/>
      <c r="S755" s="437"/>
      <c r="T755" s="440"/>
      <c r="U755" s="442"/>
      <c r="V755" s="241"/>
      <c r="W755" s="241"/>
      <c r="X755" s="241"/>
    </row>
    <row r="756" spans="1:24" s="18" customFormat="1">
      <c r="A756" s="427"/>
      <c r="B756" s="622"/>
      <c r="C756" s="437"/>
      <c r="D756" s="437"/>
      <c r="E756" s="437"/>
      <c r="F756" s="437"/>
      <c r="G756" s="437"/>
      <c r="H756" s="437"/>
      <c r="I756" s="437"/>
      <c r="J756" s="437"/>
      <c r="K756" s="437"/>
      <c r="L756" s="440"/>
      <c r="M756" s="437"/>
      <c r="N756" s="437"/>
      <c r="O756" s="437"/>
      <c r="P756" s="440"/>
      <c r="Q756" s="437"/>
      <c r="R756" s="441"/>
      <c r="S756" s="437"/>
      <c r="T756" s="440"/>
      <c r="U756" s="442"/>
      <c r="V756" s="241"/>
      <c r="W756" s="241"/>
      <c r="X756" s="241"/>
    </row>
    <row r="757" spans="1:24" s="18" customFormat="1">
      <c r="A757" s="427"/>
      <c r="B757" s="622"/>
      <c r="C757" s="437"/>
      <c r="D757" s="437"/>
      <c r="E757" s="437"/>
      <c r="F757" s="437"/>
      <c r="G757" s="437"/>
      <c r="H757" s="437"/>
      <c r="I757" s="437"/>
      <c r="J757" s="437"/>
      <c r="K757" s="437"/>
      <c r="L757" s="440"/>
      <c r="M757" s="437"/>
      <c r="N757" s="437"/>
      <c r="O757" s="437"/>
      <c r="P757" s="440"/>
      <c r="Q757" s="437"/>
      <c r="R757" s="441"/>
      <c r="S757" s="437"/>
      <c r="T757" s="440"/>
      <c r="U757" s="442"/>
      <c r="V757" s="241"/>
      <c r="W757" s="241"/>
      <c r="X757" s="241"/>
    </row>
    <row r="758" spans="1:24" s="18" customFormat="1">
      <c r="A758" s="427"/>
      <c r="B758" s="622"/>
      <c r="C758" s="437"/>
      <c r="D758" s="437"/>
      <c r="E758" s="437"/>
      <c r="F758" s="437"/>
      <c r="G758" s="437"/>
      <c r="H758" s="437"/>
      <c r="I758" s="437"/>
      <c r="J758" s="437"/>
      <c r="K758" s="437"/>
      <c r="L758" s="440"/>
      <c r="M758" s="437"/>
      <c r="N758" s="437"/>
      <c r="O758" s="437"/>
      <c r="P758" s="440"/>
      <c r="Q758" s="437"/>
      <c r="R758" s="441"/>
      <c r="S758" s="437"/>
      <c r="T758" s="440"/>
      <c r="U758" s="442"/>
      <c r="V758" s="241"/>
      <c r="W758" s="241"/>
      <c r="X758" s="241"/>
    </row>
    <row r="759" spans="1:24" s="18" customFormat="1">
      <c r="A759" s="427"/>
      <c r="B759" s="622"/>
      <c r="C759" s="437"/>
      <c r="D759" s="437"/>
      <c r="E759" s="437"/>
      <c r="F759" s="437"/>
      <c r="G759" s="437"/>
      <c r="H759" s="437"/>
      <c r="I759" s="437"/>
      <c r="J759" s="437"/>
      <c r="K759" s="437"/>
      <c r="L759" s="440"/>
      <c r="M759" s="437"/>
      <c r="N759" s="437"/>
      <c r="O759" s="437"/>
      <c r="P759" s="440"/>
      <c r="Q759" s="437"/>
      <c r="R759" s="441"/>
      <c r="S759" s="437"/>
      <c r="T759" s="440"/>
      <c r="U759" s="442"/>
      <c r="V759" s="241"/>
      <c r="W759" s="241"/>
      <c r="X759" s="241"/>
    </row>
    <row r="760" spans="1:24" s="18" customFormat="1">
      <c r="A760" s="427"/>
      <c r="B760" s="622"/>
      <c r="C760" s="437"/>
      <c r="D760" s="437"/>
      <c r="E760" s="437"/>
      <c r="F760" s="437"/>
      <c r="G760" s="437"/>
      <c r="H760" s="437"/>
      <c r="I760" s="437"/>
      <c r="J760" s="437"/>
      <c r="K760" s="437"/>
      <c r="L760" s="440"/>
      <c r="M760" s="437"/>
      <c r="N760" s="437"/>
      <c r="O760" s="437"/>
      <c r="P760" s="440"/>
      <c r="Q760" s="437"/>
      <c r="R760" s="441"/>
      <c r="S760" s="437"/>
      <c r="T760" s="440"/>
      <c r="U760" s="442"/>
      <c r="V760" s="241"/>
      <c r="W760" s="241"/>
      <c r="X760" s="241"/>
    </row>
    <row r="761" spans="1:24" s="18" customFormat="1">
      <c r="A761" s="427"/>
      <c r="B761" s="622"/>
      <c r="C761" s="437"/>
      <c r="D761" s="437"/>
      <c r="E761" s="437"/>
      <c r="F761" s="437"/>
      <c r="G761" s="437"/>
      <c r="H761" s="437"/>
      <c r="I761" s="437"/>
      <c r="J761" s="437"/>
      <c r="K761" s="437"/>
      <c r="L761" s="440"/>
      <c r="M761" s="437"/>
      <c r="N761" s="437"/>
      <c r="O761" s="437"/>
      <c r="P761" s="440"/>
      <c r="Q761" s="437"/>
      <c r="R761" s="441"/>
      <c r="S761" s="437"/>
      <c r="T761" s="440"/>
      <c r="U761" s="442"/>
      <c r="V761" s="241"/>
      <c r="W761" s="241"/>
      <c r="X761" s="241"/>
    </row>
    <row r="762" spans="1:24" s="18" customFormat="1">
      <c r="A762" s="427"/>
      <c r="B762" s="622"/>
      <c r="C762" s="437"/>
      <c r="D762" s="437"/>
      <c r="E762" s="437"/>
      <c r="F762" s="437"/>
      <c r="G762" s="437"/>
      <c r="H762" s="437"/>
      <c r="I762" s="437"/>
      <c r="J762" s="437"/>
      <c r="K762" s="437"/>
      <c r="L762" s="440"/>
      <c r="M762" s="437"/>
      <c r="N762" s="437"/>
      <c r="O762" s="437"/>
      <c r="P762" s="440"/>
      <c r="Q762" s="437"/>
      <c r="R762" s="441"/>
      <c r="S762" s="437"/>
      <c r="T762" s="440"/>
      <c r="U762" s="442"/>
      <c r="V762" s="241"/>
      <c r="W762" s="241"/>
      <c r="X762" s="241"/>
    </row>
    <row r="763" spans="1:24" s="18" customFormat="1">
      <c r="A763" s="427"/>
      <c r="B763" s="622"/>
      <c r="C763" s="437"/>
      <c r="D763" s="437"/>
      <c r="E763" s="437"/>
      <c r="F763" s="437"/>
      <c r="G763" s="437"/>
      <c r="H763" s="437"/>
      <c r="I763" s="437"/>
      <c r="J763" s="437"/>
      <c r="K763" s="437"/>
      <c r="L763" s="440"/>
      <c r="M763" s="437"/>
      <c r="N763" s="437"/>
      <c r="O763" s="437"/>
      <c r="P763" s="440"/>
      <c r="Q763" s="437"/>
      <c r="R763" s="441"/>
      <c r="S763" s="437"/>
      <c r="T763" s="440"/>
      <c r="U763" s="442"/>
      <c r="V763" s="241"/>
      <c r="W763" s="241"/>
      <c r="X763" s="241"/>
    </row>
    <row r="764" spans="1:24" s="18" customFormat="1">
      <c r="A764" s="427"/>
      <c r="B764" s="622"/>
      <c r="C764" s="437"/>
      <c r="D764" s="437"/>
      <c r="E764" s="437"/>
      <c r="F764" s="437"/>
      <c r="G764" s="437"/>
      <c r="H764" s="437"/>
      <c r="I764" s="437"/>
      <c r="J764" s="437"/>
      <c r="K764" s="437"/>
      <c r="L764" s="440"/>
      <c r="M764" s="437"/>
      <c r="N764" s="437"/>
      <c r="O764" s="437"/>
      <c r="P764" s="440"/>
      <c r="Q764" s="437"/>
      <c r="R764" s="441"/>
      <c r="S764" s="437"/>
      <c r="T764" s="440"/>
      <c r="U764" s="442"/>
      <c r="V764" s="241"/>
      <c r="W764" s="241"/>
      <c r="X764" s="241"/>
    </row>
    <row r="765" spans="1:24" s="18" customFormat="1">
      <c r="A765" s="427"/>
      <c r="B765" s="622"/>
      <c r="C765" s="437"/>
      <c r="D765" s="437"/>
      <c r="E765" s="437"/>
      <c r="F765" s="437"/>
      <c r="G765" s="437"/>
      <c r="H765" s="437"/>
      <c r="I765" s="437"/>
      <c r="J765" s="437"/>
      <c r="K765" s="437"/>
      <c r="L765" s="440"/>
      <c r="M765" s="437"/>
      <c r="N765" s="437"/>
      <c r="O765" s="437"/>
      <c r="P765" s="440"/>
      <c r="Q765" s="437"/>
      <c r="R765" s="441"/>
      <c r="S765" s="437"/>
      <c r="T765" s="440"/>
      <c r="U765" s="442"/>
      <c r="V765" s="241"/>
      <c r="W765" s="241"/>
      <c r="X765" s="241"/>
    </row>
    <row r="766" spans="1:24" s="18" customFormat="1">
      <c r="A766" s="427"/>
      <c r="B766" s="622"/>
      <c r="C766" s="437"/>
      <c r="D766" s="437"/>
      <c r="E766" s="437"/>
      <c r="F766" s="437"/>
      <c r="G766" s="437"/>
      <c r="H766" s="437"/>
      <c r="I766" s="437"/>
      <c r="J766" s="437"/>
      <c r="K766" s="437"/>
      <c r="L766" s="440"/>
      <c r="M766" s="437"/>
      <c r="N766" s="437"/>
      <c r="O766" s="437"/>
      <c r="P766" s="440"/>
      <c r="Q766" s="437"/>
      <c r="R766" s="441"/>
      <c r="S766" s="437"/>
      <c r="T766" s="440"/>
      <c r="U766" s="442"/>
      <c r="V766" s="241"/>
      <c r="W766" s="241"/>
      <c r="X766" s="241"/>
    </row>
    <row r="767" spans="1:24" s="18" customFormat="1">
      <c r="A767" s="427"/>
      <c r="B767" s="622"/>
      <c r="C767" s="437"/>
      <c r="D767" s="437"/>
      <c r="E767" s="437"/>
      <c r="F767" s="437"/>
      <c r="G767" s="437"/>
      <c r="H767" s="437"/>
      <c r="I767" s="437"/>
      <c r="J767" s="437"/>
      <c r="K767" s="437"/>
      <c r="L767" s="440"/>
      <c r="M767" s="437"/>
      <c r="N767" s="437"/>
      <c r="O767" s="437"/>
      <c r="P767" s="440"/>
      <c r="Q767" s="437"/>
      <c r="R767" s="441"/>
      <c r="S767" s="437"/>
      <c r="T767" s="440"/>
      <c r="U767" s="442"/>
      <c r="V767" s="241"/>
      <c r="W767" s="241"/>
      <c r="X767" s="241"/>
    </row>
    <row r="768" spans="1:24" s="18" customFormat="1">
      <c r="A768" s="427"/>
      <c r="B768" s="622"/>
      <c r="C768" s="437"/>
      <c r="D768" s="437"/>
      <c r="E768" s="437"/>
      <c r="F768" s="437"/>
      <c r="G768" s="437"/>
      <c r="H768" s="437"/>
      <c r="I768" s="437"/>
      <c r="J768" s="437"/>
      <c r="K768" s="437"/>
      <c r="L768" s="440"/>
      <c r="M768" s="437"/>
      <c r="N768" s="437"/>
      <c r="O768" s="437"/>
      <c r="P768" s="440"/>
      <c r="Q768" s="437"/>
      <c r="R768" s="441"/>
      <c r="S768" s="437"/>
      <c r="T768" s="440"/>
      <c r="U768" s="442"/>
      <c r="V768" s="241"/>
      <c r="W768" s="241"/>
      <c r="X768" s="241"/>
    </row>
    <row r="769" spans="1:28" s="18" customFormat="1">
      <c r="A769" s="427"/>
      <c r="B769" s="622"/>
      <c r="C769" s="437"/>
      <c r="D769" s="437"/>
      <c r="E769" s="437"/>
      <c r="F769" s="437"/>
      <c r="G769" s="437"/>
      <c r="H769" s="437"/>
      <c r="I769" s="437"/>
      <c r="J769" s="437"/>
      <c r="K769" s="437"/>
      <c r="L769" s="440"/>
      <c r="M769" s="437"/>
      <c r="N769" s="437"/>
      <c r="O769" s="437"/>
      <c r="P769" s="440"/>
      <c r="Q769" s="437"/>
      <c r="R769" s="441"/>
      <c r="S769" s="437"/>
      <c r="T769" s="440"/>
      <c r="U769" s="442"/>
      <c r="V769" s="241"/>
      <c r="W769" s="241"/>
      <c r="X769" s="241"/>
    </row>
    <row r="770" spans="1:28" s="18" customFormat="1">
      <c r="A770" s="427"/>
      <c r="B770" s="622"/>
      <c r="C770" s="437"/>
      <c r="D770" s="437"/>
      <c r="E770" s="437"/>
      <c r="F770" s="437"/>
      <c r="G770" s="437"/>
      <c r="H770" s="437"/>
      <c r="I770" s="437"/>
      <c r="J770" s="437"/>
      <c r="K770" s="437"/>
      <c r="L770" s="440"/>
      <c r="M770" s="437"/>
      <c r="N770" s="437"/>
      <c r="O770" s="437"/>
      <c r="P770" s="440"/>
      <c r="Q770" s="437"/>
      <c r="R770" s="441"/>
      <c r="S770" s="437"/>
      <c r="T770" s="440"/>
      <c r="U770" s="442"/>
      <c r="V770" s="241"/>
      <c r="W770" s="241"/>
      <c r="X770" s="241"/>
    </row>
    <row r="771" spans="1:28" s="18" customFormat="1">
      <c r="A771" s="427"/>
      <c r="B771" s="622"/>
      <c r="C771" s="437"/>
      <c r="D771" s="437"/>
      <c r="E771" s="437"/>
      <c r="F771" s="437"/>
      <c r="G771" s="437"/>
      <c r="H771" s="437"/>
      <c r="I771" s="437"/>
      <c r="J771" s="437"/>
      <c r="K771" s="437"/>
      <c r="L771" s="440"/>
      <c r="M771" s="437"/>
      <c r="N771" s="437"/>
      <c r="O771" s="437"/>
      <c r="P771" s="440"/>
      <c r="Q771" s="437"/>
      <c r="R771" s="441"/>
      <c r="S771" s="437"/>
      <c r="T771" s="440"/>
      <c r="U771" s="442"/>
      <c r="V771" s="241"/>
      <c r="W771" s="241"/>
      <c r="X771" s="241"/>
    </row>
    <row r="772" spans="1:28" s="18" customFormat="1">
      <c r="A772" s="427"/>
      <c r="B772" s="622"/>
      <c r="C772" s="437"/>
      <c r="D772" s="437"/>
      <c r="E772" s="437"/>
      <c r="F772" s="437"/>
      <c r="G772" s="437"/>
      <c r="H772" s="437"/>
      <c r="I772" s="437"/>
      <c r="J772" s="437"/>
      <c r="K772" s="437"/>
      <c r="L772" s="440"/>
      <c r="M772" s="437"/>
      <c r="N772" s="437"/>
      <c r="O772" s="437"/>
      <c r="P772" s="440"/>
      <c r="Q772" s="437"/>
      <c r="R772" s="441"/>
      <c r="S772" s="437"/>
      <c r="T772" s="440"/>
      <c r="U772" s="442"/>
      <c r="V772" s="241"/>
      <c r="W772" s="241"/>
      <c r="X772" s="241"/>
    </row>
    <row r="773" spans="1:28" ht="18.75" customHeight="1">
      <c r="A773" s="166"/>
      <c r="B773" s="180" t="s">
        <v>94</v>
      </c>
      <c r="C773" s="177">
        <f t="shared" ref="C773:U773" si="83">C774+C775+C776+C777+C778+C779+C780+C781+C782</f>
        <v>17682419</v>
      </c>
      <c r="D773" s="177">
        <f t="shared" si="83"/>
        <v>3294030</v>
      </c>
      <c r="E773" s="177">
        <f t="shared" si="83"/>
        <v>203023</v>
      </c>
      <c r="F773" s="177">
        <f t="shared" si="83"/>
        <v>3091007</v>
      </c>
      <c r="G773" s="177">
        <f t="shared" si="83"/>
        <v>0</v>
      </c>
      <c r="H773" s="177">
        <f t="shared" si="83"/>
        <v>0</v>
      </c>
      <c r="I773" s="177">
        <f t="shared" si="83"/>
        <v>0</v>
      </c>
      <c r="J773" s="177">
        <f t="shared" si="83"/>
        <v>0</v>
      </c>
      <c r="K773" s="177">
        <f t="shared" si="83"/>
        <v>0</v>
      </c>
      <c r="L773" s="177">
        <f t="shared" si="83"/>
        <v>0</v>
      </c>
      <c r="M773" s="177">
        <f t="shared" si="83"/>
        <v>0</v>
      </c>
      <c r="N773" s="177">
        <f t="shared" si="83"/>
        <v>4817.45</v>
      </c>
      <c r="O773" s="177">
        <f t="shared" si="83"/>
        <v>14388389</v>
      </c>
      <c r="P773" s="177">
        <f t="shared" si="83"/>
        <v>0</v>
      </c>
      <c r="Q773" s="177">
        <f t="shared" si="83"/>
        <v>0</v>
      </c>
      <c r="R773" s="177">
        <f t="shared" si="83"/>
        <v>0</v>
      </c>
      <c r="S773" s="177">
        <f t="shared" si="83"/>
        <v>0</v>
      </c>
      <c r="T773" s="177">
        <f t="shared" si="83"/>
        <v>0</v>
      </c>
      <c r="U773" s="177">
        <f t="shared" si="83"/>
        <v>0</v>
      </c>
      <c r="V773" s="241"/>
      <c r="W773" s="241"/>
      <c r="X773" s="241"/>
    </row>
    <row r="774" spans="1:28" s="4" customFormat="1">
      <c r="A774" s="427">
        <v>203</v>
      </c>
      <c r="B774" s="738" t="s">
        <v>577</v>
      </c>
      <c r="C774" s="432">
        <v>1329885</v>
      </c>
      <c r="D774" s="432">
        <f>E774+F774+G774+H774+I774+J774+K774</f>
        <v>0</v>
      </c>
      <c r="E774" s="432">
        <v>0</v>
      </c>
      <c r="F774" s="432">
        <v>0</v>
      </c>
      <c r="G774" s="432">
        <v>0</v>
      </c>
      <c r="H774" s="432">
        <v>0</v>
      </c>
      <c r="I774" s="432">
        <v>0</v>
      </c>
      <c r="J774" s="432">
        <v>0</v>
      </c>
      <c r="K774" s="432">
        <v>0</v>
      </c>
      <c r="L774" s="372">
        <v>0</v>
      </c>
      <c r="M774" s="432">
        <v>0</v>
      </c>
      <c r="N774" s="432">
        <v>415</v>
      </c>
      <c r="O774" s="432">
        <v>1329885</v>
      </c>
      <c r="P774" s="372">
        <v>0</v>
      </c>
      <c r="Q774" s="432">
        <v>0</v>
      </c>
      <c r="R774" s="433">
        <v>0</v>
      </c>
      <c r="S774" s="434">
        <v>0</v>
      </c>
      <c r="T774" s="435">
        <v>0</v>
      </c>
      <c r="U774" s="436">
        <v>0</v>
      </c>
      <c r="V774" s="241"/>
      <c r="W774" s="241">
        <f>O774/N774</f>
        <v>3204.5421686746986</v>
      </c>
      <c r="X774" s="241"/>
      <c r="Y774" s="19"/>
      <c r="Z774" s="19"/>
    </row>
    <row r="775" spans="1:28" s="4" customFormat="1">
      <c r="A775" s="427">
        <v>204</v>
      </c>
      <c r="B775" s="738" t="s">
        <v>578</v>
      </c>
      <c r="C775" s="432">
        <v>1856453</v>
      </c>
      <c r="D775" s="432">
        <f t="shared" ref="D775:D782" si="84">E775+F775+G775+H775+I775+J775+K775</f>
        <v>0</v>
      </c>
      <c r="E775" s="432">
        <v>0</v>
      </c>
      <c r="F775" s="432">
        <v>0</v>
      </c>
      <c r="G775" s="432">
        <v>0</v>
      </c>
      <c r="H775" s="432">
        <v>0</v>
      </c>
      <c r="I775" s="432">
        <v>0</v>
      </c>
      <c r="J775" s="432">
        <v>0</v>
      </c>
      <c r="K775" s="432">
        <v>0</v>
      </c>
      <c r="L775" s="372">
        <v>0</v>
      </c>
      <c r="M775" s="432">
        <v>0</v>
      </c>
      <c r="N775" s="432">
        <v>572.4</v>
      </c>
      <c r="O775" s="432">
        <v>1856453</v>
      </c>
      <c r="P775" s="372">
        <v>0</v>
      </c>
      <c r="Q775" s="432">
        <v>0</v>
      </c>
      <c r="R775" s="433">
        <v>0</v>
      </c>
      <c r="S775" s="434">
        <v>0</v>
      </c>
      <c r="T775" s="435">
        <v>0</v>
      </c>
      <c r="U775" s="436">
        <v>0</v>
      </c>
      <c r="V775" s="241"/>
      <c r="W775" s="241">
        <f t="shared" ref="W775:W782" si="85">O775/N775</f>
        <v>3243.2791754018172</v>
      </c>
      <c r="X775" s="241"/>
      <c r="Y775" s="19"/>
      <c r="Z775" s="19"/>
    </row>
    <row r="776" spans="1:28" s="4" customFormat="1">
      <c r="A776" s="427">
        <v>205</v>
      </c>
      <c r="B776" s="738" t="s">
        <v>579</v>
      </c>
      <c r="C776" s="432">
        <v>1518210</v>
      </c>
      <c r="D776" s="432">
        <f t="shared" si="84"/>
        <v>0</v>
      </c>
      <c r="E776" s="432">
        <v>0</v>
      </c>
      <c r="F776" s="432">
        <v>0</v>
      </c>
      <c r="G776" s="432">
        <v>0</v>
      </c>
      <c r="H776" s="432">
        <v>0</v>
      </c>
      <c r="I776" s="432">
        <v>0</v>
      </c>
      <c r="J776" s="432">
        <v>0</v>
      </c>
      <c r="K776" s="432">
        <v>0</v>
      </c>
      <c r="L776" s="372">
        <v>0</v>
      </c>
      <c r="M776" s="432">
        <v>0</v>
      </c>
      <c r="N776" s="432">
        <v>474.85</v>
      </c>
      <c r="O776" s="432">
        <v>1518210</v>
      </c>
      <c r="P776" s="372">
        <v>0</v>
      </c>
      <c r="Q776" s="432">
        <v>0</v>
      </c>
      <c r="R776" s="433">
        <v>0</v>
      </c>
      <c r="S776" s="434">
        <v>0</v>
      </c>
      <c r="T776" s="435">
        <v>0</v>
      </c>
      <c r="U776" s="436">
        <v>0</v>
      </c>
      <c r="V776" s="241"/>
      <c r="W776" s="241">
        <f>O776/N776</f>
        <v>3197.2412340739179</v>
      </c>
      <c r="X776" s="463"/>
      <c r="Y776" s="19"/>
      <c r="Z776" s="19"/>
    </row>
    <row r="777" spans="1:28" s="4" customFormat="1">
      <c r="A777" s="427">
        <v>206</v>
      </c>
      <c r="B777" s="738" t="s">
        <v>580</v>
      </c>
      <c r="C777" s="432">
        <v>203023</v>
      </c>
      <c r="D777" s="432">
        <f t="shared" si="84"/>
        <v>203023</v>
      </c>
      <c r="E777" s="432">
        <v>203023</v>
      </c>
      <c r="F777" s="432">
        <v>0</v>
      </c>
      <c r="G777" s="432">
        <v>0</v>
      </c>
      <c r="H777" s="432">
        <v>0</v>
      </c>
      <c r="I777" s="432">
        <v>0</v>
      </c>
      <c r="J777" s="432">
        <v>0</v>
      </c>
      <c r="K777" s="432">
        <v>0</v>
      </c>
      <c r="L777" s="372">
        <v>0</v>
      </c>
      <c r="M777" s="432">
        <v>0</v>
      </c>
      <c r="N777" s="432">
        <v>0</v>
      </c>
      <c r="O777" s="432">
        <v>0</v>
      </c>
      <c r="P777" s="372">
        <v>0</v>
      </c>
      <c r="Q777" s="432">
        <v>0</v>
      </c>
      <c r="R777" s="433">
        <v>0</v>
      </c>
      <c r="S777" s="434">
        <v>0</v>
      </c>
      <c r="T777" s="435">
        <v>0</v>
      </c>
      <c r="U777" s="436">
        <v>0</v>
      </c>
      <c r="V777" s="241"/>
      <c r="W777" s="241"/>
      <c r="X777" s="241"/>
      <c r="Y777" s="19">
        <f>E777/'часть 1'!I800</f>
        <v>450.46150432660306</v>
      </c>
      <c r="Z777" s="19"/>
    </row>
    <row r="778" spans="1:28" s="4" customFormat="1">
      <c r="A778" s="427">
        <v>207</v>
      </c>
      <c r="B778" s="738" t="s">
        <v>581</v>
      </c>
      <c r="C778" s="432">
        <v>2925993</v>
      </c>
      <c r="D778" s="432">
        <f t="shared" si="84"/>
        <v>0</v>
      </c>
      <c r="E778" s="432">
        <v>0</v>
      </c>
      <c r="F778" s="432">
        <v>0</v>
      </c>
      <c r="G778" s="432">
        <v>0</v>
      </c>
      <c r="H778" s="432">
        <v>0</v>
      </c>
      <c r="I778" s="432">
        <v>0</v>
      </c>
      <c r="J778" s="432">
        <v>0</v>
      </c>
      <c r="K778" s="432">
        <v>0</v>
      </c>
      <c r="L778" s="372">
        <v>0</v>
      </c>
      <c r="M778" s="432">
        <v>0</v>
      </c>
      <c r="N778" s="437">
        <v>922</v>
      </c>
      <c r="O778" s="432">
        <v>2925993</v>
      </c>
      <c r="P778" s="372">
        <v>0</v>
      </c>
      <c r="Q778" s="432">
        <v>0</v>
      </c>
      <c r="R778" s="433">
        <v>0</v>
      </c>
      <c r="S778" s="434">
        <v>0</v>
      </c>
      <c r="T778" s="435">
        <v>0</v>
      </c>
      <c r="U778" s="436">
        <v>0</v>
      </c>
      <c r="V778" s="241"/>
      <c r="W778" s="241">
        <f t="shared" si="85"/>
        <v>3173.5281995661603</v>
      </c>
      <c r="X778" s="241"/>
      <c r="Y778" s="19"/>
      <c r="Z778" s="19"/>
    </row>
    <row r="779" spans="1:28" s="4" customFormat="1">
      <c r="A779" s="427">
        <v>208</v>
      </c>
      <c r="B779" s="738" t="s">
        <v>582</v>
      </c>
      <c r="C779" s="432">
        <v>1413679</v>
      </c>
      <c r="D779" s="432">
        <f t="shared" si="84"/>
        <v>0</v>
      </c>
      <c r="E779" s="432">
        <v>0</v>
      </c>
      <c r="F779" s="432">
        <v>0</v>
      </c>
      <c r="G779" s="432">
        <v>0</v>
      </c>
      <c r="H779" s="432">
        <v>0</v>
      </c>
      <c r="I779" s="432">
        <v>0</v>
      </c>
      <c r="J779" s="432">
        <v>0</v>
      </c>
      <c r="K779" s="432">
        <v>0</v>
      </c>
      <c r="L779" s="372">
        <v>0</v>
      </c>
      <c r="M779" s="432">
        <v>0</v>
      </c>
      <c r="N779" s="432">
        <v>442</v>
      </c>
      <c r="O779" s="432">
        <v>1413679</v>
      </c>
      <c r="P779" s="372">
        <v>0</v>
      </c>
      <c r="Q779" s="432">
        <v>0</v>
      </c>
      <c r="R779" s="433">
        <v>0</v>
      </c>
      <c r="S779" s="434">
        <v>0</v>
      </c>
      <c r="T779" s="435">
        <v>0</v>
      </c>
      <c r="U779" s="436">
        <v>0</v>
      </c>
      <c r="V779" s="241"/>
      <c r="W779" s="241">
        <f t="shared" si="85"/>
        <v>3198.3687782805432</v>
      </c>
      <c r="X779" s="241"/>
      <c r="Y779" s="19"/>
      <c r="Z779" s="19"/>
    </row>
    <row r="780" spans="1:28" s="4" customFormat="1">
      <c r="A780" s="427">
        <v>209</v>
      </c>
      <c r="B780" s="738" t="s">
        <v>583</v>
      </c>
      <c r="C780" s="432">
        <v>3624132</v>
      </c>
      <c r="D780" s="432">
        <f t="shared" si="84"/>
        <v>0</v>
      </c>
      <c r="E780" s="432">
        <v>0</v>
      </c>
      <c r="F780" s="432">
        <v>0</v>
      </c>
      <c r="G780" s="432">
        <v>0</v>
      </c>
      <c r="H780" s="432">
        <v>0</v>
      </c>
      <c r="I780" s="432">
        <v>0</v>
      </c>
      <c r="J780" s="432">
        <v>0</v>
      </c>
      <c r="K780" s="432">
        <v>0</v>
      </c>
      <c r="L780" s="372">
        <v>0</v>
      </c>
      <c r="M780" s="432">
        <v>0</v>
      </c>
      <c r="N780" s="432">
        <v>1451.9</v>
      </c>
      <c r="O780" s="432">
        <v>3624132</v>
      </c>
      <c r="P780" s="372">
        <v>0</v>
      </c>
      <c r="Q780" s="432">
        <v>0</v>
      </c>
      <c r="R780" s="433">
        <v>0</v>
      </c>
      <c r="S780" s="434">
        <v>0</v>
      </c>
      <c r="T780" s="435">
        <v>0</v>
      </c>
      <c r="U780" s="436">
        <v>0</v>
      </c>
      <c r="V780" s="241"/>
      <c r="W780" s="241">
        <f t="shared" si="85"/>
        <v>2496.1305875060266</v>
      </c>
      <c r="X780" s="241"/>
      <c r="Y780" s="19"/>
      <c r="Z780" s="19"/>
    </row>
    <row r="781" spans="1:28" s="4" customFormat="1">
      <c r="A781" s="427">
        <v>210</v>
      </c>
      <c r="B781" s="738" t="s">
        <v>584</v>
      </c>
      <c r="C781" s="432">
        <v>3091007</v>
      </c>
      <c r="D781" s="432">
        <f t="shared" si="84"/>
        <v>3091007</v>
      </c>
      <c r="E781" s="432">
        <v>0</v>
      </c>
      <c r="F781" s="432">
        <v>3091007</v>
      </c>
      <c r="G781" s="432">
        <v>0</v>
      </c>
      <c r="H781" s="432">
        <v>0</v>
      </c>
      <c r="I781" s="432">
        <v>0</v>
      </c>
      <c r="J781" s="432">
        <v>0</v>
      </c>
      <c r="K781" s="432">
        <v>0</v>
      </c>
      <c r="L781" s="372">
        <v>0</v>
      </c>
      <c r="M781" s="432">
        <v>0</v>
      </c>
      <c r="N781" s="432">
        <v>0</v>
      </c>
      <c r="O781" s="432">
        <v>0</v>
      </c>
      <c r="P781" s="372">
        <v>0</v>
      </c>
      <c r="Q781" s="432">
        <v>0</v>
      </c>
      <c r="R781" s="433">
        <v>0</v>
      </c>
      <c r="S781" s="434">
        <v>0</v>
      </c>
      <c r="T781" s="435">
        <v>0</v>
      </c>
      <c r="U781" s="436">
        <v>0</v>
      </c>
      <c r="V781" s="241"/>
      <c r="W781" s="241"/>
      <c r="X781" s="241"/>
      <c r="Y781" s="19"/>
      <c r="Z781" s="19"/>
      <c r="AA781" s="4">
        <f>F781/'часть 1'!I804</f>
        <v>972.93264085615363</v>
      </c>
    </row>
    <row r="782" spans="1:28" s="4" customFormat="1">
      <c r="A782" s="427">
        <v>211</v>
      </c>
      <c r="B782" s="738" t="s">
        <v>585</v>
      </c>
      <c r="C782" s="432">
        <v>1720037</v>
      </c>
      <c r="D782" s="432">
        <f t="shared" si="84"/>
        <v>0</v>
      </c>
      <c r="E782" s="432">
        <v>0</v>
      </c>
      <c r="F782" s="432">
        <v>0</v>
      </c>
      <c r="G782" s="432">
        <v>0</v>
      </c>
      <c r="H782" s="432">
        <v>0</v>
      </c>
      <c r="I782" s="432">
        <v>0</v>
      </c>
      <c r="J782" s="432">
        <v>0</v>
      </c>
      <c r="K782" s="432">
        <v>0</v>
      </c>
      <c r="L782" s="372">
        <v>0</v>
      </c>
      <c r="M782" s="432">
        <v>0</v>
      </c>
      <c r="N782" s="432">
        <v>539.29999999999995</v>
      </c>
      <c r="O782" s="432">
        <v>1720037</v>
      </c>
      <c r="P782" s="372">
        <v>0</v>
      </c>
      <c r="Q782" s="432">
        <v>0</v>
      </c>
      <c r="R782" s="433">
        <v>0</v>
      </c>
      <c r="S782" s="434">
        <v>0</v>
      </c>
      <c r="T782" s="435">
        <v>0</v>
      </c>
      <c r="U782" s="436">
        <v>0</v>
      </c>
      <c r="V782" s="241"/>
      <c r="W782" s="241">
        <f t="shared" si="85"/>
        <v>3189.3880956795847</v>
      </c>
      <c r="X782" s="241"/>
      <c r="Y782" s="5"/>
      <c r="Z782" s="5"/>
      <c r="AA782" s="6"/>
      <c r="AB782" s="6"/>
    </row>
    <row r="783" spans="1:28" s="4" customFormat="1" ht="15.75">
      <c r="A783" s="427"/>
      <c r="B783" s="366"/>
      <c r="C783" s="432"/>
      <c r="D783" s="432"/>
      <c r="E783" s="432"/>
      <c r="F783" s="432"/>
      <c r="G783" s="432"/>
      <c r="H783" s="432"/>
      <c r="I783" s="432"/>
      <c r="J783" s="432"/>
      <c r="K783" s="432"/>
      <c r="L783" s="372"/>
      <c r="M783" s="432"/>
      <c r="N783" s="432"/>
      <c r="O783" s="432"/>
      <c r="P783" s="372"/>
      <c r="Q783" s="432"/>
      <c r="R783" s="433"/>
      <c r="S783" s="434"/>
      <c r="T783" s="435"/>
      <c r="U783" s="436"/>
      <c r="V783" s="241"/>
      <c r="W783" s="241"/>
      <c r="X783" s="241"/>
      <c r="Y783" s="19"/>
      <c r="Z783" s="19"/>
    </row>
    <row r="784" spans="1:28" s="4" customFormat="1" ht="15.75">
      <c r="A784" s="427"/>
      <c r="B784" s="360"/>
      <c r="C784" s="432"/>
      <c r="D784" s="432"/>
      <c r="E784" s="432"/>
      <c r="F784" s="432"/>
      <c r="G784" s="432"/>
      <c r="H784" s="432"/>
      <c r="I784" s="432"/>
      <c r="J784" s="432"/>
      <c r="K784" s="432"/>
      <c r="L784" s="372"/>
      <c r="M784" s="432"/>
      <c r="N784" s="432"/>
      <c r="O784" s="432"/>
      <c r="P784" s="372"/>
      <c r="Q784" s="432"/>
      <c r="R784" s="433"/>
      <c r="S784" s="434"/>
      <c r="T784" s="435"/>
      <c r="U784" s="436"/>
      <c r="V784" s="241"/>
      <c r="W784" s="241"/>
      <c r="X784" s="241"/>
      <c r="Y784" s="19"/>
      <c r="Z784" s="19"/>
    </row>
    <row r="785" spans="1:26" s="4" customFormat="1" ht="15.75">
      <c r="A785" s="427"/>
      <c r="B785" s="365"/>
      <c r="C785" s="432"/>
      <c r="D785" s="432"/>
      <c r="E785" s="432"/>
      <c r="F785" s="432"/>
      <c r="G785" s="432"/>
      <c r="H785" s="432"/>
      <c r="I785" s="432"/>
      <c r="J785" s="432"/>
      <c r="K785" s="432"/>
      <c r="L785" s="372"/>
      <c r="M785" s="432"/>
      <c r="N785" s="432"/>
      <c r="O785" s="432"/>
      <c r="P785" s="372"/>
      <c r="Q785" s="432"/>
      <c r="R785" s="433"/>
      <c r="S785" s="434"/>
      <c r="T785" s="435"/>
      <c r="U785" s="436"/>
      <c r="V785" s="241"/>
      <c r="W785" s="241"/>
      <c r="X785" s="241"/>
      <c r="Y785" s="19"/>
      <c r="Z785" s="19"/>
    </row>
    <row r="786" spans="1:26" ht="18.75" customHeight="1">
      <c r="A786" s="427"/>
      <c r="B786" s="428" t="s">
        <v>123</v>
      </c>
      <c r="C786" s="429">
        <f>C787+C788+C789+C790+C791</f>
        <v>12904489</v>
      </c>
      <c r="D786" s="429">
        <f t="shared" ref="D786:U786" si="86">D787+D788+D789+D790+D791</f>
        <v>0</v>
      </c>
      <c r="E786" s="429">
        <f t="shared" si="86"/>
        <v>0</v>
      </c>
      <c r="F786" s="429">
        <f t="shared" si="86"/>
        <v>0</v>
      </c>
      <c r="G786" s="429">
        <f t="shared" si="86"/>
        <v>0</v>
      </c>
      <c r="H786" s="429">
        <f t="shared" si="86"/>
        <v>0</v>
      </c>
      <c r="I786" s="429">
        <f t="shared" si="86"/>
        <v>0</v>
      </c>
      <c r="J786" s="429">
        <f t="shared" si="86"/>
        <v>0</v>
      </c>
      <c r="K786" s="429">
        <f t="shared" si="86"/>
        <v>0</v>
      </c>
      <c r="L786" s="429">
        <f t="shared" si="86"/>
        <v>0</v>
      </c>
      <c r="M786" s="429">
        <f t="shared" si="86"/>
        <v>0</v>
      </c>
      <c r="N786" s="429">
        <f t="shared" si="86"/>
        <v>5152</v>
      </c>
      <c r="O786" s="429">
        <f t="shared" si="86"/>
        <v>12904489</v>
      </c>
      <c r="P786" s="429">
        <f t="shared" si="86"/>
        <v>0</v>
      </c>
      <c r="Q786" s="429">
        <f t="shared" si="86"/>
        <v>0</v>
      </c>
      <c r="R786" s="429">
        <f t="shared" si="86"/>
        <v>0</v>
      </c>
      <c r="S786" s="429">
        <f t="shared" si="86"/>
        <v>0</v>
      </c>
      <c r="T786" s="429">
        <f t="shared" si="86"/>
        <v>0</v>
      </c>
      <c r="U786" s="429">
        <f t="shared" si="86"/>
        <v>0</v>
      </c>
      <c r="V786" s="241"/>
      <c r="W786" s="241"/>
      <c r="X786" s="241"/>
    </row>
    <row r="787" spans="1:26" ht="15.75">
      <c r="A787" s="427">
        <v>215</v>
      </c>
      <c r="B787" s="311" t="s">
        <v>736</v>
      </c>
      <c r="C787" s="429">
        <f>'часть 1'!L810</f>
        <v>2291418</v>
      </c>
      <c r="D787" s="429">
        <v>0</v>
      </c>
      <c r="E787" s="429">
        <v>0</v>
      </c>
      <c r="F787" s="429">
        <v>0</v>
      </c>
      <c r="G787" s="429">
        <v>0</v>
      </c>
      <c r="H787" s="429">
        <v>0</v>
      </c>
      <c r="I787" s="429">
        <v>0</v>
      </c>
      <c r="J787" s="429">
        <v>0</v>
      </c>
      <c r="K787" s="490">
        <v>0</v>
      </c>
      <c r="L787" s="572">
        <v>0</v>
      </c>
      <c r="M787" s="448">
        <v>0</v>
      </c>
      <c r="N787" s="448">
        <v>914</v>
      </c>
      <c r="O787" s="448">
        <v>2291418</v>
      </c>
      <c r="P787" s="572">
        <v>0</v>
      </c>
      <c r="Q787" s="448">
        <v>0</v>
      </c>
      <c r="R787" s="573">
        <v>0</v>
      </c>
      <c r="S787" s="448">
        <v>0</v>
      </c>
      <c r="T787" s="572">
        <v>0</v>
      </c>
      <c r="U787" s="436">
        <v>0</v>
      </c>
      <c r="V787" s="241"/>
      <c r="W787" s="241">
        <f>O787/N787</f>
        <v>2507.0218818380745</v>
      </c>
      <c r="X787" s="241"/>
    </row>
    <row r="788" spans="1:26" ht="15.75">
      <c r="A788" s="427">
        <v>216</v>
      </c>
      <c r="B788" s="311" t="s">
        <v>737</v>
      </c>
      <c r="C788" s="429">
        <f>'часть 1'!L811</f>
        <v>3059197</v>
      </c>
      <c r="D788" s="429">
        <v>0</v>
      </c>
      <c r="E788" s="429">
        <v>0</v>
      </c>
      <c r="F788" s="429">
        <v>0</v>
      </c>
      <c r="G788" s="429">
        <v>0</v>
      </c>
      <c r="H788" s="429">
        <v>0</v>
      </c>
      <c r="I788" s="429">
        <v>0</v>
      </c>
      <c r="J788" s="429">
        <v>0</v>
      </c>
      <c r="K788" s="490">
        <v>0</v>
      </c>
      <c r="L788" s="572">
        <v>0</v>
      </c>
      <c r="M788" s="448">
        <v>0</v>
      </c>
      <c r="N788" s="448">
        <v>1223</v>
      </c>
      <c r="O788" s="448">
        <v>3059197</v>
      </c>
      <c r="P788" s="572">
        <v>0</v>
      </c>
      <c r="Q788" s="448">
        <v>0</v>
      </c>
      <c r="R788" s="573">
        <v>0</v>
      </c>
      <c r="S788" s="448">
        <v>0</v>
      </c>
      <c r="T788" s="572">
        <v>0</v>
      </c>
      <c r="U788" s="436">
        <v>0</v>
      </c>
      <c r="V788" s="241"/>
      <c r="W788" s="241">
        <f>O788/N788</f>
        <v>2501.3875715453801</v>
      </c>
      <c r="X788" s="241"/>
    </row>
    <row r="789" spans="1:26" ht="15.75">
      <c r="A789" s="427">
        <v>217</v>
      </c>
      <c r="B789" s="311" t="s">
        <v>738</v>
      </c>
      <c r="C789" s="429">
        <f>'часть 1'!L812</f>
        <v>2247330</v>
      </c>
      <c r="D789" s="429">
        <v>0</v>
      </c>
      <c r="E789" s="429">
        <v>0</v>
      </c>
      <c r="F789" s="429">
        <v>0</v>
      </c>
      <c r="G789" s="429">
        <v>0</v>
      </c>
      <c r="H789" s="429">
        <v>0</v>
      </c>
      <c r="I789" s="429">
        <v>0</v>
      </c>
      <c r="J789" s="429">
        <v>0</v>
      </c>
      <c r="K789" s="429">
        <v>0</v>
      </c>
      <c r="L789" s="572">
        <v>0</v>
      </c>
      <c r="M789" s="448">
        <v>0</v>
      </c>
      <c r="N789" s="448">
        <v>896</v>
      </c>
      <c r="O789" s="448">
        <v>2247330</v>
      </c>
      <c r="P789" s="572">
        <v>0</v>
      </c>
      <c r="Q789" s="448">
        <v>0</v>
      </c>
      <c r="R789" s="573">
        <v>0</v>
      </c>
      <c r="S789" s="448">
        <v>0</v>
      </c>
      <c r="T789" s="572">
        <v>0</v>
      </c>
      <c r="U789" s="436">
        <v>0</v>
      </c>
      <c r="V789" s="241"/>
      <c r="W789" s="241">
        <f>O789/N789</f>
        <v>2508.1808035714284</v>
      </c>
      <c r="X789" s="241"/>
    </row>
    <row r="790" spans="1:26" ht="15.75">
      <c r="A790" s="427">
        <v>218</v>
      </c>
      <c r="B790" s="311" t="s">
        <v>739</v>
      </c>
      <c r="C790" s="429">
        <f>'часть 1'!L813</f>
        <v>3059179</v>
      </c>
      <c r="D790" s="429">
        <v>0</v>
      </c>
      <c r="E790" s="429">
        <v>0</v>
      </c>
      <c r="F790" s="429">
        <v>0</v>
      </c>
      <c r="G790" s="429">
        <v>0</v>
      </c>
      <c r="H790" s="429">
        <v>0</v>
      </c>
      <c r="I790" s="429">
        <v>0</v>
      </c>
      <c r="J790" s="429">
        <v>0</v>
      </c>
      <c r="K790" s="490">
        <v>0</v>
      </c>
      <c r="L790" s="572">
        <v>0</v>
      </c>
      <c r="M790" s="448">
        <v>0</v>
      </c>
      <c r="N790" s="448">
        <v>1223</v>
      </c>
      <c r="O790" s="448">
        <v>3059179</v>
      </c>
      <c r="P790" s="572">
        <v>0</v>
      </c>
      <c r="Q790" s="448">
        <v>0</v>
      </c>
      <c r="R790" s="573">
        <v>0</v>
      </c>
      <c r="S790" s="448">
        <v>0</v>
      </c>
      <c r="T790" s="572">
        <v>0</v>
      </c>
      <c r="U790" s="436">
        <v>0</v>
      </c>
      <c r="V790" s="241"/>
      <c r="W790" s="241">
        <f>O790/N790</f>
        <v>2501.3728536385938</v>
      </c>
      <c r="X790" s="241"/>
    </row>
    <row r="791" spans="1:26" ht="15.75">
      <c r="A791" s="427">
        <v>219</v>
      </c>
      <c r="B791" s="311" t="s">
        <v>740</v>
      </c>
      <c r="C791" s="429">
        <f>'часть 1'!L814</f>
        <v>2247365</v>
      </c>
      <c r="D791" s="429">
        <v>0</v>
      </c>
      <c r="E791" s="429">
        <v>0</v>
      </c>
      <c r="F791" s="429">
        <v>0</v>
      </c>
      <c r="G791" s="429">
        <v>0</v>
      </c>
      <c r="H791" s="429">
        <v>0</v>
      </c>
      <c r="I791" s="429">
        <v>0</v>
      </c>
      <c r="J791" s="429">
        <v>0</v>
      </c>
      <c r="K791" s="429">
        <v>0</v>
      </c>
      <c r="L791" s="572">
        <v>0</v>
      </c>
      <c r="M791" s="448">
        <v>0</v>
      </c>
      <c r="N791" s="448">
        <v>896</v>
      </c>
      <c r="O791" s="448">
        <v>2247365</v>
      </c>
      <c r="P791" s="572">
        <v>0</v>
      </c>
      <c r="Q791" s="448">
        <v>0</v>
      </c>
      <c r="R791" s="573">
        <v>0</v>
      </c>
      <c r="S791" s="448">
        <v>0</v>
      </c>
      <c r="T791" s="572">
        <v>0</v>
      </c>
      <c r="U791" s="436">
        <v>0</v>
      </c>
      <c r="V791" s="241"/>
      <c r="W791" s="241">
        <f>O791/N791</f>
        <v>2508.2198660714284</v>
      </c>
      <c r="X791" s="241"/>
    </row>
    <row r="792" spans="1:26">
      <c r="A792" s="427"/>
      <c r="B792" s="439"/>
      <c r="C792" s="429"/>
      <c r="D792" s="429"/>
      <c r="E792" s="429"/>
      <c r="F792" s="429"/>
      <c r="G792" s="429"/>
      <c r="H792" s="429"/>
      <c r="I792" s="429"/>
      <c r="J792" s="429"/>
      <c r="K792" s="490"/>
      <c r="L792" s="572"/>
      <c r="M792" s="448"/>
      <c r="N792" s="448"/>
      <c r="O792" s="448"/>
      <c r="P792" s="572"/>
      <c r="Q792" s="448"/>
      <c r="R792" s="573"/>
      <c r="S792" s="448"/>
      <c r="T792" s="572"/>
      <c r="U792" s="436"/>
      <c r="V792" s="241"/>
      <c r="W792" s="241"/>
      <c r="X792" s="241"/>
    </row>
    <row r="793" spans="1:26">
      <c r="A793" s="427"/>
      <c r="B793" s="439"/>
      <c r="C793" s="429"/>
      <c r="D793" s="429"/>
      <c r="E793" s="429"/>
      <c r="F793" s="429"/>
      <c r="G793" s="429"/>
      <c r="H793" s="429"/>
      <c r="I793" s="429"/>
      <c r="J793" s="429"/>
      <c r="K793" s="429"/>
      <c r="L793" s="572"/>
      <c r="M793" s="448"/>
      <c r="N793" s="448"/>
      <c r="O793" s="448"/>
      <c r="P793" s="572"/>
      <c r="Q793" s="448"/>
      <c r="R793" s="573"/>
      <c r="S793" s="448"/>
      <c r="T793" s="572"/>
      <c r="U793" s="436"/>
      <c r="V793" s="241"/>
      <c r="W793" s="241"/>
      <c r="X793" s="241"/>
    </row>
    <row r="794" spans="1:26">
      <c r="A794" s="427"/>
      <c r="B794" s="439"/>
      <c r="C794" s="429"/>
      <c r="D794" s="429"/>
      <c r="E794" s="429"/>
      <c r="F794" s="429"/>
      <c r="G794" s="429"/>
      <c r="H794" s="429"/>
      <c r="I794" s="429"/>
      <c r="J794" s="429"/>
      <c r="K794" s="429"/>
      <c r="L794" s="572"/>
      <c r="M794" s="448"/>
      <c r="N794" s="448"/>
      <c r="O794" s="448"/>
      <c r="P794" s="572"/>
      <c r="Q794" s="448"/>
      <c r="R794" s="573"/>
      <c r="S794" s="448"/>
      <c r="T794" s="572"/>
      <c r="U794" s="436"/>
      <c r="V794" s="241"/>
      <c r="W794" s="241"/>
      <c r="X794" s="241"/>
    </row>
    <row r="795" spans="1:26">
      <c r="A795" s="427"/>
      <c r="B795" s="439"/>
      <c r="C795" s="429"/>
      <c r="D795" s="429"/>
      <c r="E795" s="429"/>
      <c r="F795" s="429"/>
      <c r="G795" s="429"/>
      <c r="H795" s="429"/>
      <c r="I795" s="429"/>
      <c r="J795" s="429"/>
      <c r="K795" s="490"/>
      <c r="L795" s="572"/>
      <c r="M795" s="448"/>
      <c r="N795" s="448"/>
      <c r="O795" s="448"/>
      <c r="P795" s="572"/>
      <c r="Q795" s="448"/>
      <c r="R795" s="573"/>
      <c r="S795" s="448"/>
      <c r="T795" s="572"/>
      <c r="U795" s="436"/>
      <c r="V795" s="241"/>
      <c r="W795" s="241"/>
      <c r="X795" s="241"/>
    </row>
    <row r="796" spans="1:26">
      <c r="A796" s="427"/>
      <c r="B796" s="439"/>
      <c r="C796" s="429"/>
      <c r="D796" s="429"/>
      <c r="E796" s="429"/>
      <c r="F796" s="429"/>
      <c r="G796" s="429"/>
      <c r="H796" s="429"/>
      <c r="I796" s="429"/>
      <c r="J796" s="429"/>
      <c r="K796" s="490"/>
      <c r="L796" s="572"/>
      <c r="M796" s="448"/>
      <c r="N796" s="448"/>
      <c r="O796" s="448"/>
      <c r="P796" s="572"/>
      <c r="Q796" s="448"/>
      <c r="R796" s="573"/>
      <c r="S796" s="448"/>
      <c r="T796" s="572"/>
      <c r="U796" s="436"/>
      <c r="V796" s="241"/>
      <c r="W796" s="241"/>
      <c r="X796" s="241"/>
    </row>
    <row r="797" spans="1:26">
      <c r="A797" s="427"/>
      <c r="B797" s="439"/>
      <c r="C797" s="429"/>
      <c r="D797" s="429"/>
      <c r="E797" s="429"/>
      <c r="F797" s="429"/>
      <c r="G797" s="429"/>
      <c r="H797" s="429"/>
      <c r="I797" s="429"/>
      <c r="J797" s="429"/>
      <c r="K797" s="490"/>
      <c r="L797" s="572"/>
      <c r="M797" s="448"/>
      <c r="N797" s="448"/>
      <c r="O797" s="448"/>
      <c r="P797" s="572"/>
      <c r="Q797" s="448"/>
      <c r="R797" s="573"/>
      <c r="S797" s="448"/>
      <c r="T797" s="572"/>
      <c r="U797" s="436"/>
      <c r="V797" s="241"/>
      <c r="W797" s="241"/>
      <c r="X797" s="241"/>
    </row>
    <row r="798" spans="1:26">
      <c r="A798" s="427"/>
      <c r="B798" s="439"/>
      <c r="C798" s="429"/>
      <c r="D798" s="429"/>
      <c r="E798" s="429"/>
      <c r="F798" s="429"/>
      <c r="G798" s="429"/>
      <c r="H798" s="429"/>
      <c r="I798" s="429"/>
      <c r="J798" s="429"/>
      <c r="K798" s="490"/>
      <c r="L798" s="572"/>
      <c r="M798" s="448"/>
      <c r="N798" s="448"/>
      <c r="O798" s="448"/>
      <c r="P798" s="572"/>
      <c r="Q798" s="448"/>
      <c r="R798" s="723"/>
      <c r="S798" s="448"/>
      <c r="T798" s="572"/>
      <c r="U798" s="436"/>
      <c r="V798" s="241"/>
      <c r="W798" s="241"/>
      <c r="X798" s="241"/>
    </row>
    <row r="799" spans="1:26" ht="19.899999999999999" customHeight="1">
      <c r="A799" s="427"/>
      <c r="B799" s="439" t="s">
        <v>864</v>
      </c>
      <c r="C799" s="429">
        <f>C800+C801</f>
        <v>3651703</v>
      </c>
      <c r="D799" s="429">
        <f t="shared" ref="D799:U799" si="87">D800+D801</f>
        <v>1371058</v>
      </c>
      <c r="E799" s="429">
        <f t="shared" si="87"/>
        <v>1371058</v>
      </c>
      <c r="F799" s="429">
        <f t="shared" si="87"/>
        <v>0</v>
      </c>
      <c r="G799" s="429">
        <f t="shared" si="87"/>
        <v>0</v>
      </c>
      <c r="H799" s="429">
        <f t="shared" si="87"/>
        <v>0</v>
      </c>
      <c r="I799" s="429">
        <f t="shared" si="87"/>
        <v>0</v>
      </c>
      <c r="J799" s="429">
        <f t="shared" si="87"/>
        <v>0</v>
      </c>
      <c r="K799" s="429">
        <f t="shared" si="87"/>
        <v>0</v>
      </c>
      <c r="L799" s="429">
        <f t="shared" si="87"/>
        <v>0</v>
      </c>
      <c r="M799" s="429">
        <f t="shared" si="87"/>
        <v>0</v>
      </c>
      <c r="N799" s="429">
        <f t="shared" si="87"/>
        <v>0</v>
      </c>
      <c r="O799" s="429">
        <f t="shared" si="87"/>
        <v>0</v>
      </c>
      <c r="P799" s="429">
        <f t="shared" si="87"/>
        <v>0</v>
      </c>
      <c r="Q799" s="429">
        <f t="shared" si="87"/>
        <v>0</v>
      </c>
      <c r="R799" s="429">
        <f t="shared" si="87"/>
        <v>1479.4</v>
      </c>
      <c r="S799" s="429">
        <f t="shared" si="87"/>
        <v>2280645</v>
      </c>
      <c r="T799" s="429">
        <f t="shared" si="87"/>
        <v>0</v>
      </c>
      <c r="U799" s="429">
        <f t="shared" si="87"/>
        <v>0</v>
      </c>
      <c r="V799" s="241"/>
      <c r="W799" s="241"/>
      <c r="X799" s="241"/>
    </row>
    <row r="800" spans="1:26">
      <c r="A800" s="427"/>
      <c r="B800" s="439" t="s">
        <v>867</v>
      </c>
      <c r="C800" s="429">
        <f>'часть 1'!L823</f>
        <v>2505179</v>
      </c>
      <c r="D800" s="429">
        <f>E800+F800+G800+H800+I800+J800+K800</f>
        <v>1371058</v>
      </c>
      <c r="E800" s="429">
        <v>1371058</v>
      </c>
      <c r="F800" s="429">
        <v>0</v>
      </c>
      <c r="G800" s="429">
        <v>0</v>
      </c>
      <c r="H800" s="429">
        <v>0</v>
      </c>
      <c r="I800" s="429">
        <v>0</v>
      </c>
      <c r="J800" s="429">
        <v>0</v>
      </c>
      <c r="K800" s="490">
        <v>0</v>
      </c>
      <c r="L800" s="572">
        <v>0</v>
      </c>
      <c r="M800" s="448">
        <v>0</v>
      </c>
      <c r="N800" s="490">
        <v>0</v>
      </c>
      <c r="O800" s="490">
        <v>0</v>
      </c>
      <c r="P800" s="572">
        <v>0</v>
      </c>
      <c r="Q800" s="448">
        <v>0</v>
      </c>
      <c r="R800" s="723">
        <v>735.5</v>
      </c>
      <c r="S800" s="448">
        <v>1134121</v>
      </c>
      <c r="T800" s="572">
        <v>0</v>
      </c>
      <c r="U800" s="436">
        <v>0</v>
      </c>
      <c r="V800" s="241"/>
      <c r="W800" s="241"/>
      <c r="X800" s="241">
        <f>S800/R800</f>
        <v>1541.9728076138681</v>
      </c>
      <c r="Y800" s="1">
        <f>E800/'часть 1'!I823</f>
        <v>671.42899118511264</v>
      </c>
    </row>
    <row r="801" spans="1:30">
      <c r="A801" s="427"/>
      <c r="B801" s="439" t="s">
        <v>868</v>
      </c>
      <c r="C801" s="429">
        <f>'часть 1'!L824</f>
        <v>1146524</v>
      </c>
      <c r="D801" s="429">
        <f>E801+F801+G801+H801+I801+J801+K801</f>
        <v>0</v>
      </c>
      <c r="E801" s="429">
        <v>0</v>
      </c>
      <c r="F801" s="429">
        <v>0</v>
      </c>
      <c r="G801" s="429">
        <v>0</v>
      </c>
      <c r="H801" s="429">
        <v>0</v>
      </c>
      <c r="I801" s="429">
        <v>0</v>
      </c>
      <c r="J801" s="429">
        <v>0</v>
      </c>
      <c r="K801" s="490">
        <v>0</v>
      </c>
      <c r="L801" s="572">
        <v>0</v>
      </c>
      <c r="M801" s="448">
        <v>0</v>
      </c>
      <c r="N801" s="490">
        <v>0</v>
      </c>
      <c r="O801" s="490">
        <v>0</v>
      </c>
      <c r="P801" s="572">
        <v>0</v>
      </c>
      <c r="Q801" s="448">
        <v>0</v>
      </c>
      <c r="R801" s="723">
        <v>743.9</v>
      </c>
      <c r="S801" s="448">
        <v>1146524</v>
      </c>
      <c r="T801" s="572">
        <v>0</v>
      </c>
      <c r="U801" s="436">
        <v>0</v>
      </c>
      <c r="V801" s="241"/>
      <c r="W801" s="241"/>
      <c r="X801" s="241">
        <f>S801/R801</f>
        <v>1541.2340368329078</v>
      </c>
    </row>
    <row r="802" spans="1:30" ht="18.75" customHeight="1">
      <c r="A802" s="427"/>
      <c r="B802" s="438" t="s">
        <v>72</v>
      </c>
      <c r="C802" s="429">
        <f>C803</f>
        <v>4218095</v>
      </c>
      <c r="D802" s="429">
        <f t="shared" ref="D802:U802" si="88">D803</f>
        <v>0</v>
      </c>
      <c r="E802" s="429">
        <f t="shared" si="88"/>
        <v>0</v>
      </c>
      <c r="F802" s="429">
        <f t="shared" si="88"/>
        <v>0</v>
      </c>
      <c r="G802" s="429">
        <f t="shared" si="88"/>
        <v>0</v>
      </c>
      <c r="H802" s="429">
        <f t="shared" si="88"/>
        <v>0</v>
      </c>
      <c r="I802" s="429">
        <f t="shared" si="88"/>
        <v>0</v>
      </c>
      <c r="J802" s="429">
        <f t="shared" si="88"/>
        <v>0</v>
      </c>
      <c r="K802" s="429">
        <f t="shared" si="88"/>
        <v>0</v>
      </c>
      <c r="L802" s="429">
        <f t="shared" si="88"/>
        <v>0</v>
      </c>
      <c r="M802" s="429">
        <f t="shared" si="88"/>
        <v>0</v>
      </c>
      <c r="N802" s="429">
        <f t="shared" si="88"/>
        <v>847</v>
      </c>
      <c r="O802" s="429">
        <f t="shared" si="88"/>
        <v>2338924</v>
      </c>
      <c r="P802" s="429">
        <f t="shared" si="88"/>
        <v>0</v>
      </c>
      <c r="Q802" s="429">
        <f t="shared" si="88"/>
        <v>0</v>
      </c>
      <c r="R802" s="429">
        <f t="shared" si="88"/>
        <v>1210</v>
      </c>
      <c r="S802" s="429">
        <f t="shared" si="88"/>
        <v>1879171</v>
      </c>
      <c r="T802" s="429">
        <f t="shared" si="88"/>
        <v>0</v>
      </c>
      <c r="U802" s="429">
        <f t="shared" si="88"/>
        <v>0</v>
      </c>
      <c r="V802" s="241"/>
      <c r="W802" s="241"/>
      <c r="X802" s="241"/>
    </row>
    <row r="803" spans="1:30" ht="30.75" customHeight="1">
      <c r="A803" s="427"/>
      <c r="B803" s="438" t="s">
        <v>95</v>
      </c>
      <c r="C803" s="429">
        <f>C804+C805</f>
        <v>4218095</v>
      </c>
      <c r="D803" s="429">
        <f t="shared" ref="D803:V803" si="89">D804+D805</f>
        <v>0</v>
      </c>
      <c r="E803" s="429">
        <f t="shared" si="89"/>
        <v>0</v>
      </c>
      <c r="F803" s="429">
        <f t="shared" si="89"/>
        <v>0</v>
      </c>
      <c r="G803" s="429">
        <f t="shared" si="89"/>
        <v>0</v>
      </c>
      <c r="H803" s="429">
        <f t="shared" si="89"/>
        <v>0</v>
      </c>
      <c r="I803" s="429">
        <f t="shared" si="89"/>
        <v>0</v>
      </c>
      <c r="J803" s="429">
        <f t="shared" si="89"/>
        <v>0</v>
      </c>
      <c r="K803" s="429">
        <f t="shared" si="89"/>
        <v>0</v>
      </c>
      <c r="L803" s="429">
        <f t="shared" si="89"/>
        <v>0</v>
      </c>
      <c r="M803" s="429">
        <f t="shared" si="89"/>
        <v>0</v>
      </c>
      <c r="N803" s="429">
        <f t="shared" si="89"/>
        <v>847</v>
      </c>
      <c r="O803" s="429">
        <f t="shared" si="89"/>
        <v>2338924</v>
      </c>
      <c r="P803" s="429">
        <f t="shared" si="89"/>
        <v>0</v>
      </c>
      <c r="Q803" s="429">
        <f t="shared" si="89"/>
        <v>0</v>
      </c>
      <c r="R803" s="429">
        <f t="shared" si="89"/>
        <v>1210</v>
      </c>
      <c r="S803" s="429">
        <f t="shared" si="89"/>
        <v>1879171</v>
      </c>
      <c r="T803" s="429">
        <f t="shared" si="89"/>
        <v>0</v>
      </c>
      <c r="U803" s="429">
        <f t="shared" si="89"/>
        <v>0</v>
      </c>
      <c r="V803" s="164">
        <f t="shared" si="89"/>
        <v>0</v>
      </c>
      <c r="W803" s="241"/>
      <c r="X803" s="241"/>
    </row>
    <row r="804" spans="1:30" ht="15.75">
      <c r="A804" s="427">
        <v>231</v>
      </c>
      <c r="B804" s="286" t="s">
        <v>627</v>
      </c>
      <c r="C804" s="429">
        <f>'часть 1'!L827</f>
        <v>2605488</v>
      </c>
      <c r="D804" s="429">
        <v>0</v>
      </c>
      <c r="E804" s="429">
        <v>0</v>
      </c>
      <c r="F804" s="429">
        <v>0</v>
      </c>
      <c r="G804" s="429">
        <v>0</v>
      </c>
      <c r="H804" s="429">
        <v>0</v>
      </c>
      <c r="I804" s="429">
        <v>0</v>
      </c>
      <c r="J804" s="429">
        <v>0</v>
      </c>
      <c r="K804" s="429">
        <v>0</v>
      </c>
      <c r="L804" s="427">
        <v>0</v>
      </c>
      <c r="M804" s="492">
        <v>0</v>
      </c>
      <c r="N804" s="432">
        <v>562</v>
      </c>
      <c r="O804" s="429">
        <v>1417413</v>
      </c>
      <c r="P804" s="427">
        <v>0</v>
      </c>
      <c r="Q804" s="429">
        <v>0</v>
      </c>
      <c r="R804" s="430">
        <v>760</v>
      </c>
      <c r="S804" s="429">
        <v>1188075</v>
      </c>
      <c r="T804" s="427">
        <v>0</v>
      </c>
      <c r="U804" s="493">
        <v>0</v>
      </c>
      <c r="V804" s="241"/>
      <c r="W804" s="241">
        <f>O804/N804</f>
        <v>2522.0871886120995</v>
      </c>
      <c r="X804" s="241">
        <f>S804/R804</f>
        <v>1563.2565789473683</v>
      </c>
    </row>
    <row r="805" spans="1:30" ht="22.15" customHeight="1">
      <c r="A805" s="427">
        <v>232</v>
      </c>
      <c r="B805" s="286" t="s">
        <v>624</v>
      </c>
      <c r="C805" s="429">
        <f>'часть 1'!L828</f>
        <v>1612607</v>
      </c>
      <c r="D805" s="429">
        <v>0</v>
      </c>
      <c r="E805" s="429">
        <v>0</v>
      </c>
      <c r="F805" s="429">
        <v>0</v>
      </c>
      <c r="G805" s="429">
        <v>0</v>
      </c>
      <c r="H805" s="429">
        <v>0</v>
      </c>
      <c r="I805" s="429">
        <v>0</v>
      </c>
      <c r="J805" s="429">
        <v>0</v>
      </c>
      <c r="K805" s="429">
        <v>0</v>
      </c>
      <c r="L805" s="427">
        <v>0</v>
      </c>
      <c r="M805" s="492">
        <v>0</v>
      </c>
      <c r="N805" s="432">
        <v>285</v>
      </c>
      <c r="O805" s="429">
        <v>921511</v>
      </c>
      <c r="P805" s="427">
        <v>0</v>
      </c>
      <c r="Q805" s="429">
        <v>0</v>
      </c>
      <c r="R805" s="430">
        <v>450</v>
      </c>
      <c r="S805" s="429">
        <v>691096</v>
      </c>
      <c r="T805" s="427">
        <v>0</v>
      </c>
      <c r="U805" s="493">
        <v>0</v>
      </c>
      <c r="V805" s="241"/>
      <c r="W805" s="241">
        <f>O805/N805</f>
        <v>3233.3719298245614</v>
      </c>
      <c r="X805" s="241">
        <f>S805/R805</f>
        <v>1535.7688888888888</v>
      </c>
    </row>
    <row r="806" spans="1:30">
      <c r="A806" s="427"/>
      <c r="B806" s="438"/>
      <c r="C806" s="429"/>
      <c r="D806" s="429"/>
      <c r="E806" s="429"/>
      <c r="F806" s="429"/>
      <c r="G806" s="429"/>
      <c r="H806" s="429"/>
      <c r="I806" s="429"/>
      <c r="J806" s="429"/>
      <c r="K806" s="429"/>
      <c r="L806" s="427"/>
      <c r="M806" s="492"/>
      <c r="N806" s="432"/>
      <c r="O806" s="429"/>
      <c r="P806" s="427"/>
      <c r="Q806" s="429"/>
      <c r="R806" s="430"/>
      <c r="S806" s="492"/>
      <c r="T806" s="427"/>
      <c r="U806" s="493"/>
      <c r="V806" s="241"/>
      <c r="W806" s="241"/>
      <c r="X806" s="241"/>
    </row>
    <row r="807" spans="1:30">
      <c r="A807" s="427"/>
      <c r="B807" s="438"/>
      <c r="C807" s="429"/>
      <c r="D807" s="429"/>
      <c r="E807" s="429"/>
      <c r="F807" s="429"/>
      <c r="G807" s="429"/>
      <c r="H807" s="429"/>
      <c r="I807" s="429"/>
      <c r="J807" s="429"/>
      <c r="K807" s="429"/>
      <c r="L807" s="427"/>
      <c r="M807" s="492"/>
      <c r="N807" s="432"/>
      <c r="O807" s="429"/>
      <c r="P807" s="427"/>
      <c r="Q807" s="429"/>
      <c r="R807" s="430"/>
      <c r="S807" s="492"/>
      <c r="T807" s="427"/>
      <c r="U807" s="493"/>
      <c r="V807" s="241"/>
      <c r="W807" s="241"/>
      <c r="X807" s="241"/>
    </row>
    <row r="808" spans="1:30">
      <c r="A808" s="427"/>
      <c r="B808" s="438"/>
      <c r="C808" s="429"/>
      <c r="D808" s="429"/>
      <c r="E808" s="429"/>
      <c r="F808" s="429"/>
      <c r="G808" s="429"/>
      <c r="H808" s="429"/>
      <c r="I808" s="429"/>
      <c r="J808" s="429"/>
      <c r="K808" s="429"/>
      <c r="L808" s="427"/>
      <c r="M808" s="492"/>
      <c r="N808" s="432"/>
      <c r="O808" s="429"/>
      <c r="P808" s="427"/>
      <c r="Q808" s="429"/>
      <c r="R808" s="430"/>
      <c r="S808" s="492"/>
      <c r="T808" s="427"/>
      <c r="U808" s="493"/>
      <c r="V808" s="241"/>
      <c r="W808" s="241"/>
      <c r="X808" s="241"/>
    </row>
    <row r="809" spans="1:30">
      <c r="A809" s="427"/>
      <c r="B809" s="438"/>
      <c r="C809" s="429"/>
      <c r="D809" s="429"/>
      <c r="E809" s="429"/>
      <c r="F809" s="429"/>
      <c r="G809" s="429"/>
      <c r="H809" s="429"/>
      <c r="I809" s="429"/>
      <c r="J809" s="429"/>
      <c r="K809" s="429"/>
      <c r="L809" s="427"/>
      <c r="M809" s="492"/>
      <c r="N809" s="432"/>
      <c r="O809" s="429"/>
      <c r="P809" s="427"/>
      <c r="Q809" s="429"/>
      <c r="R809" s="430"/>
      <c r="S809" s="492"/>
      <c r="T809" s="427"/>
      <c r="U809" s="493"/>
      <c r="V809" s="241"/>
      <c r="W809" s="241"/>
      <c r="X809" s="241"/>
    </row>
    <row r="810" spans="1:30">
      <c r="A810" s="427"/>
      <c r="B810" s="438"/>
      <c r="C810" s="429"/>
      <c r="D810" s="429"/>
      <c r="E810" s="429"/>
      <c r="F810" s="429"/>
      <c r="G810" s="429"/>
      <c r="H810" s="429"/>
      <c r="I810" s="429"/>
      <c r="J810" s="429"/>
      <c r="K810" s="429"/>
      <c r="L810" s="427"/>
      <c r="M810" s="492"/>
      <c r="N810" s="432"/>
      <c r="O810" s="429"/>
      <c r="P810" s="427"/>
      <c r="Q810" s="429"/>
      <c r="R810" s="430"/>
      <c r="S810" s="492"/>
      <c r="T810" s="427"/>
      <c r="U810" s="493"/>
      <c r="V810" s="241"/>
      <c r="W810" s="241"/>
      <c r="X810" s="241"/>
    </row>
    <row r="811" spans="1:30">
      <c r="A811" s="166"/>
      <c r="B811" s="183" t="s">
        <v>41</v>
      </c>
      <c r="C811" s="160">
        <v>12161074</v>
      </c>
      <c r="D811" s="160"/>
      <c r="E811" s="160"/>
      <c r="F811" s="160"/>
      <c r="G811" s="160"/>
      <c r="H811" s="160"/>
      <c r="I811" s="160"/>
      <c r="J811" s="160"/>
      <c r="K811" s="160">
        <v>297717</v>
      </c>
      <c r="L811" s="172">
        <v>3</v>
      </c>
      <c r="M811" s="160">
        <v>5600526</v>
      </c>
      <c r="N811" s="160">
        <f>N812</f>
        <v>1313</v>
      </c>
      <c r="O811" s="160">
        <v>6262831</v>
      </c>
      <c r="P811" s="172">
        <v>0</v>
      </c>
      <c r="Q811" s="160">
        <v>0</v>
      </c>
      <c r="R811" s="161">
        <v>0</v>
      </c>
      <c r="S811" s="160">
        <v>0</v>
      </c>
      <c r="T811" s="172">
        <v>0</v>
      </c>
      <c r="U811" s="245">
        <v>0</v>
      </c>
      <c r="V811" s="241"/>
      <c r="W811" s="241"/>
      <c r="X811" s="241"/>
    </row>
    <row r="812" spans="1:30" ht="30">
      <c r="A812" s="702"/>
      <c r="B812" s="163" t="s">
        <v>96</v>
      </c>
      <c r="C812" s="164">
        <f>C813+C814+C815+C816+C817</f>
        <v>9289441</v>
      </c>
      <c r="D812" s="164">
        <f t="shared" ref="D812:U812" si="90">D813+D814+D815+D816+D817</f>
        <v>5111523</v>
      </c>
      <c r="E812" s="164">
        <f t="shared" si="90"/>
        <v>2547087</v>
      </c>
      <c r="F812" s="164">
        <f t="shared" si="90"/>
        <v>1049894</v>
      </c>
      <c r="G812" s="164">
        <f t="shared" si="90"/>
        <v>0</v>
      </c>
      <c r="H812" s="164">
        <f t="shared" si="90"/>
        <v>921204</v>
      </c>
      <c r="I812" s="164">
        <f t="shared" si="90"/>
        <v>0</v>
      </c>
      <c r="J812" s="164">
        <f t="shared" si="90"/>
        <v>593338</v>
      </c>
      <c r="K812" s="164">
        <f t="shared" si="90"/>
        <v>0</v>
      </c>
      <c r="L812" s="164">
        <f t="shared" si="90"/>
        <v>0</v>
      </c>
      <c r="M812" s="164">
        <f t="shared" si="90"/>
        <v>0</v>
      </c>
      <c r="N812" s="164">
        <f t="shared" si="90"/>
        <v>1313</v>
      </c>
      <c r="O812" s="164">
        <f t="shared" si="90"/>
        <v>4177918</v>
      </c>
      <c r="P812" s="164">
        <f t="shared" si="90"/>
        <v>0</v>
      </c>
      <c r="Q812" s="164">
        <f t="shared" si="90"/>
        <v>0</v>
      </c>
      <c r="R812" s="164">
        <f t="shared" si="90"/>
        <v>0</v>
      </c>
      <c r="S812" s="164">
        <f t="shared" si="90"/>
        <v>0</v>
      </c>
      <c r="T812" s="164">
        <f t="shared" si="90"/>
        <v>0</v>
      </c>
      <c r="U812" s="164">
        <f t="shared" si="90"/>
        <v>0</v>
      </c>
      <c r="V812" s="241"/>
      <c r="W812" s="241"/>
      <c r="X812" s="241"/>
    </row>
    <row r="813" spans="1:30">
      <c r="A813" s="702">
        <v>238</v>
      </c>
      <c r="B813" s="704" t="s">
        <v>825</v>
      </c>
      <c r="C813" s="164">
        <f>'часть 1'!L836</f>
        <v>1058186</v>
      </c>
      <c r="D813" s="164">
        <f>E813+F813+G813+H813+I813+J813+K813</f>
        <v>1058186</v>
      </c>
      <c r="E813" s="164">
        <v>1058186</v>
      </c>
      <c r="F813" s="164">
        <v>0</v>
      </c>
      <c r="G813" s="164">
        <v>0</v>
      </c>
      <c r="H813" s="164">
        <v>0</v>
      </c>
      <c r="I813" s="164">
        <v>0</v>
      </c>
      <c r="J813" s="164">
        <v>0</v>
      </c>
      <c r="K813" s="164">
        <v>0</v>
      </c>
      <c r="L813" s="162">
        <v>0</v>
      </c>
      <c r="M813" s="167">
        <v>0</v>
      </c>
      <c r="N813" s="167">
        <v>0</v>
      </c>
      <c r="O813" s="164">
        <v>0</v>
      </c>
      <c r="P813" s="161">
        <v>0</v>
      </c>
      <c r="Q813" s="160">
        <v>0</v>
      </c>
      <c r="R813" s="161">
        <v>0</v>
      </c>
      <c r="S813" s="160">
        <v>0</v>
      </c>
      <c r="T813" s="172">
        <v>0</v>
      </c>
      <c r="U813" s="245">
        <v>0</v>
      </c>
      <c r="V813" s="241"/>
      <c r="W813" s="241"/>
      <c r="X813" s="241"/>
      <c r="Y813" s="1">
        <f>E813/'часть 1'!I836</f>
        <v>758.23015190599028</v>
      </c>
    </row>
    <row r="814" spans="1:30" ht="37.9" customHeight="1">
      <c r="A814" s="702">
        <v>239</v>
      </c>
      <c r="B814" s="705" t="s">
        <v>826</v>
      </c>
      <c r="C814" s="164">
        <f>'часть 1'!L837</f>
        <v>1264714</v>
      </c>
      <c r="D814" s="164">
        <f>E814+F814+G814+H814+I814+J814+K814</f>
        <v>1264714</v>
      </c>
      <c r="E814" s="164">
        <v>295822</v>
      </c>
      <c r="F814" s="164">
        <v>397225</v>
      </c>
      <c r="G814" s="164">
        <v>0</v>
      </c>
      <c r="H814" s="164">
        <v>349155</v>
      </c>
      <c r="I814" s="164">
        <v>0</v>
      </c>
      <c r="J814" s="164">
        <v>222512</v>
      </c>
      <c r="K814" s="164">
        <v>0</v>
      </c>
      <c r="L814" s="162">
        <v>0</v>
      </c>
      <c r="M814" s="167">
        <v>0</v>
      </c>
      <c r="N814" s="167">
        <v>0</v>
      </c>
      <c r="O814" s="164">
        <v>0</v>
      </c>
      <c r="P814" s="161">
        <v>0</v>
      </c>
      <c r="Q814" s="160">
        <v>0</v>
      </c>
      <c r="R814" s="161">
        <v>0</v>
      </c>
      <c r="S814" s="160">
        <v>0</v>
      </c>
      <c r="T814" s="172">
        <v>0</v>
      </c>
      <c r="U814" s="245">
        <v>0</v>
      </c>
      <c r="V814" s="241"/>
      <c r="W814" s="241"/>
      <c r="X814" s="241"/>
      <c r="Y814" s="1">
        <f>E814/'часть 1'!I837</f>
        <v>748.91645569620255</v>
      </c>
      <c r="AA814" s="1">
        <f>F814/'часть 1'!I837</f>
        <v>1005.632911392405</v>
      </c>
      <c r="AB814" s="1">
        <f>H814/'часть 1'!I837</f>
        <v>883.9367088607595</v>
      </c>
      <c r="AD814" s="1">
        <f>J814/'часть 1'!I837</f>
        <v>563.32151898734173</v>
      </c>
    </row>
    <row r="815" spans="1:30">
      <c r="A815" s="702">
        <v>240</v>
      </c>
      <c r="B815" s="704" t="s">
        <v>827</v>
      </c>
      <c r="C815" s="164">
        <f>'часть 1'!L838</f>
        <v>3274864</v>
      </c>
      <c r="D815" s="164">
        <f>E815+F815+G815+H815+I815+J815+K815</f>
        <v>436027</v>
      </c>
      <c r="E815" s="164">
        <v>436027</v>
      </c>
      <c r="F815" s="164">
        <v>0</v>
      </c>
      <c r="G815" s="164">
        <v>0</v>
      </c>
      <c r="H815" s="164">
        <v>0</v>
      </c>
      <c r="I815" s="164">
        <v>0</v>
      </c>
      <c r="J815" s="164">
        <v>0</v>
      </c>
      <c r="K815" s="164">
        <v>0</v>
      </c>
      <c r="L815" s="162">
        <v>0</v>
      </c>
      <c r="M815" s="167">
        <v>0</v>
      </c>
      <c r="N815" s="167">
        <v>895</v>
      </c>
      <c r="O815" s="164">
        <v>2838837</v>
      </c>
      <c r="P815" s="161">
        <v>0</v>
      </c>
      <c r="Q815" s="160">
        <v>0</v>
      </c>
      <c r="R815" s="161">
        <v>0</v>
      </c>
      <c r="S815" s="160">
        <v>0</v>
      </c>
      <c r="T815" s="172">
        <v>0</v>
      </c>
      <c r="U815" s="245">
        <v>0</v>
      </c>
      <c r="V815" s="241"/>
      <c r="W815" s="241">
        <f>O815/N815</f>
        <v>3171.8849162011174</v>
      </c>
      <c r="X815" s="241"/>
      <c r="Y815" s="1">
        <f>E815/'часть 1'!I838</f>
        <v>762.15172172697078</v>
      </c>
    </row>
    <row r="816" spans="1:30">
      <c r="A816" s="702">
        <v>241</v>
      </c>
      <c r="B816" s="704" t="s">
        <v>828</v>
      </c>
      <c r="C816" s="164">
        <f>'часть 1'!L839</f>
        <v>2082655</v>
      </c>
      <c r="D816" s="164">
        <f>E816+F816+G816+H816+I816+J816+K816</f>
        <v>2082655</v>
      </c>
      <c r="E816" s="164">
        <v>487111</v>
      </c>
      <c r="F816" s="164">
        <v>652669</v>
      </c>
      <c r="G816" s="164">
        <v>0</v>
      </c>
      <c r="H816" s="164">
        <v>572049</v>
      </c>
      <c r="I816" s="164">
        <v>0</v>
      </c>
      <c r="J816" s="164">
        <v>370826</v>
      </c>
      <c r="K816" s="164">
        <v>0</v>
      </c>
      <c r="L816" s="162">
        <v>0</v>
      </c>
      <c r="M816" s="167">
        <v>0</v>
      </c>
      <c r="N816" s="160">
        <v>0</v>
      </c>
      <c r="O816" s="160">
        <v>0</v>
      </c>
      <c r="P816" s="161">
        <v>0</v>
      </c>
      <c r="Q816" s="160">
        <v>0</v>
      </c>
      <c r="R816" s="161">
        <v>0</v>
      </c>
      <c r="S816" s="160">
        <v>0</v>
      </c>
      <c r="T816" s="172">
        <v>0</v>
      </c>
      <c r="U816" s="245">
        <v>0</v>
      </c>
      <c r="V816" s="241"/>
      <c r="W816" s="241"/>
      <c r="X816" s="241"/>
      <c r="Y816" s="1">
        <f>E816/'часть 1'!I839</f>
        <v>684.1446629213483</v>
      </c>
      <c r="AA816" s="1">
        <f>F816/'часть 1'!I839</f>
        <v>916.66994382022472</v>
      </c>
      <c r="AB816" s="1">
        <f>H816/'часть 1'!I839</f>
        <v>803.43960674157302</v>
      </c>
      <c r="AD816" s="1">
        <f>J816/'часть 1'!I839</f>
        <v>520.82303370786519</v>
      </c>
    </row>
    <row r="817" spans="1:35">
      <c r="A817" s="702">
        <v>242</v>
      </c>
      <c r="B817" s="704" t="s">
        <v>829</v>
      </c>
      <c r="C817" s="164">
        <f>'часть 1'!L840</f>
        <v>1609022</v>
      </c>
      <c r="D817" s="164">
        <f>E817+F817+G817+H817+I817+J817+K817</f>
        <v>269941</v>
      </c>
      <c r="E817" s="164">
        <v>269941</v>
      </c>
      <c r="F817" s="164">
        <v>0</v>
      </c>
      <c r="G817" s="164">
        <v>0</v>
      </c>
      <c r="H817" s="164">
        <v>0</v>
      </c>
      <c r="I817" s="164">
        <v>0</v>
      </c>
      <c r="J817" s="164">
        <v>0</v>
      </c>
      <c r="K817" s="164">
        <v>0</v>
      </c>
      <c r="L817" s="162">
        <v>0</v>
      </c>
      <c r="M817" s="167">
        <v>0</v>
      </c>
      <c r="N817" s="167">
        <v>418</v>
      </c>
      <c r="O817" s="164">
        <v>1339081</v>
      </c>
      <c r="P817" s="161">
        <v>0</v>
      </c>
      <c r="Q817" s="177">
        <v>0</v>
      </c>
      <c r="R817" s="179">
        <v>0</v>
      </c>
      <c r="S817" s="177">
        <v>0</v>
      </c>
      <c r="T817" s="178">
        <v>0</v>
      </c>
      <c r="U817" s="248">
        <v>0</v>
      </c>
      <c r="V817" s="241"/>
      <c r="W817" s="241">
        <f>O817/N817</f>
        <v>3203.5430622009571</v>
      </c>
      <c r="X817" s="241"/>
      <c r="Y817" s="1">
        <f>E817/'часть 1'!I840</f>
        <v>729.37314239394755</v>
      </c>
    </row>
    <row r="818" spans="1:35">
      <c r="A818" s="702"/>
      <c r="B818" s="184" t="s">
        <v>68</v>
      </c>
      <c r="C818" s="164">
        <f>C819</f>
        <v>443001</v>
      </c>
      <c r="D818" s="164">
        <f t="shared" ref="D818:U819" si="91">D819</f>
        <v>0</v>
      </c>
      <c r="E818" s="164">
        <f t="shared" si="91"/>
        <v>0</v>
      </c>
      <c r="F818" s="164">
        <f t="shared" si="91"/>
        <v>0</v>
      </c>
      <c r="G818" s="164">
        <f t="shared" si="91"/>
        <v>0</v>
      </c>
      <c r="H818" s="164">
        <f t="shared" si="91"/>
        <v>0</v>
      </c>
      <c r="I818" s="164">
        <f t="shared" si="91"/>
        <v>0</v>
      </c>
      <c r="J818" s="164">
        <f t="shared" si="91"/>
        <v>0</v>
      </c>
      <c r="K818" s="164">
        <f t="shared" si="91"/>
        <v>0</v>
      </c>
      <c r="L818" s="164">
        <f t="shared" si="91"/>
        <v>0</v>
      </c>
      <c r="M818" s="164">
        <f t="shared" si="91"/>
        <v>0</v>
      </c>
      <c r="N818" s="164">
        <f t="shared" si="91"/>
        <v>0</v>
      </c>
      <c r="O818" s="164">
        <f t="shared" si="91"/>
        <v>0</v>
      </c>
      <c r="P818" s="164">
        <f t="shared" si="91"/>
        <v>0</v>
      </c>
      <c r="Q818" s="164">
        <f t="shared" si="91"/>
        <v>0</v>
      </c>
      <c r="R818" s="164">
        <f t="shared" si="91"/>
        <v>285.2</v>
      </c>
      <c r="S818" s="164">
        <f t="shared" si="91"/>
        <v>443001</v>
      </c>
      <c r="T818" s="164">
        <f t="shared" si="91"/>
        <v>0</v>
      </c>
      <c r="U818" s="164">
        <f t="shared" si="91"/>
        <v>0</v>
      </c>
      <c r="V818" s="241"/>
      <c r="W818" s="241"/>
      <c r="X818" s="241"/>
    </row>
    <row r="819" spans="1:35" ht="30">
      <c r="A819" s="703"/>
      <c r="B819" s="428" t="s">
        <v>97</v>
      </c>
      <c r="C819" s="429">
        <f>C820</f>
        <v>443001</v>
      </c>
      <c r="D819" s="429">
        <f t="shared" si="91"/>
        <v>0</v>
      </c>
      <c r="E819" s="429">
        <f t="shared" si="91"/>
        <v>0</v>
      </c>
      <c r="F819" s="429">
        <f t="shared" si="91"/>
        <v>0</v>
      </c>
      <c r="G819" s="429">
        <f t="shared" si="91"/>
        <v>0</v>
      </c>
      <c r="H819" s="429">
        <f t="shared" si="91"/>
        <v>0</v>
      </c>
      <c r="I819" s="429">
        <f t="shared" si="91"/>
        <v>0</v>
      </c>
      <c r="J819" s="429">
        <f t="shared" si="91"/>
        <v>0</v>
      </c>
      <c r="K819" s="429">
        <f t="shared" si="91"/>
        <v>0</v>
      </c>
      <c r="L819" s="429">
        <f t="shared" si="91"/>
        <v>0</v>
      </c>
      <c r="M819" s="429">
        <f t="shared" si="91"/>
        <v>0</v>
      </c>
      <c r="N819" s="429">
        <f t="shared" si="91"/>
        <v>0</v>
      </c>
      <c r="O819" s="429">
        <f t="shared" si="91"/>
        <v>0</v>
      </c>
      <c r="P819" s="429">
        <f t="shared" si="91"/>
        <v>0</v>
      </c>
      <c r="Q819" s="429">
        <f t="shared" si="91"/>
        <v>0</v>
      </c>
      <c r="R819" s="429">
        <f t="shared" si="91"/>
        <v>285.2</v>
      </c>
      <c r="S819" s="429">
        <f t="shared" si="91"/>
        <v>443001</v>
      </c>
      <c r="T819" s="429">
        <f t="shared" si="91"/>
        <v>0</v>
      </c>
      <c r="U819" s="429">
        <f t="shared" si="91"/>
        <v>0</v>
      </c>
      <c r="V819" s="429">
        <f>V820</f>
        <v>0</v>
      </c>
      <c r="W819" s="241"/>
      <c r="X819" s="241"/>
    </row>
    <row r="820" spans="1:35">
      <c r="A820" s="427"/>
      <c r="B820" s="439" t="s">
        <v>769</v>
      </c>
      <c r="C820" s="437">
        <f>'часть 1'!L843</f>
        <v>443001</v>
      </c>
      <c r="D820" s="437">
        <v>0</v>
      </c>
      <c r="E820" s="437">
        <v>0</v>
      </c>
      <c r="F820" s="437">
        <v>0</v>
      </c>
      <c r="G820" s="437">
        <v>0</v>
      </c>
      <c r="H820" s="437">
        <v>0</v>
      </c>
      <c r="I820" s="437">
        <v>0</v>
      </c>
      <c r="J820" s="437">
        <v>0</v>
      </c>
      <c r="K820" s="437">
        <v>0</v>
      </c>
      <c r="L820" s="440">
        <v>0</v>
      </c>
      <c r="M820" s="437">
        <v>0</v>
      </c>
      <c r="N820" s="437">
        <v>0</v>
      </c>
      <c r="O820" s="437">
        <v>0</v>
      </c>
      <c r="P820" s="441">
        <v>0</v>
      </c>
      <c r="Q820" s="437">
        <v>0</v>
      </c>
      <c r="R820" s="733">
        <v>285.2</v>
      </c>
      <c r="S820" s="437">
        <v>443001</v>
      </c>
      <c r="T820" s="440">
        <v>0</v>
      </c>
      <c r="U820" s="442">
        <v>0</v>
      </c>
      <c r="V820" s="241"/>
      <c r="W820" s="241">
        <f>S820/R820</f>
        <v>1553.2994389901824</v>
      </c>
      <c r="X820" s="241"/>
    </row>
    <row r="821" spans="1:35" s="14" customFormat="1">
      <c r="A821" s="166"/>
      <c r="B821" s="182" t="s">
        <v>43</v>
      </c>
      <c r="C821" s="177">
        <v>23032470</v>
      </c>
      <c r="D821" s="177"/>
      <c r="E821" s="177"/>
      <c r="F821" s="177"/>
      <c r="G821" s="177"/>
      <c r="H821" s="177"/>
      <c r="I821" s="177"/>
      <c r="J821" s="177"/>
      <c r="K821" s="177">
        <v>0</v>
      </c>
      <c r="L821" s="179">
        <v>0</v>
      </c>
      <c r="M821" s="177">
        <v>0</v>
      </c>
      <c r="N821" s="177">
        <v>11598.699999999999</v>
      </c>
      <c r="O821" s="177">
        <v>23032470</v>
      </c>
      <c r="P821" s="179">
        <v>0</v>
      </c>
      <c r="Q821" s="177">
        <v>0</v>
      </c>
      <c r="R821" s="179">
        <v>0</v>
      </c>
      <c r="S821" s="177">
        <v>0</v>
      </c>
      <c r="T821" s="179">
        <v>0</v>
      </c>
      <c r="U821" s="248">
        <v>0</v>
      </c>
      <c r="V821" s="241"/>
      <c r="W821" s="241"/>
      <c r="X821" s="241"/>
    </row>
    <row r="822" spans="1:35" ht="30">
      <c r="A822" s="166"/>
      <c r="B822" s="180" t="s">
        <v>125</v>
      </c>
      <c r="C822" s="177">
        <v>20696312</v>
      </c>
      <c r="D822" s="177"/>
      <c r="E822" s="177"/>
      <c r="F822" s="177"/>
      <c r="G822" s="177"/>
      <c r="H822" s="177"/>
      <c r="I822" s="177"/>
      <c r="J822" s="177"/>
      <c r="K822" s="177">
        <v>0</v>
      </c>
      <c r="L822" s="178">
        <v>0</v>
      </c>
      <c r="M822" s="177">
        <v>0</v>
      </c>
      <c r="N822" s="177">
        <v>10402.699999999999</v>
      </c>
      <c r="O822" s="177">
        <v>20696312</v>
      </c>
      <c r="P822" s="179">
        <v>0</v>
      </c>
      <c r="Q822" s="177">
        <v>0</v>
      </c>
      <c r="R822" s="179">
        <v>0</v>
      </c>
      <c r="S822" s="177">
        <v>0</v>
      </c>
      <c r="T822" s="178">
        <v>0</v>
      </c>
      <c r="U822" s="248">
        <v>0</v>
      </c>
      <c r="V822" s="241"/>
      <c r="W822" s="241"/>
      <c r="X822" s="241"/>
    </row>
    <row r="823" spans="1:35" customFormat="1">
      <c r="A823" s="166">
        <v>244</v>
      </c>
      <c r="B823" s="185" t="s">
        <v>405</v>
      </c>
      <c r="C823" s="186">
        <v>2301804</v>
      </c>
      <c r="D823" s="186"/>
      <c r="E823" s="186"/>
      <c r="F823" s="186"/>
      <c r="G823" s="186"/>
      <c r="H823" s="186"/>
      <c r="I823" s="186"/>
      <c r="J823" s="186"/>
      <c r="K823" s="187">
        <v>0</v>
      </c>
      <c r="L823" s="188">
        <v>0</v>
      </c>
      <c r="M823" s="187">
        <v>0</v>
      </c>
      <c r="N823" s="189">
        <v>1167</v>
      </c>
      <c r="O823" s="190">
        <v>2301804</v>
      </c>
      <c r="P823" s="191">
        <v>0</v>
      </c>
      <c r="Q823" s="187">
        <v>0</v>
      </c>
      <c r="R823" s="191">
        <v>0</v>
      </c>
      <c r="S823" s="187">
        <v>0</v>
      </c>
      <c r="T823" s="192">
        <v>0</v>
      </c>
      <c r="U823" s="249">
        <v>0</v>
      </c>
      <c r="V823" s="241"/>
      <c r="W823" s="241"/>
      <c r="X823" s="241"/>
    </row>
    <row r="824" spans="1:35" customFormat="1">
      <c r="A824" s="166">
        <v>245</v>
      </c>
      <c r="B824" s="185" t="s">
        <v>393</v>
      </c>
      <c r="C824" s="186">
        <v>1743478</v>
      </c>
      <c r="D824" s="186"/>
      <c r="E824" s="186"/>
      <c r="F824" s="186"/>
      <c r="G824" s="186"/>
      <c r="H824" s="186"/>
      <c r="I824" s="186"/>
      <c r="J824" s="186"/>
      <c r="K824" s="193">
        <v>0</v>
      </c>
      <c r="L824" s="169">
        <v>0</v>
      </c>
      <c r="M824" s="193">
        <v>0</v>
      </c>
      <c r="N824" s="194">
        <v>880</v>
      </c>
      <c r="O824" s="190">
        <v>1743478</v>
      </c>
      <c r="P824" s="191">
        <v>0</v>
      </c>
      <c r="Q824" s="187">
        <v>0</v>
      </c>
      <c r="R824" s="191">
        <v>0</v>
      </c>
      <c r="S824" s="187">
        <v>0</v>
      </c>
      <c r="T824" s="192">
        <v>0</v>
      </c>
      <c r="U824" s="249">
        <v>0</v>
      </c>
      <c r="V824" s="241"/>
      <c r="W824" s="241"/>
      <c r="X824" s="241"/>
    </row>
    <row r="825" spans="1:35" customFormat="1">
      <c r="A825" s="166">
        <v>246</v>
      </c>
      <c r="B825" s="185" t="s">
        <v>406</v>
      </c>
      <c r="C825" s="186">
        <v>2485001</v>
      </c>
      <c r="D825" s="186"/>
      <c r="E825" s="186"/>
      <c r="F825" s="186"/>
      <c r="G825" s="186"/>
      <c r="H825" s="186"/>
      <c r="I825" s="186"/>
      <c r="J825" s="186"/>
      <c r="K825" s="187">
        <v>0</v>
      </c>
      <c r="L825" s="188">
        <v>0</v>
      </c>
      <c r="M825" s="187">
        <v>0</v>
      </c>
      <c r="N825" s="195">
        <v>1268.4000000000001</v>
      </c>
      <c r="O825" s="190">
        <v>2485001</v>
      </c>
      <c r="P825" s="191">
        <v>0</v>
      </c>
      <c r="Q825" s="187">
        <v>0</v>
      </c>
      <c r="R825" s="191">
        <v>0</v>
      </c>
      <c r="S825" s="187">
        <v>0</v>
      </c>
      <c r="T825" s="192">
        <v>0</v>
      </c>
      <c r="U825" s="249">
        <v>0</v>
      </c>
      <c r="V825" s="241"/>
      <c r="W825" s="241"/>
      <c r="X825" s="241"/>
    </row>
    <row r="826" spans="1:35" customFormat="1">
      <c r="A826" s="166">
        <v>247</v>
      </c>
      <c r="B826" s="185" t="s">
        <v>402</v>
      </c>
      <c r="C826" s="186">
        <v>1237591</v>
      </c>
      <c r="D826" s="186"/>
      <c r="E826" s="186"/>
      <c r="F826" s="186"/>
      <c r="G826" s="186"/>
      <c r="H826" s="186"/>
      <c r="I826" s="186"/>
      <c r="J826" s="186"/>
      <c r="K826" s="187">
        <v>0</v>
      </c>
      <c r="L826" s="188">
        <v>0</v>
      </c>
      <c r="M826" s="187">
        <v>0</v>
      </c>
      <c r="N826" s="189">
        <v>620</v>
      </c>
      <c r="O826" s="190">
        <v>1237591</v>
      </c>
      <c r="P826" s="191">
        <v>0</v>
      </c>
      <c r="Q826" s="187">
        <v>0</v>
      </c>
      <c r="R826" s="191">
        <v>0</v>
      </c>
      <c r="S826" s="187">
        <v>0</v>
      </c>
      <c r="T826" s="192">
        <v>0</v>
      </c>
      <c r="U826" s="249">
        <v>0</v>
      </c>
      <c r="V826" s="241"/>
      <c r="W826" s="241"/>
      <c r="X826" s="241"/>
      <c r="Y826" s="34"/>
      <c r="Z826" s="34"/>
      <c r="AA826" s="34"/>
      <c r="AB826" s="34"/>
      <c r="AC826" s="34"/>
      <c r="AD826" s="34"/>
      <c r="AE826" s="34"/>
      <c r="AF826" s="34"/>
      <c r="AG826" s="34"/>
      <c r="AH826" s="34"/>
      <c r="AI826" s="34"/>
    </row>
    <row r="827" spans="1:35" s="33" customFormat="1">
      <c r="A827" s="166">
        <v>248</v>
      </c>
      <c r="B827" s="185" t="s">
        <v>397</v>
      </c>
      <c r="C827" s="186">
        <v>1448078</v>
      </c>
      <c r="D827" s="186"/>
      <c r="E827" s="186"/>
      <c r="F827" s="186"/>
      <c r="G827" s="186"/>
      <c r="H827" s="186"/>
      <c r="I827" s="186"/>
      <c r="J827" s="186"/>
      <c r="K827" s="187">
        <v>0</v>
      </c>
      <c r="L827" s="188">
        <v>0</v>
      </c>
      <c r="M827" s="187">
        <v>0</v>
      </c>
      <c r="N827" s="195">
        <v>729</v>
      </c>
      <c r="O827" s="190">
        <v>1448078</v>
      </c>
      <c r="P827" s="191">
        <v>0</v>
      </c>
      <c r="Q827" s="187">
        <v>0</v>
      </c>
      <c r="R827" s="191">
        <v>0</v>
      </c>
      <c r="S827" s="187">
        <v>0</v>
      </c>
      <c r="T827" s="192">
        <v>0</v>
      </c>
      <c r="U827" s="249">
        <v>0</v>
      </c>
      <c r="V827" s="241"/>
      <c r="W827" s="241"/>
      <c r="X827" s="241"/>
    </row>
    <row r="828" spans="1:35" customFormat="1">
      <c r="A828" s="166">
        <v>249</v>
      </c>
      <c r="B828" s="185" t="s">
        <v>398</v>
      </c>
      <c r="C828" s="186">
        <v>1963797</v>
      </c>
      <c r="D828" s="186"/>
      <c r="E828" s="186"/>
      <c r="F828" s="186"/>
      <c r="G828" s="186"/>
      <c r="H828" s="186"/>
      <c r="I828" s="186"/>
      <c r="J828" s="186"/>
      <c r="K828" s="187">
        <v>0</v>
      </c>
      <c r="L828" s="188">
        <v>0</v>
      </c>
      <c r="M828" s="187">
        <v>0</v>
      </c>
      <c r="N828" s="189">
        <v>991.4</v>
      </c>
      <c r="O828" s="190">
        <v>1963797</v>
      </c>
      <c r="P828" s="191">
        <v>0</v>
      </c>
      <c r="Q828" s="187">
        <v>0</v>
      </c>
      <c r="R828" s="191">
        <v>0</v>
      </c>
      <c r="S828" s="187">
        <v>0</v>
      </c>
      <c r="T828" s="192">
        <v>0</v>
      </c>
      <c r="U828" s="249">
        <v>0</v>
      </c>
      <c r="V828" s="241"/>
      <c r="W828" s="241"/>
      <c r="X828" s="241"/>
    </row>
    <row r="829" spans="1:35" customFormat="1">
      <c r="A829" s="166">
        <v>250</v>
      </c>
      <c r="B829" s="185" t="s">
        <v>399</v>
      </c>
      <c r="C829" s="186">
        <v>2119530</v>
      </c>
      <c r="D829" s="186"/>
      <c r="E829" s="186"/>
      <c r="F829" s="186"/>
      <c r="G829" s="186"/>
      <c r="H829" s="186"/>
      <c r="I829" s="186"/>
      <c r="J829" s="186"/>
      <c r="K829" s="187">
        <v>0</v>
      </c>
      <c r="L829" s="188">
        <v>0</v>
      </c>
      <c r="M829" s="187">
        <v>0</v>
      </c>
      <c r="N829" s="189">
        <v>1054.5</v>
      </c>
      <c r="O829" s="190">
        <v>2119530</v>
      </c>
      <c r="P829" s="191">
        <v>0</v>
      </c>
      <c r="Q829" s="187">
        <v>0</v>
      </c>
      <c r="R829" s="191">
        <v>0</v>
      </c>
      <c r="S829" s="187">
        <v>0</v>
      </c>
      <c r="T829" s="192">
        <v>0</v>
      </c>
      <c r="U829" s="249">
        <v>0</v>
      </c>
      <c r="V829" s="241"/>
      <c r="W829" s="241"/>
      <c r="X829" s="241"/>
    </row>
    <row r="830" spans="1:35" customFormat="1">
      <c r="A830" s="166">
        <v>251</v>
      </c>
      <c r="B830" s="185" t="s">
        <v>403</v>
      </c>
      <c r="C830" s="186">
        <v>1098163</v>
      </c>
      <c r="D830" s="186"/>
      <c r="E830" s="186"/>
      <c r="F830" s="186"/>
      <c r="G830" s="186"/>
      <c r="H830" s="186"/>
      <c r="I830" s="186"/>
      <c r="J830" s="186"/>
      <c r="K830" s="187">
        <v>0</v>
      </c>
      <c r="L830" s="188">
        <v>0</v>
      </c>
      <c r="M830" s="187">
        <v>0</v>
      </c>
      <c r="N830" s="189">
        <v>548</v>
      </c>
      <c r="O830" s="190">
        <v>1098163</v>
      </c>
      <c r="P830" s="191">
        <v>0</v>
      </c>
      <c r="Q830" s="187">
        <v>0</v>
      </c>
      <c r="R830" s="191">
        <v>0</v>
      </c>
      <c r="S830" s="187">
        <v>0</v>
      </c>
      <c r="T830" s="192">
        <v>0</v>
      </c>
      <c r="U830" s="249">
        <v>0</v>
      </c>
      <c r="V830" s="241"/>
      <c r="W830" s="241"/>
      <c r="X830" s="241"/>
      <c r="Y830" s="34"/>
      <c r="Z830" s="34"/>
      <c r="AA830" s="34"/>
      <c r="AB830" s="34"/>
      <c r="AC830" s="34"/>
      <c r="AD830" s="34"/>
      <c r="AE830" s="34"/>
      <c r="AF830" s="34"/>
      <c r="AG830" s="34"/>
      <c r="AH830" s="34"/>
      <c r="AI830" s="34"/>
    </row>
    <row r="831" spans="1:35" customFormat="1">
      <c r="A831" s="166">
        <v>252</v>
      </c>
      <c r="B831" s="185" t="s">
        <v>404</v>
      </c>
      <c r="C831" s="186">
        <v>1241309</v>
      </c>
      <c r="D831" s="186"/>
      <c r="E831" s="186"/>
      <c r="F831" s="186"/>
      <c r="G831" s="186"/>
      <c r="H831" s="186"/>
      <c r="I831" s="186"/>
      <c r="J831" s="186"/>
      <c r="K831" s="187">
        <v>0</v>
      </c>
      <c r="L831" s="188">
        <v>0</v>
      </c>
      <c r="M831" s="187">
        <v>0</v>
      </c>
      <c r="N831" s="189">
        <v>622</v>
      </c>
      <c r="O831" s="190">
        <v>1241309</v>
      </c>
      <c r="P831" s="191">
        <v>0</v>
      </c>
      <c r="Q831" s="187">
        <v>0</v>
      </c>
      <c r="R831" s="191">
        <v>0</v>
      </c>
      <c r="S831" s="187">
        <v>0</v>
      </c>
      <c r="T831" s="192">
        <v>0</v>
      </c>
      <c r="U831" s="249">
        <v>0</v>
      </c>
      <c r="V831" s="241"/>
      <c r="W831" s="241"/>
      <c r="X831" s="241"/>
    </row>
    <row r="832" spans="1:35" s="34" customFormat="1">
      <c r="A832" s="166">
        <v>253</v>
      </c>
      <c r="B832" s="185" t="s">
        <v>400</v>
      </c>
      <c r="C832" s="186">
        <v>1041360</v>
      </c>
      <c r="D832" s="186"/>
      <c r="E832" s="186"/>
      <c r="F832" s="186"/>
      <c r="G832" s="186"/>
      <c r="H832" s="186"/>
      <c r="I832" s="186"/>
      <c r="J832" s="186"/>
      <c r="K832" s="187">
        <v>0</v>
      </c>
      <c r="L832" s="188">
        <v>0</v>
      </c>
      <c r="M832" s="187">
        <v>0</v>
      </c>
      <c r="N832" s="189">
        <v>520</v>
      </c>
      <c r="O832" s="190">
        <v>1041360</v>
      </c>
      <c r="P832" s="191">
        <v>0</v>
      </c>
      <c r="Q832" s="187">
        <v>0</v>
      </c>
      <c r="R832" s="191">
        <v>0</v>
      </c>
      <c r="S832" s="187">
        <v>0</v>
      </c>
      <c r="T832" s="192">
        <v>0</v>
      </c>
      <c r="U832" s="249">
        <v>0</v>
      </c>
      <c r="V832" s="241"/>
      <c r="W832" s="241"/>
      <c r="X832" s="241"/>
      <c r="Y832"/>
      <c r="Z832"/>
      <c r="AA832"/>
      <c r="AB832"/>
      <c r="AC832"/>
      <c r="AD832"/>
      <c r="AE832"/>
      <c r="AF832"/>
      <c r="AG832"/>
      <c r="AH832"/>
      <c r="AI832"/>
    </row>
    <row r="833" spans="1:35" s="34" customFormat="1">
      <c r="A833" s="166">
        <v>254</v>
      </c>
      <c r="B833" s="185" t="s">
        <v>401</v>
      </c>
      <c r="C833" s="186">
        <v>1138866</v>
      </c>
      <c r="D833" s="186"/>
      <c r="E833" s="186"/>
      <c r="F833" s="186"/>
      <c r="G833" s="186"/>
      <c r="H833" s="186"/>
      <c r="I833" s="186"/>
      <c r="J833" s="186"/>
      <c r="K833" s="187">
        <v>0</v>
      </c>
      <c r="L833" s="188">
        <v>0</v>
      </c>
      <c r="M833" s="187">
        <v>0</v>
      </c>
      <c r="N833" s="189">
        <v>570</v>
      </c>
      <c r="O833" s="190">
        <v>1138866</v>
      </c>
      <c r="P833" s="191">
        <v>0</v>
      </c>
      <c r="Q833" s="187">
        <v>0</v>
      </c>
      <c r="R833" s="191">
        <v>0</v>
      </c>
      <c r="S833" s="187">
        <v>0</v>
      </c>
      <c r="T833" s="192">
        <v>0</v>
      </c>
      <c r="U833" s="249">
        <v>0</v>
      </c>
      <c r="V833" s="241"/>
      <c r="W833" s="241"/>
      <c r="X833" s="241"/>
      <c r="Y833"/>
      <c r="Z833"/>
      <c r="AA833"/>
      <c r="AB833"/>
      <c r="AC833"/>
      <c r="AD833"/>
      <c r="AE833"/>
      <c r="AF833"/>
      <c r="AG833"/>
      <c r="AH833"/>
      <c r="AI833"/>
    </row>
    <row r="834" spans="1:35" customFormat="1">
      <c r="A834" s="166">
        <v>255</v>
      </c>
      <c r="B834" s="185" t="s">
        <v>394</v>
      </c>
      <c r="C834" s="186">
        <v>848546</v>
      </c>
      <c r="D834" s="186"/>
      <c r="E834" s="186"/>
      <c r="F834" s="186"/>
      <c r="G834" s="186"/>
      <c r="H834" s="186"/>
      <c r="I834" s="186"/>
      <c r="J834" s="186"/>
      <c r="K834" s="187">
        <v>0</v>
      </c>
      <c r="L834" s="188">
        <v>0</v>
      </c>
      <c r="M834" s="187">
        <v>0</v>
      </c>
      <c r="N834" s="195">
        <v>421.2</v>
      </c>
      <c r="O834" s="190">
        <v>848546</v>
      </c>
      <c r="P834" s="191">
        <v>0</v>
      </c>
      <c r="Q834" s="187">
        <v>0</v>
      </c>
      <c r="R834" s="191">
        <v>0</v>
      </c>
      <c r="S834" s="187">
        <v>0</v>
      </c>
      <c r="T834" s="192">
        <v>0</v>
      </c>
      <c r="U834" s="249">
        <v>0</v>
      </c>
      <c r="V834" s="241"/>
      <c r="W834" s="241"/>
      <c r="X834" s="241"/>
    </row>
    <row r="835" spans="1:35" customFormat="1">
      <c r="A835" s="166">
        <v>256</v>
      </c>
      <c r="B835" s="185" t="s">
        <v>395</v>
      </c>
      <c r="C835" s="186">
        <v>848706</v>
      </c>
      <c r="D835" s="186"/>
      <c r="E835" s="186"/>
      <c r="F835" s="186"/>
      <c r="G835" s="186"/>
      <c r="H835" s="186"/>
      <c r="I835" s="186"/>
      <c r="J835" s="186"/>
      <c r="K835" s="187">
        <v>0</v>
      </c>
      <c r="L835" s="188">
        <v>0</v>
      </c>
      <c r="M835" s="187">
        <v>0</v>
      </c>
      <c r="N835" s="195">
        <v>421.2</v>
      </c>
      <c r="O835" s="190">
        <v>848706</v>
      </c>
      <c r="P835" s="191">
        <v>0</v>
      </c>
      <c r="Q835" s="187">
        <v>0</v>
      </c>
      <c r="R835" s="191">
        <v>0</v>
      </c>
      <c r="S835" s="187">
        <v>0</v>
      </c>
      <c r="T835" s="192">
        <v>0</v>
      </c>
      <c r="U835" s="249">
        <v>0</v>
      </c>
      <c r="V835" s="241"/>
      <c r="W835" s="241"/>
      <c r="X835" s="241"/>
      <c r="Y835" s="35"/>
      <c r="Z835" s="35"/>
      <c r="AA835" s="35"/>
      <c r="AB835" s="35"/>
      <c r="AC835" s="35"/>
      <c r="AD835" s="35"/>
      <c r="AE835" s="35"/>
      <c r="AF835" s="35"/>
      <c r="AG835" s="35"/>
      <c r="AH835" s="35"/>
    </row>
    <row r="836" spans="1:35" customFormat="1">
      <c r="A836" s="166">
        <v>257</v>
      </c>
      <c r="B836" s="185" t="s">
        <v>396</v>
      </c>
      <c r="C836" s="186">
        <v>1180083</v>
      </c>
      <c r="D836" s="186"/>
      <c r="E836" s="186"/>
      <c r="F836" s="186"/>
      <c r="G836" s="186"/>
      <c r="H836" s="186"/>
      <c r="I836" s="186"/>
      <c r="J836" s="186"/>
      <c r="K836" s="187">
        <v>0</v>
      </c>
      <c r="L836" s="188">
        <v>0</v>
      </c>
      <c r="M836" s="187">
        <v>0</v>
      </c>
      <c r="N836" s="195">
        <v>590</v>
      </c>
      <c r="O836" s="190">
        <v>1180083</v>
      </c>
      <c r="P836" s="191">
        <v>0</v>
      </c>
      <c r="Q836" s="187">
        <v>0</v>
      </c>
      <c r="R836" s="191">
        <v>0</v>
      </c>
      <c r="S836" s="187">
        <v>0</v>
      </c>
      <c r="T836" s="192">
        <v>0</v>
      </c>
      <c r="U836" s="249">
        <v>0</v>
      </c>
      <c r="V836" s="241"/>
      <c r="W836" s="241"/>
      <c r="X836" s="241"/>
    </row>
    <row r="837" spans="1:35" customFormat="1" ht="30">
      <c r="A837" s="166"/>
      <c r="B837" s="180" t="s">
        <v>210</v>
      </c>
      <c r="C837" s="186">
        <v>2336158</v>
      </c>
      <c r="D837" s="186"/>
      <c r="E837" s="186"/>
      <c r="F837" s="186"/>
      <c r="G837" s="186"/>
      <c r="H837" s="186"/>
      <c r="I837" s="186"/>
      <c r="J837" s="186"/>
      <c r="K837" s="186">
        <v>0</v>
      </c>
      <c r="L837" s="188">
        <v>0</v>
      </c>
      <c r="M837" s="186">
        <v>0</v>
      </c>
      <c r="N837" s="186">
        <v>1196</v>
      </c>
      <c r="O837" s="186">
        <v>2336158</v>
      </c>
      <c r="P837" s="196">
        <v>0</v>
      </c>
      <c r="Q837" s="186">
        <v>0</v>
      </c>
      <c r="R837" s="196">
        <v>0</v>
      </c>
      <c r="S837" s="186">
        <v>0</v>
      </c>
      <c r="T837" s="188">
        <v>0</v>
      </c>
      <c r="U837" s="250">
        <v>0</v>
      </c>
      <c r="V837" s="241"/>
      <c r="W837" s="241"/>
      <c r="X837" s="241"/>
    </row>
    <row r="838" spans="1:35" customFormat="1" ht="30">
      <c r="A838" s="166">
        <v>258</v>
      </c>
      <c r="B838" s="197" t="s">
        <v>407</v>
      </c>
      <c r="C838" s="186">
        <v>1168079</v>
      </c>
      <c r="D838" s="186"/>
      <c r="E838" s="186"/>
      <c r="F838" s="186"/>
      <c r="G838" s="186"/>
      <c r="H838" s="186"/>
      <c r="I838" s="186"/>
      <c r="J838" s="186"/>
      <c r="K838" s="187">
        <v>0</v>
      </c>
      <c r="L838" s="188">
        <v>0</v>
      </c>
      <c r="M838" s="187">
        <v>0</v>
      </c>
      <c r="N838" s="195">
        <v>598</v>
      </c>
      <c r="O838" s="190">
        <v>1168079</v>
      </c>
      <c r="P838" s="196">
        <v>0</v>
      </c>
      <c r="Q838" s="187">
        <v>0</v>
      </c>
      <c r="R838" s="196">
        <v>0</v>
      </c>
      <c r="S838" s="187">
        <v>0</v>
      </c>
      <c r="T838" s="188">
        <v>0</v>
      </c>
      <c r="U838" s="249">
        <v>0</v>
      </c>
      <c r="V838" s="241"/>
      <c r="W838" s="241"/>
      <c r="X838" s="241"/>
    </row>
    <row r="839" spans="1:35" customFormat="1" ht="30">
      <c r="A839" s="166">
        <v>259</v>
      </c>
      <c r="B839" s="197" t="s">
        <v>408</v>
      </c>
      <c r="C839" s="186">
        <v>1168079</v>
      </c>
      <c r="D839" s="186"/>
      <c r="E839" s="186"/>
      <c r="F839" s="186"/>
      <c r="G839" s="186"/>
      <c r="H839" s="186"/>
      <c r="I839" s="186"/>
      <c r="J839" s="186"/>
      <c r="K839" s="187">
        <v>0</v>
      </c>
      <c r="L839" s="188">
        <v>0</v>
      </c>
      <c r="M839" s="187">
        <v>0</v>
      </c>
      <c r="N839" s="195">
        <v>598</v>
      </c>
      <c r="O839" s="190">
        <v>1168079</v>
      </c>
      <c r="P839" s="196">
        <v>0</v>
      </c>
      <c r="Q839" s="187">
        <v>0</v>
      </c>
      <c r="R839" s="196">
        <v>0</v>
      </c>
      <c r="S839" s="187">
        <v>0</v>
      </c>
      <c r="T839" s="188">
        <v>0</v>
      </c>
      <c r="U839" s="249">
        <v>0</v>
      </c>
      <c r="V839" s="241"/>
      <c r="W839" s="241"/>
      <c r="X839" s="241"/>
    </row>
    <row r="840" spans="1:35" s="14" customFormat="1">
      <c r="A840" s="166"/>
      <c r="B840" s="182" t="s">
        <v>44</v>
      </c>
      <c r="C840" s="177">
        <v>4547180</v>
      </c>
      <c r="D840" s="177"/>
      <c r="E840" s="177"/>
      <c r="F840" s="177"/>
      <c r="G840" s="177"/>
      <c r="H840" s="177"/>
      <c r="I840" s="177"/>
      <c r="J840" s="177"/>
      <c r="K840" s="177">
        <v>0</v>
      </c>
      <c r="L840" s="178">
        <v>0</v>
      </c>
      <c r="M840" s="177">
        <v>0</v>
      </c>
      <c r="N840" s="177">
        <v>2270</v>
      </c>
      <c r="O840" s="177">
        <v>4547180</v>
      </c>
      <c r="P840" s="179">
        <v>0</v>
      </c>
      <c r="Q840" s="177">
        <v>0</v>
      </c>
      <c r="R840" s="179">
        <v>0</v>
      </c>
      <c r="S840" s="177">
        <v>0</v>
      </c>
      <c r="T840" s="178">
        <v>0</v>
      </c>
      <c r="U840" s="248">
        <v>0</v>
      </c>
      <c r="V840" s="241"/>
      <c r="W840" s="241"/>
      <c r="X840" s="241"/>
    </row>
    <row r="841" spans="1:35" ht="30">
      <c r="A841" s="166"/>
      <c r="B841" s="180" t="s">
        <v>435</v>
      </c>
      <c r="C841" s="177">
        <f>C842</f>
        <v>922687</v>
      </c>
      <c r="D841" s="177">
        <f t="shared" ref="D841:U841" si="92">D842</f>
        <v>0</v>
      </c>
      <c r="E841" s="177">
        <f t="shared" si="92"/>
        <v>0</v>
      </c>
      <c r="F841" s="177">
        <f t="shared" si="92"/>
        <v>0</v>
      </c>
      <c r="G841" s="177">
        <f t="shared" si="92"/>
        <v>0</v>
      </c>
      <c r="H841" s="177">
        <f t="shared" si="92"/>
        <v>0</v>
      </c>
      <c r="I841" s="177">
        <f t="shared" si="92"/>
        <v>0</v>
      </c>
      <c r="J841" s="177">
        <f t="shared" si="92"/>
        <v>0</v>
      </c>
      <c r="K841" s="177">
        <f t="shared" si="92"/>
        <v>0</v>
      </c>
      <c r="L841" s="177">
        <f t="shared" si="92"/>
        <v>0</v>
      </c>
      <c r="M841" s="177">
        <f t="shared" si="92"/>
        <v>0</v>
      </c>
      <c r="N841" s="177">
        <f t="shared" si="92"/>
        <v>285</v>
      </c>
      <c r="O841" s="177">
        <f t="shared" si="92"/>
        <v>922687</v>
      </c>
      <c r="P841" s="177">
        <f t="shared" si="92"/>
        <v>0</v>
      </c>
      <c r="Q841" s="177">
        <f t="shared" si="92"/>
        <v>0</v>
      </c>
      <c r="R841" s="177">
        <f t="shared" si="92"/>
        <v>0</v>
      </c>
      <c r="S841" s="177">
        <f t="shared" si="92"/>
        <v>0</v>
      </c>
      <c r="T841" s="177">
        <f t="shared" si="92"/>
        <v>0</v>
      </c>
      <c r="U841" s="177">
        <f t="shared" si="92"/>
        <v>0</v>
      </c>
      <c r="V841" s="177">
        <f>V842+V843</f>
        <v>0</v>
      </c>
      <c r="W841" s="177"/>
      <c r="X841" s="177"/>
      <c r="Y841" s="177"/>
      <c r="Z841" s="177"/>
      <c r="AA841" s="177"/>
      <c r="AB841" s="177"/>
      <c r="AC841" s="177"/>
      <c r="AD841" s="177"/>
      <c r="AE841" s="177"/>
      <c r="AF841" s="177"/>
      <c r="AG841" s="177"/>
      <c r="AH841" s="177"/>
      <c r="AI841" s="177"/>
    </row>
    <row r="842" spans="1:35">
      <c r="A842" s="427">
        <v>260</v>
      </c>
      <c r="B842" s="438" t="s">
        <v>767</v>
      </c>
      <c r="C842" s="437">
        <f>'часть 1'!L865</f>
        <v>922687</v>
      </c>
      <c r="D842" s="437">
        <v>0</v>
      </c>
      <c r="E842" s="437">
        <v>0</v>
      </c>
      <c r="F842" s="437">
        <v>0</v>
      </c>
      <c r="G842" s="437">
        <v>0</v>
      </c>
      <c r="H842" s="437">
        <v>0</v>
      </c>
      <c r="I842" s="437">
        <v>0</v>
      </c>
      <c r="J842" s="437">
        <v>0</v>
      </c>
      <c r="K842" s="437">
        <v>0</v>
      </c>
      <c r="L842" s="440">
        <v>0</v>
      </c>
      <c r="M842" s="437">
        <v>0</v>
      </c>
      <c r="N842" s="432">
        <v>285</v>
      </c>
      <c r="O842" s="437">
        <v>922687</v>
      </c>
      <c r="P842" s="441">
        <v>0</v>
      </c>
      <c r="Q842" s="437">
        <v>0</v>
      </c>
      <c r="R842" s="441">
        <v>0</v>
      </c>
      <c r="S842" s="437">
        <v>0</v>
      </c>
      <c r="T842" s="440">
        <v>0</v>
      </c>
      <c r="U842" s="442">
        <v>0</v>
      </c>
      <c r="V842" s="241"/>
      <c r="W842" s="241">
        <f>O842/N842</f>
        <v>3237.4982456140351</v>
      </c>
      <c r="X842" s="241"/>
    </row>
    <row r="843" spans="1:35">
      <c r="A843" s="427"/>
      <c r="B843" s="438"/>
      <c r="C843" s="437"/>
      <c r="D843" s="437"/>
      <c r="E843" s="437"/>
      <c r="F843" s="437"/>
      <c r="G843" s="437"/>
      <c r="H843" s="437"/>
      <c r="I843" s="437"/>
      <c r="J843" s="437"/>
      <c r="K843" s="437"/>
      <c r="L843" s="440"/>
      <c r="M843" s="437"/>
      <c r="N843" s="432"/>
      <c r="O843" s="437"/>
      <c r="P843" s="441"/>
      <c r="Q843" s="437"/>
      <c r="R843" s="441"/>
      <c r="S843" s="437"/>
      <c r="T843" s="440"/>
      <c r="U843" s="442"/>
      <c r="V843" s="241"/>
      <c r="W843" s="241"/>
      <c r="X843" s="241"/>
    </row>
    <row r="844" spans="1:35" ht="25.15" customHeight="1">
      <c r="A844" s="166"/>
      <c r="B844" s="182" t="s">
        <v>45</v>
      </c>
      <c r="C844" s="177">
        <f t="shared" ref="C844:V844" si="93">C845+C849+C851+C853+C855+C857</f>
        <v>8577331</v>
      </c>
      <c r="D844" s="177">
        <f t="shared" si="93"/>
        <v>0</v>
      </c>
      <c r="E844" s="177">
        <f t="shared" si="93"/>
        <v>0</v>
      </c>
      <c r="F844" s="177">
        <f t="shared" si="93"/>
        <v>0</v>
      </c>
      <c r="G844" s="177">
        <f t="shared" si="93"/>
        <v>0</v>
      </c>
      <c r="H844" s="177">
        <f t="shared" si="93"/>
        <v>0</v>
      </c>
      <c r="I844" s="177">
        <f t="shared" si="93"/>
        <v>0</v>
      </c>
      <c r="J844" s="177">
        <f t="shared" si="93"/>
        <v>0</v>
      </c>
      <c r="K844" s="177">
        <f t="shared" si="93"/>
        <v>0</v>
      </c>
      <c r="L844" s="177">
        <f t="shared" si="93"/>
        <v>0</v>
      </c>
      <c r="M844" s="177">
        <f t="shared" si="93"/>
        <v>0</v>
      </c>
      <c r="N844" s="177">
        <f t="shared" si="93"/>
        <v>2703.45</v>
      </c>
      <c r="O844" s="177">
        <f t="shared" si="93"/>
        <v>7668369</v>
      </c>
      <c r="P844" s="177">
        <f t="shared" si="93"/>
        <v>0</v>
      </c>
      <c r="Q844" s="177">
        <f t="shared" si="93"/>
        <v>0</v>
      </c>
      <c r="R844" s="177">
        <f t="shared" si="93"/>
        <v>595</v>
      </c>
      <c r="S844" s="177">
        <f t="shared" si="93"/>
        <v>908962</v>
      </c>
      <c r="T844" s="177">
        <f t="shared" si="93"/>
        <v>0</v>
      </c>
      <c r="U844" s="177">
        <f t="shared" si="93"/>
        <v>0</v>
      </c>
      <c r="V844" s="177" t="e">
        <f t="shared" si="93"/>
        <v>#REF!</v>
      </c>
      <c r="W844" s="241"/>
      <c r="X844" s="241"/>
    </row>
    <row r="845" spans="1:35" ht="30">
      <c r="A845" s="427"/>
      <c r="B845" s="438" t="s">
        <v>98</v>
      </c>
      <c r="C845" s="437">
        <f>C846+C847+C848</f>
        <v>3345596</v>
      </c>
      <c r="D845" s="437">
        <f t="shared" ref="D845:U845" si="94">D846+D847+D848</f>
        <v>0</v>
      </c>
      <c r="E845" s="437">
        <f t="shared" si="94"/>
        <v>0</v>
      </c>
      <c r="F845" s="437">
        <f t="shared" si="94"/>
        <v>0</v>
      </c>
      <c r="G845" s="437">
        <f t="shared" si="94"/>
        <v>0</v>
      </c>
      <c r="H845" s="437">
        <f t="shared" si="94"/>
        <v>0</v>
      </c>
      <c r="I845" s="437">
        <f t="shared" si="94"/>
        <v>0</v>
      </c>
      <c r="J845" s="437">
        <f t="shared" si="94"/>
        <v>0</v>
      </c>
      <c r="K845" s="437">
        <f t="shared" si="94"/>
        <v>0</v>
      </c>
      <c r="L845" s="437">
        <f t="shared" si="94"/>
        <v>0</v>
      </c>
      <c r="M845" s="437">
        <f t="shared" si="94"/>
        <v>0</v>
      </c>
      <c r="N845" s="437">
        <f t="shared" si="94"/>
        <v>1183.25</v>
      </c>
      <c r="O845" s="437">
        <f t="shared" si="94"/>
        <v>3345596</v>
      </c>
      <c r="P845" s="437">
        <f t="shared" si="94"/>
        <v>0</v>
      </c>
      <c r="Q845" s="437">
        <f t="shared" si="94"/>
        <v>0</v>
      </c>
      <c r="R845" s="437">
        <f t="shared" si="94"/>
        <v>0</v>
      </c>
      <c r="S845" s="437">
        <f t="shared" si="94"/>
        <v>0</v>
      </c>
      <c r="T845" s="437">
        <f t="shared" si="94"/>
        <v>0</v>
      </c>
      <c r="U845" s="437">
        <f t="shared" si="94"/>
        <v>0</v>
      </c>
      <c r="V845" s="241"/>
      <c r="W845" s="241"/>
      <c r="X845" s="241"/>
    </row>
    <row r="846" spans="1:35" ht="15.75">
      <c r="A846" s="427">
        <v>262</v>
      </c>
      <c r="B846" s="518" t="s">
        <v>795</v>
      </c>
      <c r="C846" s="437">
        <f>'часть 1'!L869</f>
        <v>1012287</v>
      </c>
      <c r="D846" s="437">
        <v>0</v>
      </c>
      <c r="E846" s="437">
        <v>0</v>
      </c>
      <c r="F846" s="437">
        <v>0</v>
      </c>
      <c r="G846" s="437">
        <v>0</v>
      </c>
      <c r="H846" s="437">
        <v>0</v>
      </c>
      <c r="I846" s="437">
        <v>0</v>
      </c>
      <c r="J846" s="437">
        <v>0</v>
      </c>
      <c r="K846" s="437">
        <v>0</v>
      </c>
      <c r="L846" s="440">
        <v>0</v>
      </c>
      <c r="M846" s="437">
        <v>0</v>
      </c>
      <c r="N846" s="432">
        <v>313.95</v>
      </c>
      <c r="O846" s="437">
        <v>1012287</v>
      </c>
      <c r="P846" s="441">
        <v>0</v>
      </c>
      <c r="Q846" s="437">
        <v>0</v>
      </c>
      <c r="R846" s="441">
        <v>0</v>
      </c>
      <c r="S846" s="437">
        <v>0</v>
      </c>
      <c r="T846" s="440">
        <v>0</v>
      </c>
      <c r="U846" s="442">
        <v>0</v>
      </c>
      <c r="V846" s="241"/>
      <c r="W846" s="241">
        <f>O846/N846</f>
        <v>3224.3573817486863</v>
      </c>
      <c r="X846" s="241"/>
    </row>
    <row r="847" spans="1:35" ht="15.75">
      <c r="A847" s="427">
        <v>263</v>
      </c>
      <c r="B847" s="518" t="s">
        <v>796</v>
      </c>
      <c r="C847" s="437">
        <f>'часть 1'!L870</f>
        <v>710003</v>
      </c>
      <c r="D847" s="437">
        <v>0</v>
      </c>
      <c r="E847" s="437">
        <v>0</v>
      </c>
      <c r="F847" s="437">
        <v>0</v>
      </c>
      <c r="G847" s="437">
        <v>0</v>
      </c>
      <c r="H847" s="437">
        <v>0</v>
      </c>
      <c r="I847" s="437">
        <v>0</v>
      </c>
      <c r="J847" s="437">
        <v>0</v>
      </c>
      <c r="K847" s="437">
        <v>0</v>
      </c>
      <c r="L847" s="440">
        <v>0</v>
      </c>
      <c r="M847" s="437">
        <v>0</v>
      </c>
      <c r="N847" s="432">
        <v>218.1</v>
      </c>
      <c r="O847" s="437">
        <v>710003</v>
      </c>
      <c r="P847" s="441">
        <v>0</v>
      </c>
      <c r="Q847" s="437">
        <v>0</v>
      </c>
      <c r="R847" s="441">
        <v>0</v>
      </c>
      <c r="S847" s="437">
        <v>0</v>
      </c>
      <c r="T847" s="440">
        <v>0</v>
      </c>
      <c r="U847" s="442">
        <v>0</v>
      </c>
      <c r="V847" s="241"/>
      <c r="W847" s="241">
        <f>O847/N847</f>
        <v>3255.4011921137094</v>
      </c>
      <c r="X847" s="241"/>
    </row>
    <row r="848" spans="1:35" ht="15.75">
      <c r="A848" s="427">
        <v>264</v>
      </c>
      <c r="B848" s="518" t="s">
        <v>797</v>
      </c>
      <c r="C848" s="437">
        <f>'часть 1'!L871</f>
        <v>1623306</v>
      </c>
      <c r="D848" s="437">
        <v>0</v>
      </c>
      <c r="E848" s="437">
        <v>0</v>
      </c>
      <c r="F848" s="437">
        <v>0</v>
      </c>
      <c r="G848" s="437">
        <v>0</v>
      </c>
      <c r="H848" s="437">
        <v>0</v>
      </c>
      <c r="I848" s="437">
        <v>0</v>
      </c>
      <c r="J848" s="437">
        <v>0</v>
      </c>
      <c r="K848" s="437">
        <v>0</v>
      </c>
      <c r="L848" s="440">
        <v>0</v>
      </c>
      <c r="M848" s="437">
        <v>0</v>
      </c>
      <c r="N848" s="432">
        <v>651.20000000000005</v>
      </c>
      <c r="O848" s="437">
        <v>1623306</v>
      </c>
      <c r="P848" s="441">
        <v>0</v>
      </c>
      <c r="Q848" s="437">
        <v>0</v>
      </c>
      <c r="R848" s="441">
        <v>0</v>
      </c>
      <c r="S848" s="437">
        <v>0</v>
      </c>
      <c r="T848" s="440">
        <v>0</v>
      </c>
      <c r="U848" s="442">
        <v>0</v>
      </c>
      <c r="V848" s="241"/>
      <c r="W848" s="241">
        <f>O848/N848</f>
        <v>2492.7917690417689</v>
      </c>
      <c r="X848" s="241"/>
    </row>
    <row r="849" spans="1:24" ht="30">
      <c r="A849" s="427"/>
      <c r="B849" s="438" t="s">
        <v>688</v>
      </c>
      <c r="C849" s="437">
        <f>C850</f>
        <v>908962</v>
      </c>
      <c r="D849" s="437">
        <f t="shared" ref="D849:V849" si="95">D850</f>
        <v>0</v>
      </c>
      <c r="E849" s="437">
        <f t="shared" si="95"/>
        <v>0</v>
      </c>
      <c r="F849" s="437">
        <f t="shared" si="95"/>
        <v>0</v>
      </c>
      <c r="G849" s="437">
        <f t="shared" si="95"/>
        <v>0</v>
      </c>
      <c r="H849" s="437">
        <f t="shared" si="95"/>
        <v>0</v>
      </c>
      <c r="I849" s="437">
        <f t="shared" si="95"/>
        <v>0</v>
      </c>
      <c r="J849" s="437">
        <f t="shared" si="95"/>
        <v>0</v>
      </c>
      <c r="K849" s="437">
        <f t="shared" si="95"/>
        <v>0</v>
      </c>
      <c r="L849" s="437">
        <f t="shared" si="95"/>
        <v>0</v>
      </c>
      <c r="M849" s="437">
        <f t="shared" si="95"/>
        <v>0</v>
      </c>
      <c r="N849" s="437">
        <f t="shared" si="95"/>
        <v>0</v>
      </c>
      <c r="O849" s="437">
        <f t="shared" si="95"/>
        <v>0</v>
      </c>
      <c r="P849" s="437">
        <f t="shared" si="95"/>
        <v>0</v>
      </c>
      <c r="Q849" s="437">
        <f t="shared" si="95"/>
        <v>0</v>
      </c>
      <c r="R849" s="437">
        <f t="shared" si="95"/>
        <v>595</v>
      </c>
      <c r="S849" s="437">
        <f t="shared" si="95"/>
        <v>908962</v>
      </c>
      <c r="T849" s="437">
        <f t="shared" si="95"/>
        <v>0</v>
      </c>
      <c r="U849" s="437">
        <f t="shared" si="95"/>
        <v>0</v>
      </c>
      <c r="V849" s="437">
        <f t="shared" si="95"/>
        <v>0</v>
      </c>
      <c r="W849" s="241"/>
      <c r="X849" s="241"/>
    </row>
    <row r="850" spans="1:24" ht="30">
      <c r="A850" s="427"/>
      <c r="B850" s="438" t="s">
        <v>692</v>
      </c>
      <c r="C850" s="437">
        <f>'часть 1'!L873</f>
        <v>908962</v>
      </c>
      <c r="D850" s="437">
        <v>0</v>
      </c>
      <c r="E850" s="437">
        <v>0</v>
      </c>
      <c r="F850" s="437">
        <v>0</v>
      </c>
      <c r="G850" s="437">
        <v>0</v>
      </c>
      <c r="H850" s="437">
        <v>0</v>
      </c>
      <c r="I850" s="437">
        <v>0</v>
      </c>
      <c r="J850" s="437">
        <v>0</v>
      </c>
      <c r="K850" s="437">
        <v>0</v>
      </c>
      <c r="L850" s="440">
        <v>0</v>
      </c>
      <c r="M850" s="437">
        <v>0</v>
      </c>
      <c r="N850" s="432">
        <v>0</v>
      </c>
      <c r="O850" s="437">
        <v>0</v>
      </c>
      <c r="P850" s="441">
        <v>0</v>
      </c>
      <c r="Q850" s="437">
        <v>0</v>
      </c>
      <c r="R850" s="441">
        <v>595</v>
      </c>
      <c r="S850" s="437">
        <v>908962</v>
      </c>
      <c r="T850" s="440">
        <v>0</v>
      </c>
      <c r="U850" s="442">
        <v>0</v>
      </c>
      <c r="V850" s="241"/>
      <c r="W850" s="241"/>
      <c r="X850" s="241">
        <f>S850/R850</f>
        <v>1527.6672268907564</v>
      </c>
    </row>
    <row r="851" spans="1:24" ht="30">
      <c r="A851" s="427"/>
      <c r="B851" s="438" t="s">
        <v>99</v>
      </c>
      <c r="C851" s="437">
        <f>C852</f>
        <v>655569</v>
      </c>
      <c r="D851" s="437">
        <f t="shared" ref="D851:V851" si="96">D852</f>
        <v>0</v>
      </c>
      <c r="E851" s="437">
        <f t="shared" si="96"/>
        <v>0</v>
      </c>
      <c r="F851" s="437">
        <f t="shared" si="96"/>
        <v>0</v>
      </c>
      <c r="G851" s="437">
        <f t="shared" si="96"/>
        <v>0</v>
      </c>
      <c r="H851" s="437">
        <f t="shared" si="96"/>
        <v>0</v>
      </c>
      <c r="I851" s="437">
        <f t="shared" si="96"/>
        <v>0</v>
      </c>
      <c r="J851" s="437">
        <f t="shared" si="96"/>
        <v>0</v>
      </c>
      <c r="K851" s="437">
        <f t="shared" si="96"/>
        <v>0</v>
      </c>
      <c r="L851" s="437">
        <f t="shared" si="96"/>
        <v>0</v>
      </c>
      <c r="M851" s="437">
        <f t="shared" si="96"/>
        <v>0</v>
      </c>
      <c r="N851" s="437">
        <f t="shared" si="96"/>
        <v>200.3</v>
      </c>
      <c r="O851" s="437">
        <f t="shared" si="96"/>
        <v>655569</v>
      </c>
      <c r="P851" s="437">
        <f t="shared" si="96"/>
        <v>0</v>
      </c>
      <c r="Q851" s="437">
        <f t="shared" si="96"/>
        <v>0</v>
      </c>
      <c r="R851" s="437">
        <f t="shared" si="96"/>
        <v>0</v>
      </c>
      <c r="S851" s="437">
        <f t="shared" si="96"/>
        <v>0</v>
      </c>
      <c r="T851" s="437">
        <f t="shared" si="96"/>
        <v>0</v>
      </c>
      <c r="U851" s="437">
        <f t="shared" si="96"/>
        <v>0</v>
      </c>
      <c r="V851" s="177">
        <f t="shared" si="96"/>
        <v>0</v>
      </c>
      <c r="W851" s="241"/>
      <c r="X851" s="241"/>
    </row>
    <row r="852" spans="1:24" s="822" customFormat="1" ht="31.5">
      <c r="A852" s="271">
        <v>265</v>
      </c>
      <c r="B852" s="360" t="s">
        <v>805</v>
      </c>
      <c r="C852" s="293">
        <f>'часть 1'!L875</f>
        <v>655569</v>
      </c>
      <c r="D852" s="293">
        <v>0</v>
      </c>
      <c r="E852" s="293">
        <v>0</v>
      </c>
      <c r="F852" s="293">
        <v>0</v>
      </c>
      <c r="G852" s="293">
        <v>0</v>
      </c>
      <c r="H852" s="293">
        <v>0</v>
      </c>
      <c r="I852" s="293">
        <v>0</v>
      </c>
      <c r="J852" s="293">
        <v>0</v>
      </c>
      <c r="K852" s="293">
        <v>0</v>
      </c>
      <c r="L852" s="290">
        <v>0</v>
      </c>
      <c r="M852" s="293">
        <v>0</v>
      </c>
      <c r="N852" s="326">
        <v>200.3</v>
      </c>
      <c r="O852" s="293">
        <v>655569</v>
      </c>
      <c r="P852" s="292">
        <v>0</v>
      </c>
      <c r="Q852" s="293">
        <v>0</v>
      </c>
      <c r="R852" s="292">
        <v>0</v>
      </c>
      <c r="S852" s="293">
        <v>0</v>
      </c>
      <c r="T852" s="290">
        <v>0</v>
      </c>
      <c r="U852" s="820">
        <v>0</v>
      </c>
      <c r="V852" s="821"/>
      <c r="W852" s="821">
        <f>O852/N852</f>
        <v>3272.9355966050921</v>
      </c>
      <c r="X852" s="821"/>
    </row>
    <row r="853" spans="1:24" ht="30">
      <c r="A853" s="427"/>
      <c r="B853" s="438" t="s">
        <v>100</v>
      </c>
      <c r="C853" s="437">
        <f>C854</f>
        <v>2020412</v>
      </c>
      <c r="D853" s="437">
        <f t="shared" ref="D853:U853" si="97">D854</f>
        <v>0</v>
      </c>
      <c r="E853" s="437">
        <f t="shared" si="97"/>
        <v>0</v>
      </c>
      <c r="F853" s="437">
        <f t="shared" si="97"/>
        <v>0</v>
      </c>
      <c r="G853" s="437">
        <f t="shared" si="97"/>
        <v>0</v>
      </c>
      <c r="H853" s="437">
        <f t="shared" si="97"/>
        <v>0</v>
      </c>
      <c r="I853" s="437">
        <f t="shared" si="97"/>
        <v>0</v>
      </c>
      <c r="J853" s="437">
        <f t="shared" si="97"/>
        <v>0</v>
      </c>
      <c r="K853" s="437">
        <f t="shared" si="97"/>
        <v>0</v>
      </c>
      <c r="L853" s="437">
        <f t="shared" si="97"/>
        <v>0</v>
      </c>
      <c r="M853" s="437">
        <f t="shared" si="97"/>
        <v>0</v>
      </c>
      <c r="N853" s="437">
        <f t="shared" si="97"/>
        <v>804.7</v>
      </c>
      <c r="O853" s="437">
        <f t="shared" si="97"/>
        <v>2020412</v>
      </c>
      <c r="P853" s="437">
        <f t="shared" si="97"/>
        <v>0</v>
      </c>
      <c r="Q853" s="437">
        <f t="shared" si="97"/>
        <v>0</v>
      </c>
      <c r="R853" s="437">
        <f t="shared" si="97"/>
        <v>0</v>
      </c>
      <c r="S853" s="437">
        <f t="shared" si="97"/>
        <v>0</v>
      </c>
      <c r="T853" s="437">
        <f t="shared" si="97"/>
        <v>0</v>
      </c>
      <c r="U853" s="437">
        <f t="shared" si="97"/>
        <v>0</v>
      </c>
      <c r="V853" s="241"/>
      <c r="W853" s="241"/>
      <c r="X853" s="241"/>
    </row>
    <row r="854" spans="1:24" ht="30">
      <c r="A854" s="427">
        <v>267</v>
      </c>
      <c r="B854" s="438" t="s">
        <v>696</v>
      </c>
      <c r="C854" s="437">
        <v>2020412</v>
      </c>
      <c r="D854" s="437">
        <v>0</v>
      </c>
      <c r="E854" s="437">
        <v>0</v>
      </c>
      <c r="F854" s="437">
        <v>0</v>
      </c>
      <c r="G854" s="437">
        <v>0</v>
      </c>
      <c r="H854" s="437">
        <v>0</v>
      </c>
      <c r="I854" s="437">
        <v>0</v>
      </c>
      <c r="J854" s="437">
        <v>0</v>
      </c>
      <c r="K854" s="437">
        <v>0</v>
      </c>
      <c r="L854" s="440">
        <v>0</v>
      </c>
      <c r="M854" s="437">
        <v>0</v>
      </c>
      <c r="N854" s="432">
        <v>804.7</v>
      </c>
      <c r="O854" s="437">
        <v>2020412</v>
      </c>
      <c r="P854" s="441">
        <v>0</v>
      </c>
      <c r="Q854" s="437">
        <v>0</v>
      </c>
      <c r="R854" s="441">
        <v>0</v>
      </c>
      <c r="S854" s="437">
        <v>0</v>
      </c>
      <c r="T854" s="440">
        <v>0</v>
      </c>
      <c r="U854" s="442">
        <v>0</v>
      </c>
      <c r="V854" s="241"/>
      <c r="W854" s="241">
        <f>O854/N854</f>
        <v>2510.7642599726605</v>
      </c>
      <c r="X854" s="241"/>
    </row>
    <row r="855" spans="1:24" ht="30">
      <c r="A855" s="427"/>
      <c r="B855" s="438" t="s">
        <v>101</v>
      </c>
      <c r="C855" s="437">
        <f>C856</f>
        <v>1646792</v>
      </c>
      <c r="D855" s="437">
        <f t="shared" ref="D855:U855" si="98">D856</f>
        <v>0</v>
      </c>
      <c r="E855" s="437">
        <f t="shared" si="98"/>
        <v>0</v>
      </c>
      <c r="F855" s="437">
        <f t="shared" si="98"/>
        <v>0</v>
      </c>
      <c r="G855" s="437">
        <f t="shared" si="98"/>
        <v>0</v>
      </c>
      <c r="H855" s="437">
        <f t="shared" si="98"/>
        <v>0</v>
      </c>
      <c r="I855" s="437">
        <f t="shared" si="98"/>
        <v>0</v>
      </c>
      <c r="J855" s="437">
        <f t="shared" si="98"/>
        <v>0</v>
      </c>
      <c r="K855" s="437">
        <f t="shared" si="98"/>
        <v>0</v>
      </c>
      <c r="L855" s="437">
        <f t="shared" si="98"/>
        <v>0</v>
      </c>
      <c r="M855" s="437">
        <f t="shared" si="98"/>
        <v>0</v>
      </c>
      <c r="N855" s="437">
        <f t="shared" si="98"/>
        <v>515.20000000000005</v>
      </c>
      <c r="O855" s="437">
        <f t="shared" si="98"/>
        <v>1646792</v>
      </c>
      <c r="P855" s="437">
        <f t="shared" si="98"/>
        <v>0</v>
      </c>
      <c r="Q855" s="437">
        <f t="shared" si="98"/>
        <v>0</v>
      </c>
      <c r="R855" s="437">
        <f t="shared" si="98"/>
        <v>0</v>
      </c>
      <c r="S855" s="437">
        <f t="shared" si="98"/>
        <v>0</v>
      </c>
      <c r="T855" s="437">
        <f t="shared" si="98"/>
        <v>0</v>
      </c>
      <c r="U855" s="437">
        <f t="shared" si="98"/>
        <v>0</v>
      </c>
      <c r="V855" s="241"/>
      <c r="W855" s="241"/>
      <c r="X855" s="241"/>
    </row>
    <row r="856" spans="1:24" ht="30">
      <c r="A856" s="427">
        <v>268</v>
      </c>
      <c r="B856" s="438" t="s">
        <v>925</v>
      </c>
      <c r="C856" s="437">
        <f>'часть 1'!L879</f>
        <v>1646792</v>
      </c>
      <c r="D856" s="437">
        <v>0</v>
      </c>
      <c r="E856" s="437">
        <v>0</v>
      </c>
      <c r="F856" s="437">
        <v>0</v>
      </c>
      <c r="G856" s="437">
        <v>0</v>
      </c>
      <c r="H856" s="437">
        <v>0</v>
      </c>
      <c r="I856" s="437">
        <v>0</v>
      </c>
      <c r="J856" s="437">
        <v>0</v>
      </c>
      <c r="K856" s="437">
        <v>0</v>
      </c>
      <c r="L856" s="440">
        <v>0</v>
      </c>
      <c r="M856" s="437">
        <v>0</v>
      </c>
      <c r="N856" s="432">
        <v>515.20000000000005</v>
      </c>
      <c r="O856" s="437">
        <v>1646792</v>
      </c>
      <c r="P856" s="441">
        <v>0</v>
      </c>
      <c r="Q856" s="437">
        <v>0</v>
      </c>
      <c r="R856" s="441">
        <v>0</v>
      </c>
      <c r="S856" s="437">
        <v>0</v>
      </c>
      <c r="T856" s="440">
        <v>0</v>
      </c>
      <c r="U856" s="442">
        <v>0</v>
      </c>
      <c r="V856" s="241"/>
      <c r="W856" s="241">
        <f>O856/N856</f>
        <v>3196.4130434782605</v>
      </c>
      <c r="X856" s="241"/>
    </row>
    <row r="857" spans="1:24" ht="30">
      <c r="A857" s="427"/>
      <c r="B857" s="438" t="s">
        <v>126</v>
      </c>
      <c r="C857" s="437">
        <v>0</v>
      </c>
      <c r="D857" s="437">
        <v>0</v>
      </c>
      <c r="E857" s="437">
        <v>0</v>
      </c>
      <c r="F857" s="437">
        <v>0</v>
      </c>
      <c r="G857" s="437">
        <v>0</v>
      </c>
      <c r="H857" s="437">
        <v>0</v>
      </c>
      <c r="I857" s="437">
        <v>0</v>
      </c>
      <c r="J857" s="437">
        <v>0</v>
      </c>
      <c r="K857" s="437">
        <v>0</v>
      </c>
      <c r="L857" s="437">
        <v>0</v>
      </c>
      <c r="M857" s="437">
        <v>0</v>
      </c>
      <c r="N857" s="437">
        <v>0</v>
      </c>
      <c r="O857" s="437">
        <v>0</v>
      </c>
      <c r="P857" s="437">
        <v>0</v>
      </c>
      <c r="Q857" s="437">
        <v>0</v>
      </c>
      <c r="R857" s="437">
        <v>0</v>
      </c>
      <c r="S857" s="437">
        <v>0</v>
      </c>
      <c r="T857" s="437">
        <v>0</v>
      </c>
      <c r="U857" s="437">
        <v>0</v>
      </c>
      <c r="V857" s="437" t="e">
        <f>#REF!</f>
        <v>#REF!</v>
      </c>
      <c r="W857" s="241"/>
      <c r="X857" s="241"/>
    </row>
    <row r="858" spans="1:24">
      <c r="A858" s="166"/>
      <c r="B858" s="182" t="s">
        <v>46</v>
      </c>
      <c r="C858" s="177">
        <f>C859</f>
        <v>674133</v>
      </c>
      <c r="D858" s="177">
        <f t="shared" ref="D858:V858" si="99">D859</f>
        <v>0</v>
      </c>
      <c r="E858" s="177">
        <f t="shared" si="99"/>
        <v>0</v>
      </c>
      <c r="F858" s="177">
        <f t="shared" si="99"/>
        <v>0</v>
      </c>
      <c r="G858" s="177">
        <f t="shared" si="99"/>
        <v>0</v>
      </c>
      <c r="H858" s="177">
        <f t="shared" si="99"/>
        <v>0</v>
      </c>
      <c r="I858" s="177">
        <f t="shared" si="99"/>
        <v>0</v>
      </c>
      <c r="J858" s="177">
        <f t="shared" si="99"/>
        <v>0</v>
      </c>
      <c r="K858" s="177">
        <f t="shared" si="99"/>
        <v>0</v>
      </c>
      <c r="L858" s="177">
        <f t="shared" si="99"/>
        <v>0</v>
      </c>
      <c r="M858" s="177">
        <f t="shared" si="99"/>
        <v>0</v>
      </c>
      <c r="N858" s="177">
        <f t="shared" si="99"/>
        <v>0</v>
      </c>
      <c r="O858" s="177">
        <f t="shared" si="99"/>
        <v>0</v>
      </c>
      <c r="P858" s="177">
        <f t="shared" si="99"/>
        <v>0</v>
      </c>
      <c r="Q858" s="177">
        <f t="shared" si="99"/>
        <v>0</v>
      </c>
      <c r="R858" s="177">
        <f t="shared" si="99"/>
        <v>438.6</v>
      </c>
      <c r="S858" s="177">
        <f t="shared" si="99"/>
        <v>674133</v>
      </c>
      <c r="T858" s="177">
        <f t="shared" si="99"/>
        <v>0</v>
      </c>
      <c r="U858" s="177">
        <f t="shared" si="99"/>
        <v>0</v>
      </c>
      <c r="V858" s="177">
        <f t="shared" si="99"/>
        <v>0</v>
      </c>
      <c r="W858" s="241"/>
      <c r="X858" s="241"/>
    </row>
    <row r="859" spans="1:24" ht="30">
      <c r="A859" s="162"/>
      <c r="B859" s="180" t="s">
        <v>102</v>
      </c>
      <c r="C859" s="177">
        <f>C860</f>
        <v>674133</v>
      </c>
      <c r="D859" s="177">
        <f t="shared" ref="D859:U859" si="100">D860</f>
        <v>0</v>
      </c>
      <c r="E859" s="177">
        <f t="shared" si="100"/>
        <v>0</v>
      </c>
      <c r="F859" s="177">
        <f t="shared" si="100"/>
        <v>0</v>
      </c>
      <c r="G859" s="177">
        <f t="shared" si="100"/>
        <v>0</v>
      </c>
      <c r="H859" s="177">
        <f t="shared" si="100"/>
        <v>0</v>
      </c>
      <c r="I859" s="177">
        <f t="shared" si="100"/>
        <v>0</v>
      </c>
      <c r="J859" s="177">
        <f t="shared" si="100"/>
        <v>0</v>
      </c>
      <c r="K859" s="177">
        <f t="shared" si="100"/>
        <v>0</v>
      </c>
      <c r="L859" s="177">
        <f t="shared" si="100"/>
        <v>0</v>
      </c>
      <c r="M859" s="177">
        <f t="shared" si="100"/>
        <v>0</v>
      </c>
      <c r="N859" s="177">
        <f t="shared" si="100"/>
        <v>0</v>
      </c>
      <c r="O859" s="177">
        <f t="shared" si="100"/>
        <v>0</v>
      </c>
      <c r="P859" s="177">
        <f t="shared" si="100"/>
        <v>0</v>
      </c>
      <c r="Q859" s="177">
        <f t="shared" si="100"/>
        <v>0</v>
      </c>
      <c r="R859" s="177">
        <f t="shared" si="100"/>
        <v>438.6</v>
      </c>
      <c r="S859" s="177">
        <f t="shared" si="100"/>
        <v>674133</v>
      </c>
      <c r="T859" s="177">
        <f t="shared" si="100"/>
        <v>0</v>
      </c>
      <c r="U859" s="177">
        <f t="shared" si="100"/>
        <v>0</v>
      </c>
      <c r="V859" s="241"/>
      <c r="W859" s="241"/>
      <c r="X859" s="241"/>
    </row>
    <row r="860" spans="1:24">
      <c r="A860" s="427">
        <v>271</v>
      </c>
      <c r="B860" s="438" t="s">
        <v>484</v>
      </c>
      <c r="C860" s="437">
        <f>'часть 1'!L884</f>
        <v>674133</v>
      </c>
      <c r="D860" s="437">
        <v>0</v>
      </c>
      <c r="E860" s="437">
        <v>0</v>
      </c>
      <c r="F860" s="437">
        <v>0</v>
      </c>
      <c r="G860" s="437">
        <v>0</v>
      </c>
      <c r="H860" s="437">
        <v>0</v>
      </c>
      <c r="I860" s="437">
        <v>0</v>
      </c>
      <c r="J860" s="437">
        <v>0</v>
      </c>
      <c r="K860" s="437">
        <v>0</v>
      </c>
      <c r="L860" s="440">
        <v>0</v>
      </c>
      <c r="M860" s="437">
        <v>0</v>
      </c>
      <c r="N860" s="429">
        <v>0</v>
      </c>
      <c r="O860" s="437">
        <v>0</v>
      </c>
      <c r="P860" s="441">
        <v>0</v>
      </c>
      <c r="Q860" s="437">
        <v>0</v>
      </c>
      <c r="R860" s="437">
        <v>438.6</v>
      </c>
      <c r="S860" s="437">
        <v>674133</v>
      </c>
      <c r="T860" s="440">
        <v>0</v>
      </c>
      <c r="U860" s="442">
        <v>0</v>
      </c>
      <c r="V860" s="241"/>
      <c r="W860" s="241"/>
      <c r="X860" s="241">
        <f>S860/R860</f>
        <v>1537.0109439124485</v>
      </c>
    </row>
    <row r="861" spans="1:24">
      <c r="A861" s="427"/>
      <c r="B861" s="438"/>
      <c r="C861" s="437"/>
      <c r="D861" s="437"/>
      <c r="E861" s="437"/>
      <c r="F861" s="437"/>
      <c r="G861" s="437"/>
      <c r="H861" s="437"/>
      <c r="I861" s="437"/>
      <c r="J861" s="437"/>
      <c r="K861" s="437"/>
      <c r="L861" s="440"/>
      <c r="M861" s="437"/>
      <c r="N861" s="437"/>
      <c r="O861" s="437"/>
      <c r="P861" s="441"/>
      <c r="Q861" s="437"/>
      <c r="R861" s="441"/>
      <c r="S861" s="437"/>
      <c r="T861" s="440"/>
      <c r="U861" s="442"/>
      <c r="V861" s="241"/>
      <c r="W861" s="241"/>
      <c r="X861" s="241"/>
    </row>
    <row r="862" spans="1:24" s="14" customFormat="1" ht="24" customHeight="1">
      <c r="A862" s="166"/>
      <c r="B862" s="182" t="s">
        <v>47</v>
      </c>
      <c r="C862" s="177">
        <f>C863</f>
        <v>1786109</v>
      </c>
      <c r="D862" s="177">
        <f t="shared" ref="D862:V862" si="101">D863</f>
        <v>0</v>
      </c>
      <c r="E862" s="177">
        <f t="shared" si="101"/>
        <v>0</v>
      </c>
      <c r="F862" s="177">
        <f t="shared" si="101"/>
        <v>0</v>
      </c>
      <c r="G862" s="177">
        <f t="shared" si="101"/>
        <v>0</v>
      </c>
      <c r="H862" s="177">
        <f t="shared" si="101"/>
        <v>0</v>
      </c>
      <c r="I862" s="177">
        <f t="shared" si="101"/>
        <v>0</v>
      </c>
      <c r="J862" s="177">
        <f t="shared" si="101"/>
        <v>0</v>
      </c>
      <c r="K862" s="177">
        <f t="shared" si="101"/>
        <v>0</v>
      </c>
      <c r="L862" s="177">
        <f t="shared" si="101"/>
        <v>0</v>
      </c>
      <c r="M862" s="177">
        <f t="shared" si="101"/>
        <v>0</v>
      </c>
      <c r="N862" s="177">
        <f t="shared" si="101"/>
        <v>560</v>
      </c>
      <c r="O862" s="177">
        <f t="shared" si="101"/>
        <v>1786109</v>
      </c>
      <c r="P862" s="177">
        <f t="shared" si="101"/>
        <v>0</v>
      </c>
      <c r="Q862" s="177">
        <f t="shared" si="101"/>
        <v>0</v>
      </c>
      <c r="R862" s="177">
        <f t="shared" si="101"/>
        <v>0</v>
      </c>
      <c r="S862" s="177">
        <f t="shared" si="101"/>
        <v>0</v>
      </c>
      <c r="T862" s="177">
        <f t="shared" si="101"/>
        <v>0</v>
      </c>
      <c r="U862" s="177">
        <f t="shared" si="101"/>
        <v>0</v>
      </c>
      <c r="V862" s="177">
        <f t="shared" si="101"/>
        <v>0</v>
      </c>
      <c r="W862" s="241"/>
      <c r="X862" s="241"/>
    </row>
    <row r="863" spans="1:24" ht="30">
      <c r="A863" s="427"/>
      <c r="B863" s="438" t="s">
        <v>103</v>
      </c>
      <c r="C863" s="437">
        <f>C864</f>
        <v>1786109</v>
      </c>
      <c r="D863" s="437">
        <f t="shared" ref="D863:U863" si="102">D864</f>
        <v>0</v>
      </c>
      <c r="E863" s="437">
        <f t="shared" si="102"/>
        <v>0</v>
      </c>
      <c r="F863" s="437">
        <f t="shared" si="102"/>
        <v>0</v>
      </c>
      <c r="G863" s="437">
        <f t="shared" si="102"/>
        <v>0</v>
      </c>
      <c r="H863" s="437">
        <f t="shared" si="102"/>
        <v>0</v>
      </c>
      <c r="I863" s="437">
        <f t="shared" si="102"/>
        <v>0</v>
      </c>
      <c r="J863" s="437">
        <f t="shared" si="102"/>
        <v>0</v>
      </c>
      <c r="K863" s="437">
        <f t="shared" si="102"/>
        <v>0</v>
      </c>
      <c r="L863" s="437">
        <f t="shared" si="102"/>
        <v>0</v>
      </c>
      <c r="M863" s="437">
        <f t="shared" si="102"/>
        <v>0</v>
      </c>
      <c r="N863" s="437">
        <f t="shared" si="102"/>
        <v>560</v>
      </c>
      <c r="O863" s="437">
        <f t="shared" si="102"/>
        <v>1786109</v>
      </c>
      <c r="P863" s="437">
        <f t="shared" si="102"/>
        <v>0</v>
      </c>
      <c r="Q863" s="437">
        <f t="shared" si="102"/>
        <v>0</v>
      </c>
      <c r="R863" s="437">
        <f t="shared" si="102"/>
        <v>0</v>
      </c>
      <c r="S863" s="437">
        <f t="shared" si="102"/>
        <v>0</v>
      </c>
      <c r="T863" s="437">
        <f t="shared" si="102"/>
        <v>0</v>
      </c>
      <c r="U863" s="437">
        <f t="shared" si="102"/>
        <v>0</v>
      </c>
      <c r="V863" s="241"/>
      <c r="W863" s="241"/>
      <c r="X863" s="241"/>
    </row>
    <row r="864" spans="1:24" ht="22.9" customHeight="1">
      <c r="A864" s="427">
        <v>273</v>
      </c>
      <c r="B864" s="438" t="s">
        <v>878</v>
      </c>
      <c r="C864" s="437">
        <f>'часть 1'!L888</f>
        <v>1786109</v>
      </c>
      <c r="D864" s="437">
        <v>0</v>
      </c>
      <c r="E864" s="437">
        <v>0</v>
      </c>
      <c r="F864" s="437">
        <v>0</v>
      </c>
      <c r="G864" s="437">
        <v>0</v>
      </c>
      <c r="H864" s="437">
        <v>0</v>
      </c>
      <c r="I864" s="437">
        <v>0</v>
      </c>
      <c r="J864" s="437">
        <v>0</v>
      </c>
      <c r="K864" s="437">
        <v>0</v>
      </c>
      <c r="L864" s="440">
        <v>0</v>
      </c>
      <c r="M864" s="437">
        <v>0</v>
      </c>
      <c r="N864" s="437">
        <v>560</v>
      </c>
      <c r="O864" s="437">
        <v>1786109</v>
      </c>
      <c r="P864" s="441">
        <v>0</v>
      </c>
      <c r="Q864" s="437">
        <v>0</v>
      </c>
      <c r="R864" s="441">
        <v>0</v>
      </c>
      <c r="S864" s="437">
        <v>0</v>
      </c>
      <c r="T864" s="440">
        <v>0</v>
      </c>
      <c r="U864" s="442">
        <v>0</v>
      </c>
      <c r="V864" s="241"/>
      <c r="W864" s="241">
        <f>O864/N864</f>
        <v>3189.480357142857</v>
      </c>
      <c r="X864" s="241"/>
    </row>
    <row r="865" spans="1:27" s="72" customFormat="1">
      <c r="A865" s="166"/>
      <c r="B865" s="182" t="s">
        <v>48</v>
      </c>
      <c r="C865" s="177">
        <v>3947863</v>
      </c>
      <c r="D865" s="177"/>
      <c r="E865" s="177"/>
      <c r="F865" s="177"/>
      <c r="G865" s="177"/>
      <c r="H865" s="177"/>
      <c r="I865" s="177"/>
      <c r="J865" s="177"/>
      <c r="K865" s="177">
        <v>163315</v>
      </c>
      <c r="L865" s="178">
        <v>0</v>
      </c>
      <c r="M865" s="177">
        <v>0</v>
      </c>
      <c r="N865" s="177">
        <v>1314.93</v>
      </c>
      <c r="O865" s="177">
        <v>2673179</v>
      </c>
      <c r="P865" s="179">
        <v>0</v>
      </c>
      <c r="Q865" s="177">
        <v>0</v>
      </c>
      <c r="R865" s="177">
        <v>759.4</v>
      </c>
      <c r="S865" s="177">
        <v>1111369</v>
      </c>
      <c r="T865" s="178">
        <v>0</v>
      </c>
      <c r="U865" s="248">
        <v>0</v>
      </c>
      <c r="V865" s="241"/>
      <c r="W865" s="241"/>
      <c r="X865" s="241"/>
    </row>
    <row r="866" spans="1:27" ht="30">
      <c r="A866" s="427"/>
      <c r="B866" s="438" t="s">
        <v>107</v>
      </c>
      <c r="C866" s="437">
        <f>C867+C868</f>
        <v>2303204</v>
      </c>
      <c r="D866" s="437">
        <f t="shared" ref="D866:V866" si="103">D867+D868</f>
        <v>730832</v>
      </c>
      <c r="E866" s="437">
        <f t="shared" si="103"/>
        <v>0</v>
      </c>
      <c r="F866" s="437">
        <f t="shared" si="103"/>
        <v>730832</v>
      </c>
      <c r="G866" s="437">
        <f t="shared" si="103"/>
        <v>0</v>
      </c>
      <c r="H866" s="437">
        <f t="shared" si="103"/>
        <v>0</v>
      </c>
      <c r="I866" s="437">
        <f t="shared" si="103"/>
        <v>0</v>
      </c>
      <c r="J866" s="437">
        <f t="shared" si="103"/>
        <v>0</v>
      </c>
      <c r="K866" s="437">
        <f t="shared" si="103"/>
        <v>0</v>
      </c>
      <c r="L866" s="437">
        <f t="shared" si="103"/>
        <v>0</v>
      </c>
      <c r="M866" s="437">
        <f t="shared" si="103"/>
        <v>0</v>
      </c>
      <c r="N866" s="437">
        <f t="shared" si="103"/>
        <v>492.1</v>
      </c>
      <c r="O866" s="437">
        <f t="shared" si="103"/>
        <v>1572372</v>
      </c>
      <c r="P866" s="437">
        <f t="shared" si="103"/>
        <v>0</v>
      </c>
      <c r="Q866" s="437">
        <f t="shared" si="103"/>
        <v>0</v>
      </c>
      <c r="R866" s="437">
        <f t="shared" si="103"/>
        <v>0</v>
      </c>
      <c r="S866" s="437">
        <f t="shared" si="103"/>
        <v>0</v>
      </c>
      <c r="T866" s="437">
        <f t="shared" si="103"/>
        <v>0</v>
      </c>
      <c r="U866" s="437">
        <f t="shared" si="103"/>
        <v>0</v>
      </c>
      <c r="V866" s="437">
        <f t="shared" si="103"/>
        <v>0</v>
      </c>
      <c r="W866" s="241"/>
      <c r="X866" s="241"/>
    </row>
    <row r="867" spans="1:27">
      <c r="A867" s="427">
        <v>277</v>
      </c>
      <c r="B867" s="438" t="s">
        <v>772</v>
      </c>
      <c r="C867" s="437">
        <f>'часть 1'!L891</f>
        <v>1572372</v>
      </c>
      <c r="D867" s="437">
        <f>E867+F867+G867+H867+I867+J867+K867</f>
        <v>0</v>
      </c>
      <c r="E867" s="437">
        <v>0</v>
      </c>
      <c r="F867" s="437">
        <v>0</v>
      </c>
      <c r="G867" s="437">
        <v>0</v>
      </c>
      <c r="H867" s="437">
        <v>0</v>
      </c>
      <c r="I867" s="437">
        <v>0</v>
      </c>
      <c r="J867" s="437">
        <v>0</v>
      </c>
      <c r="K867" s="448">
        <v>0</v>
      </c>
      <c r="L867" s="435">
        <v>0</v>
      </c>
      <c r="M867" s="448">
        <v>0</v>
      </c>
      <c r="N867" s="448">
        <v>492.1</v>
      </c>
      <c r="O867" s="445">
        <v>1572372</v>
      </c>
      <c r="P867" s="501">
        <v>0</v>
      </c>
      <c r="Q867" s="448">
        <v>0</v>
      </c>
      <c r="R867" s="448">
        <v>0</v>
      </c>
      <c r="S867" s="448">
        <v>0</v>
      </c>
      <c r="T867" s="435">
        <v>0</v>
      </c>
      <c r="U867" s="436">
        <v>0</v>
      </c>
      <c r="V867" s="241"/>
      <c r="W867" s="241">
        <f>O867/N867</f>
        <v>3195.2286120707172</v>
      </c>
      <c r="X867" s="241"/>
      <c r="Y867" s="20"/>
      <c r="Z867" s="20"/>
    </row>
    <row r="868" spans="1:27">
      <c r="A868" s="427">
        <v>278</v>
      </c>
      <c r="B868" s="438" t="s">
        <v>773</v>
      </c>
      <c r="C868" s="437">
        <f>'часть 1'!L892</f>
        <v>730832</v>
      </c>
      <c r="D868" s="437">
        <f>E868+F868+G868+H868+I868+J868+K868</f>
        <v>730832</v>
      </c>
      <c r="E868" s="437">
        <v>0</v>
      </c>
      <c r="F868" s="437">
        <v>730832</v>
      </c>
      <c r="G868" s="437">
        <v>0</v>
      </c>
      <c r="H868" s="437">
        <v>0</v>
      </c>
      <c r="I868" s="437">
        <v>0</v>
      </c>
      <c r="J868" s="437">
        <v>0</v>
      </c>
      <c r="K868" s="448">
        <v>0</v>
      </c>
      <c r="L868" s="440">
        <v>0</v>
      </c>
      <c r="M868" s="437">
        <v>0</v>
      </c>
      <c r="N868" s="448">
        <v>0</v>
      </c>
      <c r="O868" s="445">
        <v>0</v>
      </c>
      <c r="P868" s="441">
        <v>0</v>
      </c>
      <c r="Q868" s="437">
        <v>0</v>
      </c>
      <c r="R868" s="448">
        <v>0</v>
      </c>
      <c r="S868" s="448">
        <v>0</v>
      </c>
      <c r="T868" s="440">
        <v>0</v>
      </c>
      <c r="U868" s="442">
        <v>0</v>
      </c>
      <c r="V868" s="241"/>
      <c r="W868" s="241"/>
      <c r="X868" s="241"/>
      <c r="Y868" s="20"/>
      <c r="Z868" s="20"/>
      <c r="AA868" s="1">
        <f>F868/'часть 1'!I892</f>
        <v>1001.5513224612854</v>
      </c>
    </row>
    <row r="869" spans="1:27" ht="30">
      <c r="A869" s="166"/>
      <c r="B869" s="180" t="s">
        <v>104</v>
      </c>
      <c r="C869" s="177">
        <v>553839</v>
      </c>
      <c r="D869" s="177"/>
      <c r="E869" s="177"/>
      <c r="F869" s="177"/>
      <c r="G869" s="177"/>
      <c r="H869" s="177"/>
      <c r="I869" s="177"/>
      <c r="J869" s="177"/>
      <c r="K869" s="177">
        <v>0</v>
      </c>
      <c r="L869" s="178">
        <v>0</v>
      </c>
      <c r="M869" s="177">
        <v>0</v>
      </c>
      <c r="N869" s="177">
        <v>270.93</v>
      </c>
      <c r="O869" s="177">
        <v>553839</v>
      </c>
      <c r="P869" s="179">
        <v>0</v>
      </c>
      <c r="Q869" s="177">
        <v>0</v>
      </c>
      <c r="R869" s="179">
        <v>0</v>
      </c>
      <c r="S869" s="177">
        <v>0</v>
      </c>
      <c r="T869" s="178">
        <v>0</v>
      </c>
      <c r="U869" s="248">
        <v>0</v>
      </c>
      <c r="V869" s="241"/>
      <c r="W869" s="241"/>
      <c r="X869" s="241"/>
    </row>
    <row r="870" spans="1:27" ht="30">
      <c r="A870" s="166">
        <v>280</v>
      </c>
      <c r="B870" s="180" t="s">
        <v>452</v>
      </c>
      <c r="C870" s="177">
        <v>553839</v>
      </c>
      <c r="D870" s="177"/>
      <c r="E870" s="177"/>
      <c r="F870" s="177"/>
      <c r="G870" s="177"/>
      <c r="H870" s="177"/>
      <c r="I870" s="177"/>
      <c r="J870" s="177"/>
      <c r="K870" s="177">
        <v>0</v>
      </c>
      <c r="L870" s="178">
        <v>0</v>
      </c>
      <c r="M870" s="177">
        <v>0</v>
      </c>
      <c r="N870" s="167">
        <v>270.93</v>
      </c>
      <c r="O870" s="177">
        <v>553839</v>
      </c>
      <c r="P870" s="179">
        <v>0</v>
      </c>
      <c r="Q870" s="177">
        <v>0</v>
      </c>
      <c r="R870" s="179">
        <v>0</v>
      </c>
      <c r="S870" s="177">
        <v>0</v>
      </c>
      <c r="T870" s="178">
        <v>0</v>
      </c>
      <c r="U870" s="248">
        <v>0</v>
      </c>
      <c r="V870" s="241"/>
      <c r="W870" s="241"/>
      <c r="X870" s="241"/>
    </row>
    <row r="871" spans="1:27">
      <c r="A871" s="166"/>
      <c r="B871" s="182" t="s">
        <v>49</v>
      </c>
      <c r="C871" s="177">
        <v>8949722</v>
      </c>
      <c r="D871" s="177"/>
      <c r="E871" s="177"/>
      <c r="F871" s="177"/>
      <c r="G871" s="177"/>
      <c r="H871" s="177"/>
      <c r="I871" s="177"/>
      <c r="J871" s="177"/>
      <c r="K871" s="177">
        <v>0</v>
      </c>
      <c r="L871" s="178">
        <v>0</v>
      </c>
      <c r="M871" s="177">
        <v>0</v>
      </c>
      <c r="N871" s="177">
        <v>3313.5</v>
      </c>
      <c r="O871" s="177">
        <v>6652861</v>
      </c>
      <c r="P871" s="179">
        <v>0</v>
      </c>
      <c r="Q871" s="177">
        <v>0</v>
      </c>
      <c r="R871" s="177">
        <v>1589</v>
      </c>
      <c r="S871" s="177">
        <v>2296861</v>
      </c>
      <c r="T871" s="178">
        <v>0</v>
      </c>
      <c r="U871" s="248">
        <v>0</v>
      </c>
      <c r="V871" s="241"/>
      <c r="W871" s="241"/>
      <c r="X871" s="241"/>
    </row>
    <row r="872" spans="1:27" ht="30">
      <c r="A872" s="166"/>
      <c r="B872" s="180" t="s">
        <v>105</v>
      </c>
      <c r="C872" s="177">
        <f>C873</f>
        <v>1753559</v>
      </c>
      <c r="D872" s="177">
        <f t="shared" ref="D872:U872" si="104">D873</f>
        <v>0</v>
      </c>
      <c r="E872" s="177">
        <f t="shared" si="104"/>
        <v>0</v>
      </c>
      <c r="F872" s="177">
        <f t="shared" si="104"/>
        <v>0</v>
      </c>
      <c r="G872" s="177">
        <f t="shared" si="104"/>
        <v>0</v>
      </c>
      <c r="H872" s="177">
        <f t="shared" si="104"/>
        <v>0</v>
      </c>
      <c r="I872" s="177">
        <f t="shared" si="104"/>
        <v>0</v>
      </c>
      <c r="J872" s="177">
        <f t="shared" si="104"/>
        <v>0</v>
      </c>
      <c r="K872" s="177">
        <f t="shared" si="104"/>
        <v>0</v>
      </c>
      <c r="L872" s="177">
        <f t="shared" si="104"/>
        <v>0</v>
      </c>
      <c r="M872" s="177">
        <f t="shared" si="104"/>
        <v>0</v>
      </c>
      <c r="N872" s="177">
        <f t="shared" si="104"/>
        <v>549.20000000000005</v>
      </c>
      <c r="O872" s="177">
        <f t="shared" si="104"/>
        <v>1753559</v>
      </c>
      <c r="P872" s="177">
        <f t="shared" si="104"/>
        <v>0</v>
      </c>
      <c r="Q872" s="177">
        <f t="shared" si="104"/>
        <v>0</v>
      </c>
      <c r="R872" s="177">
        <f t="shared" si="104"/>
        <v>0</v>
      </c>
      <c r="S872" s="177">
        <f t="shared" si="104"/>
        <v>0</v>
      </c>
      <c r="T872" s="177">
        <f t="shared" si="104"/>
        <v>0</v>
      </c>
      <c r="U872" s="177">
        <f t="shared" si="104"/>
        <v>0</v>
      </c>
      <c r="V872" s="241"/>
      <c r="W872" s="241"/>
      <c r="X872" s="241"/>
    </row>
    <row r="873" spans="1:27" s="14" customFormat="1">
      <c r="A873" s="427">
        <v>281</v>
      </c>
      <c r="B873" s="439" t="s">
        <v>482</v>
      </c>
      <c r="C873" s="437">
        <v>1753559</v>
      </c>
      <c r="D873" s="437">
        <v>0</v>
      </c>
      <c r="E873" s="437">
        <v>0</v>
      </c>
      <c r="F873" s="437">
        <v>0</v>
      </c>
      <c r="G873" s="437">
        <v>0</v>
      </c>
      <c r="H873" s="437">
        <v>0</v>
      </c>
      <c r="I873" s="437">
        <v>0</v>
      </c>
      <c r="J873" s="437">
        <v>0</v>
      </c>
      <c r="K873" s="437">
        <v>0</v>
      </c>
      <c r="L873" s="440">
        <v>0</v>
      </c>
      <c r="M873" s="437">
        <v>0</v>
      </c>
      <c r="N873" s="437">
        <v>549.20000000000005</v>
      </c>
      <c r="O873" s="437">
        <v>1753559</v>
      </c>
      <c r="P873" s="441">
        <v>0</v>
      </c>
      <c r="Q873" s="437">
        <v>0</v>
      </c>
      <c r="R873" s="441">
        <v>0</v>
      </c>
      <c r="S873" s="437">
        <v>0</v>
      </c>
      <c r="T873" s="440">
        <v>0</v>
      </c>
      <c r="U873" s="442">
        <v>0</v>
      </c>
      <c r="V873" s="241"/>
      <c r="W873" s="241">
        <f>O873/N873</f>
        <v>3192.9333576110703</v>
      </c>
      <c r="X873" s="241"/>
    </row>
    <row r="874" spans="1:27" s="14" customFormat="1">
      <c r="A874" s="427"/>
      <c r="B874" s="439"/>
      <c r="C874" s="437"/>
      <c r="D874" s="437"/>
      <c r="E874" s="437"/>
      <c r="F874" s="437"/>
      <c r="G874" s="437"/>
      <c r="H874" s="437"/>
      <c r="I874" s="437"/>
      <c r="J874" s="437"/>
      <c r="K874" s="437"/>
      <c r="L874" s="440"/>
      <c r="M874" s="437"/>
      <c r="N874" s="437"/>
      <c r="O874" s="437"/>
      <c r="P874" s="441"/>
      <c r="Q874" s="437"/>
      <c r="R874" s="441"/>
      <c r="S874" s="437"/>
      <c r="T874" s="440"/>
      <c r="U874" s="442"/>
      <c r="V874" s="241"/>
      <c r="W874" s="241"/>
      <c r="X874" s="241"/>
    </row>
    <row r="875" spans="1:27" s="14" customFormat="1" ht="30">
      <c r="A875" s="166"/>
      <c r="B875" s="180" t="s">
        <v>188</v>
      </c>
      <c r="C875" s="177">
        <v>1905804</v>
      </c>
      <c r="D875" s="177"/>
      <c r="E875" s="177"/>
      <c r="F875" s="177"/>
      <c r="G875" s="177"/>
      <c r="H875" s="177"/>
      <c r="I875" s="177"/>
      <c r="J875" s="177"/>
      <c r="K875" s="177">
        <v>0</v>
      </c>
      <c r="L875" s="178">
        <v>0</v>
      </c>
      <c r="M875" s="177">
        <v>0</v>
      </c>
      <c r="N875" s="177">
        <v>968.7</v>
      </c>
      <c r="O875" s="177">
        <v>1905804</v>
      </c>
      <c r="P875" s="179">
        <v>0</v>
      </c>
      <c r="Q875" s="177">
        <v>0</v>
      </c>
      <c r="R875" s="179">
        <v>0</v>
      </c>
      <c r="S875" s="177">
        <v>0</v>
      </c>
      <c r="T875" s="178">
        <v>0</v>
      </c>
      <c r="U875" s="248">
        <v>0</v>
      </c>
      <c r="V875" s="241"/>
      <c r="W875" s="241"/>
      <c r="X875" s="241"/>
    </row>
    <row r="876" spans="1:27" s="14" customFormat="1">
      <c r="A876" s="166">
        <v>283</v>
      </c>
      <c r="B876" s="180" t="s">
        <v>410</v>
      </c>
      <c r="C876" s="177">
        <v>958459</v>
      </c>
      <c r="D876" s="177"/>
      <c r="E876" s="177"/>
      <c r="F876" s="177"/>
      <c r="G876" s="177"/>
      <c r="H876" s="177"/>
      <c r="I876" s="177"/>
      <c r="J876" s="177"/>
      <c r="K876" s="177">
        <v>0</v>
      </c>
      <c r="L876" s="178">
        <v>0</v>
      </c>
      <c r="M876" s="177">
        <v>0</v>
      </c>
      <c r="N876" s="177">
        <v>487.2</v>
      </c>
      <c r="O876" s="177">
        <v>958459</v>
      </c>
      <c r="P876" s="179">
        <v>0</v>
      </c>
      <c r="Q876" s="177">
        <v>0</v>
      </c>
      <c r="R876" s="179">
        <v>0</v>
      </c>
      <c r="S876" s="177">
        <v>0</v>
      </c>
      <c r="T876" s="178">
        <v>0</v>
      </c>
      <c r="U876" s="248">
        <v>0</v>
      </c>
      <c r="V876" s="241"/>
      <c r="W876" s="241"/>
      <c r="X876" s="241"/>
    </row>
    <row r="877" spans="1:27" s="14" customFormat="1">
      <c r="A877" s="166">
        <v>284</v>
      </c>
      <c r="B877" s="180" t="s">
        <v>411</v>
      </c>
      <c r="C877" s="177">
        <v>947345</v>
      </c>
      <c r="D877" s="177"/>
      <c r="E877" s="177"/>
      <c r="F877" s="177"/>
      <c r="G877" s="177"/>
      <c r="H877" s="177"/>
      <c r="I877" s="177"/>
      <c r="J877" s="177"/>
      <c r="K877" s="177">
        <v>0</v>
      </c>
      <c r="L877" s="178">
        <v>0</v>
      </c>
      <c r="M877" s="177">
        <v>0</v>
      </c>
      <c r="N877" s="177">
        <v>481.5</v>
      </c>
      <c r="O877" s="177">
        <v>947345</v>
      </c>
      <c r="P877" s="179">
        <v>0</v>
      </c>
      <c r="Q877" s="177">
        <v>0</v>
      </c>
      <c r="R877" s="179">
        <v>0</v>
      </c>
      <c r="S877" s="177">
        <v>0</v>
      </c>
      <c r="T877" s="178">
        <v>0</v>
      </c>
      <c r="U877" s="248">
        <v>0</v>
      </c>
      <c r="V877" s="241"/>
      <c r="W877" s="241"/>
      <c r="X877" s="241"/>
    </row>
    <row r="878" spans="1:27" s="14" customFormat="1" ht="30">
      <c r="A878" s="166"/>
      <c r="B878" s="180" t="s">
        <v>189</v>
      </c>
      <c r="C878" s="177">
        <v>820660</v>
      </c>
      <c r="D878" s="177"/>
      <c r="E878" s="177"/>
      <c r="F878" s="177"/>
      <c r="G878" s="177"/>
      <c r="H878" s="177"/>
      <c r="I878" s="177"/>
      <c r="J878" s="177"/>
      <c r="K878" s="177">
        <v>0</v>
      </c>
      <c r="L878" s="178">
        <v>0</v>
      </c>
      <c r="M878" s="177">
        <v>0</v>
      </c>
      <c r="N878" s="177">
        <v>406.8</v>
      </c>
      <c r="O878" s="177">
        <v>820660</v>
      </c>
      <c r="P878" s="179">
        <v>0</v>
      </c>
      <c r="Q878" s="177">
        <v>0</v>
      </c>
      <c r="R878" s="179">
        <v>0</v>
      </c>
      <c r="S878" s="177">
        <v>0</v>
      </c>
      <c r="T878" s="178">
        <v>0</v>
      </c>
      <c r="U878" s="248">
        <v>0</v>
      </c>
      <c r="V878" s="241"/>
      <c r="W878" s="241"/>
      <c r="X878" s="241"/>
    </row>
    <row r="879" spans="1:27" s="14" customFormat="1">
      <c r="A879" s="166">
        <v>285</v>
      </c>
      <c r="B879" s="180" t="s">
        <v>412</v>
      </c>
      <c r="C879" s="177">
        <v>820660</v>
      </c>
      <c r="D879" s="177"/>
      <c r="E879" s="177"/>
      <c r="F879" s="177"/>
      <c r="G879" s="177"/>
      <c r="H879" s="177"/>
      <c r="I879" s="177"/>
      <c r="J879" s="177"/>
      <c r="K879" s="177">
        <v>0</v>
      </c>
      <c r="L879" s="178">
        <v>0</v>
      </c>
      <c r="M879" s="177">
        <v>0</v>
      </c>
      <c r="N879" s="177">
        <v>406.8</v>
      </c>
      <c r="O879" s="177">
        <v>820660</v>
      </c>
      <c r="P879" s="179">
        <v>0</v>
      </c>
      <c r="Q879" s="177">
        <v>0</v>
      </c>
      <c r="R879" s="179">
        <v>0</v>
      </c>
      <c r="S879" s="177">
        <v>0</v>
      </c>
      <c r="T879" s="178">
        <v>0</v>
      </c>
      <c r="U879" s="248">
        <v>0</v>
      </c>
      <c r="V879" s="241"/>
      <c r="W879" s="241"/>
      <c r="X879" s="241"/>
    </row>
    <row r="880" spans="1:27" s="14" customFormat="1" ht="30">
      <c r="A880" s="166"/>
      <c r="B880" s="180" t="s">
        <v>131</v>
      </c>
      <c r="C880" s="177">
        <f>C881</f>
        <v>1805899</v>
      </c>
      <c r="D880" s="177">
        <f t="shared" ref="D880:U880" si="105">D881</f>
        <v>0</v>
      </c>
      <c r="E880" s="177">
        <f t="shared" si="105"/>
        <v>0</v>
      </c>
      <c r="F880" s="177">
        <f t="shared" si="105"/>
        <v>0</v>
      </c>
      <c r="G880" s="177">
        <f t="shared" si="105"/>
        <v>0</v>
      </c>
      <c r="H880" s="177">
        <f t="shared" si="105"/>
        <v>0</v>
      </c>
      <c r="I880" s="177">
        <f t="shared" si="105"/>
        <v>0</v>
      </c>
      <c r="J880" s="177">
        <f t="shared" si="105"/>
        <v>0</v>
      </c>
      <c r="K880" s="177">
        <f t="shared" si="105"/>
        <v>0</v>
      </c>
      <c r="L880" s="177">
        <f t="shared" si="105"/>
        <v>0</v>
      </c>
      <c r="M880" s="177">
        <f t="shared" si="105"/>
        <v>0</v>
      </c>
      <c r="N880" s="177">
        <f t="shared" si="105"/>
        <v>0</v>
      </c>
      <c r="O880" s="177">
        <f t="shared" si="105"/>
        <v>0</v>
      </c>
      <c r="P880" s="177">
        <f t="shared" si="105"/>
        <v>0</v>
      </c>
      <c r="Q880" s="177">
        <f t="shared" si="105"/>
        <v>0</v>
      </c>
      <c r="R880" s="177">
        <f t="shared" si="105"/>
        <v>1453</v>
      </c>
      <c r="S880" s="177">
        <f t="shared" si="105"/>
        <v>1805899</v>
      </c>
      <c r="T880" s="177">
        <f t="shared" si="105"/>
        <v>0</v>
      </c>
      <c r="U880" s="177">
        <f t="shared" si="105"/>
        <v>0</v>
      </c>
      <c r="V880" s="241"/>
      <c r="W880" s="241"/>
      <c r="X880" s="241"/>
    </row>
    <row r="881" spans="1:24" s="14" customFormat="1">
      <c r="A881" s="166">
        <v>286</v>
      </c>
      <c r="B881" s="180" t="s">
        <v>660</v>
      </c>
      <c r="C881" s="177">
        <v>1805899</v>
      </c>
      <c r="D881" s="177">
        <v>0</v>
      </c>
      <c r="E881" s="177">
        <v>0</v>
      </c>
      <c r="F881" s="177">
        <v>0</v>
      </c>
      <c r="G881" s="177">
        <v>0</v>
      </c>
      <c r="H881" s="177">
        <v>0</v>
      </c>
      <c r="I881" s="177">
        <v>0</v>
      </c>
      <c r="J881" s="177">
        <v>0</v>
      </c>
      <c r="K881" s="177">
        <v>0</v>
      </c>
      <c r="L881" s="178">
        <v>0</v>
      </c>
      <c r="M881" s="177">
        <v>0</v>
      </c>
      <c r="N881" s="199">
        <v>0</v>
      </c>
      <c r="O881" s="177">
        <v>0</v>
      </c>
      <c r="P881" s="179">
        <v>0</v>
      </c>
      <c r="Q881" s="177">
        <v>0</v>
      </c>
      <c r="R881" s="179">
        <v>1453</v>
      </c>
      <c r="S881" s="177">
        <v>1805899</v>
      </c>
      <c r="T881" s="178">
        <v>0</v>
      </c>
      <c r="U881" s="248">
        <v>0</v>
      </c>
      <c r="V881" s="241"/>
      <c r="W881" s="241"/>
      <c r="X881" s="241">
        <f>S881/R881</f>
        <v>1242.8761183757742</v>
      </c>
    </row>
    <row r="882" spans="1:24" s="14" customFormat="1">
      <c r="A882" s="166"/>
      <c r="B882" s="180"/>
      <c r="C882" s="177"/>
      <c r="D882" s="177"/>
      <c r="E882" s="177"/>
      <c r="F882" s="177"/>
      <c r="G882" s="177"/>
      <c r="H882" s="177"/>
      <c r="I882" s="177"/>
      <c r="J882" s="177"/>
      <c r="K882" s="177"/>
      <c r="L882" s="178"/>
      <c r="M882" s="177"/>
      <c r="N882" s="177"/>
      <c r="O882" s="177"/>
      <c r="P882" s="179"/>
      <c r="Q882" s="177"/>
      <c r="R882" s="181"/>
      <c r="S882" s="177"/>
      <c r="T882" s="178"/>
      <c r="U882" s="248"/>
      <c r="V882" s="241"/>
      <c r="W882" s="241"/>
      <c r="X882" s="241"/>
    </row>
    <row r="883" spans="1:24">
      <c r="A883" s="166"/>
      <c r="B883" s="182" t="s">
        <v>50</v>
      </c>
      <c r="C883" s="177">
        <v>13937333</v>
      </c>
      <c r="D883" s="177"/>
      <c r="E883" s="177"/>
      <c r="F883" s="177"/>
      <c r="G883" s="177"/>
      <c r="H883" s="177"/>
      <c r="I883" s="177"/>
      <c r="J883" s="177"/>
      <c r="K883" s="177">
        <v>0</v>
      </c>
      <c r="L883" s="178">
        <v>0</v>
      </c>
      <c r="M883" s="177">
        <v>0</v>
      </c>
      <c r="N883" s="177">
        <v>7009.65</v>
      </c>
      <c r="O883" s="177">
        <v>13937333</v>
      </c>
      <c r="P883" s="179">
        <v>0</v>
      </c>
      <c r="Q883" s="177">
        <v>0</v>
      </c>
      <c r="R883" s="179">
        <v>0</v>
      </c>
      <c r="S883" s="177">
        <v>0</v>
      </c>
      <c r="T883" s="178">
        <v>0</v>
      </c>
      <c r="U883" s="248">
        <v>0</v>
      </c>
      <c r="V883" s="241"/>
      <c r="W883" s="241"/>
      <c r="X883" s="241"/>
    </row>
    <row r="884" spans="1:24" ht="30">
      <c r="A884" s="166"/>
      <c r="B884" s="180" t="s">
        <v>106</v>
      </c>
      <c r="C884" s="177">
        <f>C885+C886+C887+C888+C889+C890</f>
        <v>13535827</v>
      </c>
      <c r="D884" s="177">
        <f t="shared" ref="D884:V884" si="106">D885+D886+D887+D888+D889+D890</f>
        <v>0</v>
      </c>
      <c r="E884" s="177">
        <f t="shared" si="106"/>
        <v>0</v>
      </c>
      <c r="F884" s="177">
        <f t="shared" si="106"/>
        <v>0</v>
      </c>
      <c r="G884" s="177">
        <f t="shared" si="106"/>
        <v>0</v>
      </c>
      <c r="H884" s="177">
        <f t="shared" si="106"/>
        <v>0</v>
      </c>
      <c r="I884" s="177">
        <f t="shared" si="106"/>
        <v>0</v>
      </c>
      <c r="J884" s="177">
        <f t="shared" si="106"/>
        <v>0</v>
      </c>
      <c r="K884" s="177">
        <f t="shared" si="106"/>
        <v>0</v>
      </c>
      <c r="L884" s="177">
        <f t="shared" si="106"/>
        <v>0</v>
      </c>
      <c r="M884" s="177">
        <f t="shared" si="106"/>
        <v>0</v>
      </c>
      <c r="N884" s="177">
        <f t="shared" si="106"/>
        <v>4858.8500000000004</v>
      </c>
      <c r="O884" s="177">
        <f t="shared" si="106"/>
        <v>13535827</v>
      </c>
      <c r="P884" s="177">
        <f t="shared" si="106"/>
        <v>0</v>
      </c>
      <c r="Q884" s="177">
        <f t="shared" si="106"/>
        <v>0</v>
      </c>
      <c r="R884" s="177">
        <f t="shared" si="106"/>
        <v>0</v>
      </c>
      <c r="S884" s="177">
        <f t="shared" si="106"/>
        <v>0</v>
      </c>
      <c r="T884" s="177">
        <f t="shared" si="106"/>
        <v>0</v>
      </c>
      <c r="U884" s="177">
        <f t="shared" si="106"/>
        <v>0</v>
      </c>
      <c r="V884" s="177">
        <f t="shared" si="106"/>
        <v>0</v>
      </c>
      <c r="W884" s="241"/>
      <c r="X884" s="241"/>
    </row>
    <row r="885" spans="1:24" ht="15.75">
      <c r="A885" s="166">
        <v>288</v>
      </c>
      <c r="B885" s="137" t="s">
        <v>843</v>
      </c>
      <c r="C885" s="177">
        <f>'часть 1'!L910</f>
        <v>2331667</v>
      </c>
      <c r="D885" s="177">
        <v>0</v>
      </c>
      <c r="E885" s="177">
        <v>0</v>
      </c>
      <c r="F885" s="177">
        <v>0</v>
      </c>
      <c r="G885" s="177">
        <v>0</v>
      </c>
      <c r="H885" s="177">
        <v>0</v>
      </c>
      <c r="I885" s="177">
        <v>0</v>
      </c>
      <c r="J885" s="177">
        <v>0</v>
      </c>
      <c r="K885" s="177">
        <v>0</v>
      </c>
      <c r="L885" s="178">
        <v>0</v>
      </c>
      <c r="M885" s="177">
        <v>0</v>
      </c>
      <c r="N885" s="200">
        <v>930.25</v>
      </c>
      <c r="O885" s="177">
        <v>2331667</v>
      </c>
      <c r="P885" s="179">
        <v>0</v>
      </c>
      <c r="Q885" s="177">
        <v>0</v>
      </c>
      <c r="R885" s="179">
        <v>0</v>
      </c>
      <c r="S885" s="177">
        <v>0</v>
      </c>
      <c r="T885" s="178">
        <v>0</v>
      </c>
      <c r="U885" s="248">
        <v>0</v>
      </c>
      <c r="V885" s="241"/>
      <c r="W885" s="241">
        <f t="shared" ref="W885:W890" si="107">O885/N885</f>
        <v>2506.4950282182208</v>
      </c>
      <c r="X885" s="241"/>
    </row>
    <row r="886" spans="1:24" ht="15.75">
      <c r="A886" s="166">
        <v>289</v>
      </c>
      <c r="B886" s="137" t="s">
        <v>847</v>
      </c>
      <c r="C886" s="177">
        <f>'часть 1'!L911</f>
        <v>2406324</v>
      </c>
      <c r="D886" s="177">
        <v>0</v>
      </c>
      <c r="E886" s="177">
        <v>0</v>
      </c>
      <c r="F886" s="177">
        <v>0</v>
      </c>
      <c r="G886" s="177">
        <v>0</v>
      </c>
      <c r="H886" s="177">
        <v>0</v>
      </c>
      <c r="I886" s="177">
        <v>0</v>
      </c>
      <c r="J886" s="177">
        <v>0</v>
      </c>
      <c r="K886" s="177">
        <v>0</v>
      </c>
      <c r="L886" s="178">
        <v>0</v>
      </c>
      <c r="M886" s="177">
        <v>0</v>
      </c>
      <c r="N886" s="200">
        <v>757</v>
      </c>
      <c r="O886" s="177">
        <v>2406324</v>
      </c>
      <c r="P886" s="179">
        <v>0</v>
      </c>
      <c r="Q886" s="177">
        <v>0</v>
      </c>
      <c r="R886" s="179">
        <v>0</v>
      </c>
      <c r="S886" s="177">
        <v>0</v>
      </c>
      <c r="T886" s="178">
        <v>0</v>
      </c>
      <c r="U886" s="248">
        <v>0</v>
      </c>
      <c r="V886" s="241"/>
      <c r="W886" s="241">
        <f t="shared" si="107"/>
        <v>3178.7635402906208</v>
      </c>
      <c r="X886" s="241"/>
    </row>
    <row r="887" spans="1:24" ht="15.75">
      <c r="A887" s="166">
        <v>290</v>
      </c>
      <c r="B887" s="137" t="s">
        <v>848</v>
      </c>
      <c r="C887" s="177">
        <f>'часть 1'!L912</f>
        <v>1559913</v>
      </c>
      <c r="D887" s="177">
        <v>0</v>
      </c>
      <c r="E887" s="177">
        <v>0</v>
      </c>
      <c r="F887" s="177">
        <v>0</v>
      </c>
      <c r="G887" s="177">
        <v>0</v>
      </c>
      <c r="H887" s="177">
        <v>0</v>
      </c>
      <c r="I887" s="177">
        <v>0</v>
      </c>
      <c r="J887" s="177">
        <v>0</v>
      </c>
      <c r="K887" s="177">
        <v>0</v>
      </c>
      <c r="L887" s="178">
        <v>0</v>
      </c>
      <c r="M887" s="177">
        <v>0</v>
      </c>
      <c r="N887" s="200">
        <v>488</v>
      </c>
      <c r="O887" s="177">
        <v>1559913</v>
      </c>
      <c r="P887" s="179">
        <v>0</v>
      </c>
      <c r="Q887" s="177">
        <v>0</v>
      </c>
      <c r="R887" s="179">
        <v>0</v>
      </c>
      <c r="S887" s="177">
        <v>0</v>
      </c>
      <c r="T887" s="178">
        <v>0</v>
      </c>
      <c r="U887" s="248">
        <v>0</v>
      </c>
      <c r="V887" s="241"/>
      <c r="W887" s="241">
        <f t="shared" si="107"/>
        <v>3196.5430327868853</v>
      </c>
      <c r="X887" s="241"/>
    </row>
    <row r="888" spans="1:24" ht="15.75">
      <c r="A888" s="166">
        <v>291</v>
      </c>
      <c r="B888" s="137" t="s">
        <v>849</v>
      </c>
      <c r="C888" s="177">
        <f>'часть 1'!L913</f>
        <v>1511041</v>
      </c>
      <c r="D888" s="177">
        <v>0</v>
      </c>
      <c r="E888" s="177">
        <v>0</v>
      </c>
      <c r="F888" s="177">
        <v>0</v>
      </c>
      <c r="G888" s="177">
        <v>0</v>
      </c>
      <c r="H888" s="177">
        <v>0</v>
      </c>
      <c r="I888" s="177">
        <v>0</v>
      </c>
      <c r="J888" s="177">
        <v>0</v>
      </c>
      <c r="K888" s="177">
        <v>0</v>
      </c>
      <c r="L888" s="178">
        <v>0</v>
      </c>
      <c r="M888" s="177">
        <v>0</v>
      </c>
      <c r="N888" s="200">
        <v>472.6</v>
      </c>
      <c r="O888" s="177">
        <v>1511041</v>
      </c>
      <c r="P888" s="179">
        <v>0</v>
      </c>
      <c r="Q888" s="177">
        <v>0</v>
      </c>
      <c r="R888" s="179">
        <v>0</v>
      </c>
      <c r="S888" s="177">
        <v>0</v>
      </c>
      <c r="T888" s="178">
        <v>0</v>
      </c>
      <c r="U888" s="248">
        <v>0</v>
      </c>
      <c r="V888" s="241"/>
      <c r="W888" s="241">
        <f t="shared" si="107"/>
        <v>3197.2936944561998</v>
      </c>
      <c r="X888" s="241"/>
    </row>
    <row r="889" spans="1:24" ht="15.75">
      <c r="A889" s="166">
        <v>292</v>
      </c>
      <c r="B889" s="137" t="s">
        <v>851</v>
      </c>
      <c r="C889" s="177">
        <f>'часть 1'!L914</f>
        <v>936676</v>
      </c>
      <c r="D889" s="177">
        <v>0</v>
      </c>
      <c r="E889" s="177">
        <v>0</v>
      </c>
      <c r="F889" s="177">
        <v>0</v>
      </c>
      <c r="G889" s="177">
        <v>0</v>
      </c>
      <c r="H889" s="177">
        <v>0</v>
      </c>
      <c r="I889" s="177">
        <v>0</v>
      </c>
      <c r="J889" s="177">
        <v>0</v>
      </c>
      <c r="K889" s="177">
        <v>0</v>
      </c>
      <c r="L889" s="178">
        <v>0</v>
      </c>
      <c r="M889" s="177">
        <v>0</v>
      </c>
      <c r="N889" s="200">
        <v>290</v>
      </c>
      <c r="O889" s="177">
        <v>936676</v>
      </c>
      <c r="P889" s="179">
        <v>0</v>
      </c>
      <c r="Q889" s="177">
        <v>0</v>
      </c>
      <c r="R889" s="179">
        <v>0</v>
      </c>
      <c r="S889" s="177">
        <v>0</v>
      </c>
      <c r="T889" s="178">
        <v>0</v>
      </c>
      <c r="U889" s="248">
        <v>0</v>
      </c>
      <c r="V889" s="241"/>
      <c r="W889" s="241">
        <f t="shared" si="107"/>
        <v>3229.9172413793103</v>
      </c>
      <c r="X889" s="241"/>
    </row>
    <row r="890" spans="1:24" ht="15.75">
      <c r="A890" s="166">
        <v>293</v>
      </c>
      <c r="B890" s="137" t="s">
        <v>844</v>
      </c>
      <c r="C890" s="177">
        <f>'часть 1'!L915</f>
        <v>4790206</v>
      </c>
      <c r="D890" s="177">
        <v>0</v>
      </c>
      <c r="E890" s="177">
        <v>0</v>
      </c>
      <c r="F890" s="177">
        <v>0</v>
      </c>
      <c r="G890" s="177">
        <v>0</v>
      </c>
      <c r="H890" s="177">
        <v>0</v>
      </c>
      <c r="I890" s="177">
        <v>0</v>
      </c>
      <c r="J890" s="177">
        <v>0</v>
      </c>
      <c r="K890" s="177">
        <v>0</v>
      </c>
      <c r="L890" s="178">
        <v>0</v>
      </c>
      <c r="M890" s="177">
        <v>0</v>
      </c>
      <c r="N890" s="200">
        <v>1921</v>
      </c>
      <c r="O890" s="177">
        <v>4790206</v>
      </c>
      <c r="P890" s="179">
        <v>0</v>
      </c>
      <c r="Q890" s="177">
        <v>0</v>
      </c>
      <c r="R890" s="179">
        <v>0</v>
      </c>
      <c r="S890" s="177">
        <v>0</v>
      </c>
      <c r="T890" s="178">
        <v>0</v>
      </c>
      <c r="U890" s="248">
        <v>0</v>
      </c>
      <c r="V890" s="241"/>
      <c r="W890" s="241">
        <f t="shared" si="107"/>
        <v>2493.6002082248829</v>
      </c>
      <c r="X890" s="241"/>
    </row>
    <row r="891" spans="1:24">
      <c r="A891" s="166"/>
      <c r="B891" s="182" t="s">
        <v>51</v>
      </c>
      <c r="C891" s="177">
        <f>'часть 1'!L916</f>
        <v>11085155</v>
      </c>
      <c r="D891" s="177"/>
      <c r="E891" s="177"/>
      <c r="F891" s="177"/>
      <c r="G891" s="177"/>
      <c r="H891" s="177"/>
      <c r="I891" s="177"/>
      <c r="J891" s="177"/>
      <c r="K891" s="177">
        <v>148073</v>
      </c>
      <c r="L891" s="178">
        <v>0</v>
      </c>
      <c r="M891" s="177">
        <v>0</v>
      </c>
      <c r="N891" s="177">
        <v>6258.7000000000007</v>
      </c>
      <c r="O891" s="177">
        <v>12532204</v>
      </c>
      <c r="P891" s="179">
        <v>0</v>
      </c>
      <c r="Q891" s="177">
        <v>0</v>
      </c>
      <c r="R891" s="177">
        <v>440.1</v>
      </c>
      <c r="S891" s="177">
        <v>641555</v>
      </c>
      <c r="T891" s="178">
        <v>0</v>
      </c>
      <c r="U891" s="248">
        <v>0</v>
      </c>
      <c r="V891" s="241"/>
      <c r="W891" s="241"/>
      <c r="X891" s="241"/>
    </row>
    <row r="892" spans="1:24" ht="30">
      <c r="A892" s="166"/>
      <c r="B892" s="180" t="s">
        <v>108</v>
      </c>
      <c r="C892" s="177">
        <f>C893+C894+C895+C896+C897+C898+C899+C900</f>
        <v>11085155</v>
      </c>
      <c r="D892" s="177">
        <f t="shared" ref="D892:U892" si="108">D893+D894+D895+D896+D897+D898+D899+D900</f>
        <v>0</v>
      </c>
      <c r="E892" s="177">
        <f t="shared" si="108"/>
        <v>0</v>
      </c>
      <c r="F892" s="177">
        <f t="shared" si="108"/>
        <v>0</v>
      </c>
      <c r="G892" s="177">
        <f t="shared" si="108"/>
        <v>0</v>
      </c>
      <c r="H892" s="177">
        <f t="shared" si="108"/>
        <v>0</v>
      </c>
      <c r="I892" s="177">
        <f t="shared" si="108"/>
        <v>0</v>
      </c>
      <c r="J892" s="177">
        <f t="shared" si="108"/>
        <v>0</v>
      </c>
      <c r="K892" s="177">
        <f t="shared" si="108"/>
        <v>0</v>
      </c>
      <c r="L892" s="177">
        <f t="shared" si="108"/>
        <v>0</v>
      </c>
      <c r="M892" s="177">
        <f t="shared" si="108"/>
        <v>0</v>
      </c>
      <c r="N892" s="177">
        <f t="shared" si="108"/>
        <v>3775</v>
      </c>
      <c r="O892" s="177">
        <f t="shared" si="108"/>
        <v>11085155</v>
      </c>
      <c r="P892" s="177">
        <f t="shared" si="108"/>
        <v>0</v>
      </c>
      <c r="Q892" s="177">
        <f t="shared" si="108"/>
        <v>0</v>
      </c>
      <c r="R892" s="177">
        <f t="shared" si="108"/>
        <v>0</v>
      </c>
      <c r="S892" s="177">
        <f t="shared" si="108"/>
        <v>0</v>
      </c>
      <c r="T892" s="177">
        <f t="shared" si="108"/>
        <v>0</v>
      </c>
      <c r="U892" s="177">
        <f t="shared" si="108"/>
        <v>0</v>
      </c>
      <c r="V892" s="241"/>
      <c r="W892" s="241"/>
      <c r="X892" s="241"/>
    </row>
    <row r="893" spans="1:24" ht="15.75">
      <c r="A893" s="166">
        <v>298</v>
      </c>
      <c r="B893" s="223" t="s">
        <v>1006</v>
      </c>
      <c r="C893" s="177">
        <f>'часть 1'!L918</f>
        <v>2338689</v>
      </c>
      <c r="D893" s="177">
        <v>0</v>
      </c>
      <c r="E893" s="177">
        <v>0</v>
      </c>
      <c r="F893" s="177">
        <v>0</v>
      </c>
      <c r="G893" s="177">
        <v>0</v>
      </c>
      <c r="H893" s="177">
        <v>0</v>
      </c>
      <c r="I893" s="177">
        <v>0</v>
      </c>
      <c r="J893" s="177">
        <v>0</v>
      </c>
      <c r="K893" s="177">
        <v>0</v>
      </c>
      <c r="L893" s="178">
        <v>0</v>
      </c>
      <c r="M893" s="177">
        <v>0</v>
      </c>
      <c r="N893" s="177">
        <v>944.5</v>
      </c>
      <c r="O893" s="177">
        <f>'часть 1'!L918</f>
        <v>2338689</v>
      </c>
      <c r="P893" s="179">
        <v>0</v>
      </c>
      <c r="Q893" s="177">
        <v>0</v>
      </c>
      <c r="R893" s="179">
        <v>0</v>
      </c>
      <c r="S893" s="177">
        <v>0</v>
      </c>
      <c r="T893" s="178">
        <v>0</v>
      </c>
      <c r="U893" s="248">
        <v>0</v>
      </c>
      <c r="V893" s="241"/>
      <c r="W893" s="241">
        <f>O893/N893</f>
        <v>2476.1132874536793</v>
      </c>
      <c r="X893" s="241"/>
    </row>
    <row r="894" spans="1:24" ht="15.75">
      <c r="A894" s="166">
        <v>299</v>
      </c>
      <c r="B894" s="223" t="s">
        <v>1007</v>
      </c>
      <c r="C894" s="177">
        <f>'часть 1'!L919</f>
        <v>533628</v>
      </c>
      <c r="D894" s="177">
        <v>0</v>
      </c>
      <c r="E894" s="177">
        <v>0</v>
      </c>
      <c r="F894" s="177">
        <v>0</v>
      </c>
      <c r="G894" s="177">
        <v>0</v>
      </c>
      <c r="H894" s="177">
        <v>0</v>
      </c>
      <c r="I894" s="177">
        <v>0</v>
      </c>
      <c r="J894" s="177">
        <v>0</v>
      </c>
      <c r="K894" s="177">
        <v>0</v>
      </c>
      <c r="L894" s="178">
        <v>0</v>
      </c>
      <c r="M894" s="177">
        <v>0</v>
      </c>
      <c r="N894" s="177">
        <v>164.1</v>
      </c>
      <c r="O894" s="177">
        <f>'часть 1'!L919</f>
        <v>533628</v>
      </c>
      <c r="P894" s="179">
        <v>0</v>
      </c>
      <c r="Q894" s="177">
        <v>0</v>
      </c>
      <c r="R894" s="179">
        <v>0</v>
      </c>
      <c r="S894" s="177">
        <v>0</v>
      </c>
      <c r="T894" s="178">
        <v>0</v>
      </c>
      <c r="U894" s="248">
        <v>0</v>
      </c>
      <c r="V894" s="241"/>
      <c r="W894" s="241">
        <f t="shared" ref="W894:W900" si="109">O894/N894</f>
        <v>3251.8464351005487</v>
      </c>
      <c r="X894" s="241"/>
    </row>
    <row r="895" spans="1:24" ht="15.75">
      <c r="A895" s="166">
        <v>300</v>
      </c>
      <c r="B895" s="223" t="s">
        <v>1008</v>
      </c>
      <c r="C895" s="177">
        <f>'часть 1'!L920</f>
        <v>966865</v>
      </c>
      <c r="D895" s="177">
        <v>0</v>
      </c>
      <c r="E895" s="177">
        <v>0</v>
      </c>
      <c r="F895" s="177">
        <v>0</v>
      </c>
      <c r="G895" s="177">
        <v>0</v>
      </c>
      <c r="H895" s="177">
        <v>0</v>
      </c>
      <c r="I895" s="177">
        <v>0</v>
      </c>
      <c r="J895" s="177">
        <v>0</v>
      </c>
      <c r="K895" s="177">
        <v>0</v>
      </c>
      <c r="L895" s="178">
        <v>0</v>
      </c>
      <c r="M895" s="177">
        <v>0</v>
      </c>
      <c r="N895" s="177">
        <v>303.5</v>
      </c>
      <c r="O895" s="177">
        <f>'часть 1'!L920</f>
        <v>966865</v>
      </c>
      <c r="P895" s="179">
        <v>0</v>
      </c>
      <c r="Q895" s="177">
        <v>0</v>
      </c>
      <c r="R895" s="179">
        <v>0</v>
      </c>
      <c r="S895" s="177">
        <v>0</v>
      </c>
      <c r="T895" s="178">
        <v>0</v>
      </c>
      <c r="U895" s="248">
        <v>0</v>
      </c>
      <c r="V895" s="241"/>
      <c r="W895" s="241">
        <f t="shared" si="109"/>
        <v>3185.7166392092258</v>
      </c>
      <c r="X895" s="241"/>
    </row>
    <row r="896" spans="1:24" ht="15.75">
      <c r="A896" s="166">
        <v>301</v>
      </c>
      <c r="B896" s="223" t="s">
        <v>1009</v>
      </c>
      <c r="C896" s="177">
        <f>'часть 1'!L921</f>
        <v>947700</v>
      </c>
      <c r="D896" s="177">
        <v>0</v>
      </c>
      <c r="E896" s="177">
        <v>0</v>
      </c>
      <c r="F896" s="177">
        <v>0</v>
      </c>
      <c r="G896" s="177">
        <v>0</v>
      </c>
      <c r="H896" s="177">
        <v>0</v>
      </c>
      <c r="I896" s="177">
        <v>0</v>
      </c>
      <c r="J896" s="177">
        <v>0</v>
      </c>
      <c r="K896" s="177">
        <v>0</v>
      </c>
      <c r="L896" s="178">
        <v>0</v>
      </c>
      <c r="M896" s="177">
        <v>0</v>
      </c>
      <c r="N896" s="177">
        <v>297.2</v>
      </c>
      <c r="O896" s="177">
        <f>'часть 1'!L921</f>
        <v>947700</v>
      </c>
      <c r="P896" s="179">
        <v>0</v>
      </c>
      <c r="Q896" s="177">
        <v>0</v>
      </c>
      <c r="R896" s="179">
        <v>0</v>
      </c>
      <c r="S896" s="177">
        <v>0</v>
      </c>
      <c r="T896" s="178">
        <v>0</v>
      </c>
      <c r="U896" s="248">
        <v>0</v>
      </c>
      <c r="V896" s="241"/>
      <c r="W896" s="241">
        <f t="shared" si="109"/>
        <v>3188.7617765814266</v>
      </c>
      <c r="X896" s="241"/>
    </row>
    <row r="897" spans="1:25" ht="15.75">
      <c r="A897" s="166">
        <v>302</v>
      </c>
      <c r="B897" s="223" t="s">
        <v>1010</v>
      </c>
      <c r="C897" s="177">
        <f>'часть 1'!L922</f>
        <v>853104</v>
      </c>
      <c r="D897" s="177">
        <v>0</v>
      </c>
      <c r="E897" s="177">
        <v>0</v>
      </c>
      <c r="F897" s="177">
        <v>0</v>
      </c>
      <c r="G897" s="177">
        <v>0</v>
      </c>
      <c r="H897" s="177">
        <v>0</v>
      </c>
      <c r="I897" s="177">
        <v>0</v>
      </c>
      <c r="J897" s="177">
        <v>0</v>
      </c>
      <c r="K897" s="177">
        <v>0</v>
      </c>
      <c r="L897" s="178">
        <v>0</v>
      </c>
      <c r="M897" s="177">
        <v>0</v>
      </c>
      <c r="N897" s="177">
        <v>260.89999999999998</v>
      </c>
      <c r="O897" s="177">
        <f>'часть 1'!L922</f>
        <v>853104</v>
      </c>
      <c r="P897" s="179">
        <v>0</v>
      </c>
      <c r="Q897" s="177">
        <v>0</v>
      </c>
      <c r="R897" s="179">
        <v>0</v>
      </c>
      <c r="S897" s="177">
        <v>0</v>
      </c>
      <c r="T897" s="178">
        <v>0</v>
      </c>
      <c r="U897" s="248">
        <v>0</v>
      </c>
      <c r="V897" s="241"/>
      <c r="W897" s="241">
        <f t="shared" si="109"/>
        <v>3269.8505174396323</v>
      </c>
      <c r="X897" s="241"/>
    </row>
    <row r="898" spans="1:25" ht="15.75">
      <c r="A898" s="166">
        <v>303</v>
      </c>
      <c r="B898" s="226" t="s">
        <v>1011</v>
      </c>
      <c r="C898" s="177">
        <f>'часть 1'!L923</f>
        <v>789420</v>
      </c>
      <c r="D898" s="177">
        <v>0</v>
      </c>
      <c r="E898" s="177">
        <v>0</v>
      </c>
      <c r="F898" s="177">
        <v>0</v>
      </c>
      <c r="G898" s="177">
        <v>0</v>
      </c>
      <c r="H898" s="177">
        <v>0</v>
      </c>
      <c r="I898" s="177">
        <v>0</v>
      </c>
      <c r="J898" s="177">
        <v>0</v>
      </c>
      <c r="K898" s="177">
        <v>0</v>
      </c>
      <c r="L898" s="178">
        <v>0</v>
      </c>
      <c r="M898" s="177">
        <v>0</v>
      </c>
      <c r="N898" s="177">
        <v>246.3</v>
      </c>
      <c r="O898" s="177">
        <f>'часть 1'!L923</f>
        <v>789420</v>
      </c>
      <c r="P898" s="179">
        <v>0</v>
      </c>
      <c r="Q898" s="177">
        <v>0</v>
      </c>
      <c r="R898" s="179">
        <v>0</v>
      </c>
      <c r="S898" s="177">
        <v>0</v>
      </c>
      <c r="T898" s="178">
        <v>0</v>
      </c>
      <c r="U898" s="248">
        <v>0</v>
      </c>
      <c r="V898" s="241"/>
      <c r="W898" s="241">
        <f t="shared" si="109"/>
        <v>3205.1157125456757</v>
      </c>
      <c r="X898" s="241"/>
    </row>
    <row r="899" spans="1:25" ht="15.75">
      <c r="A899" s="166">
        <v>304</v>
      </c>
      <c r="B899" s="223" t="s">
        <v>1012</v>
      </c>
      <c r="C899" s="177">
        <f>'часть 1'!L924</f>
        <v>3688049</v>
      </c>
      <c r="D899" s="177">
        <v>0</v>
      </c>
      <c r="E899" s="177">
        <v>0</v>
      </c>
      <c r="F899" s="177">
        <v>0</v>
      </c>
      <c r="G899" s="177">
        <v>0</v>
      </c>
      <c r="H899" s="177">
        <v>0</v>
      </c>
      <c r="I899" s="177">
        <v>0</v>
      </c>
      <c r="J899" s="177">
        <v>0</v>
      </c>
      <c r="K899" s="177">
        <v>0</v>
      </c>
      <c r="L899" s="178">
        <v>0</v>
      </c>
      <c r="M899" s="177">
        <v>0</v>
      </c>
      <c r="N899" s="177">
        <v>1168.5999999999999</v>
      </c>
      <c r="O899" s="177">
        <f>'часть 1'!L924</f>
        <v>3688049</v>
      </c>
      <c r="P899" s="179">
        <v>0</v>
      </c>
      <c r="Q899" s="177">
        <v>0</v>
      </c>
      <c r="R899" s="179">
        <v>0</v>
      </c>
      <c r="S899" s="177">
        <v>0</v>
      </c>
      <c r="T899" s="178">
        <v>0</v>
      </c>
      <c r="U899" s="248">
        <v>0</v>
      </c>
      <c r="V899" s="241"/>
      <c r="W899" s="241">
        <f t="shared" si="109"/>
        <v>3155.9549888755778</v>
      </c>
      <c r="X899" s="241"/>
    </row>
    <row r="900" spans="1:25" ht="15.75">
      <c r="A900" s="166">
        <v>305</v>
      </c>
      <c r="B900" s="223" t="s">
        <v>1013</v>
      </c>
      <c r="C900" s="177">
        <f>'часть 1'!L925</f>
        <v>967700</v>
      </c>
      <c r="D900" s="177">
        <v>0</v>
      </c>
      <c r="E900" s="177">
        <v>0</v>
      </c>
      <c r="F900" s="177">
        <v>0</v>
      </c>
      <c r="G900" s="177">
        <v>0</v>
      </c>
      <c r="H900" s="177">
        <v>0</v>
      </c>
      <c r="I900" s="177">
        <v>0</v>
      </c>
      <c r="J900" s="177">
        <v>0</v>
      </c>
      <c r="K900" s="177">
        <v>0</v>
      </c>
      <c r="L900" s="178">
        <v>0</v>
      </c>
      <c r="M900" s="177">
        <v>0</v>
      </c>
      <c r="N900" s="177">
        <v>389.9</v>
      </c>
      <c r="O900" s="177">
        <f>'часть 1'!L925</f>
        <v>967700</v>
      </c>
      <c r="P900" s="179">
        <v>0</v>
      </c>
      <c r="Q900" s="177">
        <v>0</v>
      </c>
      <c r="R900" s="179">
        <v>0</v>
      </c>
      <c r="S900" s="177">
        <v>0</v>
      </c>
      <c r="T900" s="178">
        <v>0</v>
      </c>
      <c r="U900" s="248">
        <v>0</v>
      </c>
      <c r="V900" s="241"/>
      <c r="W900" s="241">
        <f t="shared" si="109"/>
        <v>2481.9184406258018</v>
      </c>
      <c r="X900" s="241"/>
    </row>
    <row r="901" spans="1:25" ht="30">
      <c r="A901" s="427"/>
      <c r="B901" s="438" t="s">
        <v>882</v>
      </c>
      <c r="C901" s="437">
        <f>C902+C903</f>
        <v>1029285</v>
      </c>
      <c r="D901" s="437">
        <f t="shared" ref="D901:V901" si="110">D902+D903</f>
        <v>247569</v>
      </c>
      <c r="E901" s="437">
        <f t="shared" si="110"/>
        <v>247569</v>
      </c>
      <c r="F901" s="437">
        <f t="shared" si="110"/>
        <v>0</v>
      </c>
      <c r="G901" s="437">
        <f t="shared" si="110"/>
        <v>0</v>
      </c>
      <c r="H901" s="437">
        <f t="shared" si="110"/>
        <v>0</v>
      </c>
      <c r="I901" s="437">
        <f t="shared" si="110"/>
        <v>0</v>
      </c>
      <c r="J901" s="437">
        <f t="shared" si="110"/>
        <v>0</v>
      </c>
      <c r="K901" s="437">
        <f t="shared" si="110"/>
        <v>0</v>
      </c>
      <c r="L901" s="437">
        <f t="shared" si="110"/>
        <v>0</v>
      </c>
      <c r="M901" s="437">
        <f t="shared" si="110"/>
        <v>0</v>
      </c>
      <c r="N901" s="437">
        <f t="shared" si="110"/>
        <v>0</v>
      </c>
      <c r="O901" s="437">
        <f t="shared" si="110"/>
        <v>0</v>
      </c>
      <c r="P901" s="437">
        <f t="shared" si="110"/>
        <v>0</v>
      </c>
      <c r="Q901" s="437">
        <f t="shared" si="110"/>
        <v>0</v>
      </c>
      <c r="R901" s="437">
        <f t="shared" si="110"/>
        <v>510.17</v>
      </c>
      <c r="S901" s="437">
        <f t="shared" si="110"/>
        <v>781716</v>
      </c>
      <c r="T901" s="437">
        <f t="shared" si="110"/>
        <v>0</v>
      </c>
      <c r="U901" s="437">
        <f t="shared" si="110"/>
        <v>0</v>
      </c>
      <c r="V901" s="177">
        <f t="shared" si="110"/>
        <v>0</v>
      </c>
      <c r="W901" s="241"/>
      <c r="X901" s="241"/>
    </row>
    <row r="902" spans="1:25">
      <c r="A902" s="427"/>
      <c r="B902" s="438" t="s">
        <v>884</v>
      </c>
      <c r="C902" s="437">
        <f>'часть 1'!L927</f>
        <v>781716</v>
      </c>
      <c r="D902" s="437">
        <f>E902+F902+G902+H902+I902+J902+K902</f>
        <v>0</v>
      </c>
      <c r="E902" s="437">
        <v>0</v>
      </c>
      <c r="F902" s="437">
        <v>0</v>
      </c>
      <c r="G902" s="437">
        <v>0</v>
      </c>
      <c r="H902" s="437">
        <v>0</v>
      </c>
      <c r="I902" s="437">
        <v>0</v>
      </c>
      <c r="J902" s="437">
        <v>0</v>
      </c>
      <c r="K902" s="437">
        <v>0</v>
      </c>
      <c r="L902" s="440">
        <v>0</v>
      </c>
      <c r="M902" s="437">
        <v>0</v>
      </c>
      <c r="N902" s="437">
        <v>0</v>
      </c>
      <c r="O902" s="437">
        <v>0</v>
      </c>
      <c r="P902" s="441">
        <v>0</v>
      </c>
      <c r="Q902" s="437">
        <v>0</v>
      </c>
      <c r="R902" s="437">
        <v>510.17</v>
      </c>
      <c r="S902" s="437">
        <v>781716</v>
      </c>
      <c r="T902" s="440">
        <v>0</v>
      </c>
      <c r="U902" s="442">
        <v>0</v>
      </c>
      <c r="V902" s="241"/>
      <c r="W902" s="241"/>
      <c r="X902" s="241">
        <f>S902/R902</f>
        <v>1532.2657153497853</v>
      </c>
    </row>
    <row r="903" spans="1:25">
      <c r="A903" s="427"/>
      <c r="B903" s="438" t="s">
        <v>885</v>
      </c>
      <c r="C903" s="437">
        <f>'часть 1'!L928</f>
        <v>247569</v>
      </c>
      <c r="D903" s="437">
        <f>E903+F903+G903+H903+I903+J903+K903</f>
        <v>247569</v>
      </c>
      <c r="E903" s="437">
        <v>247569</v>
      </c>
      <c r="F903" s="437">
        <v>0</v>
      </c>
      <c r="G903" s="437">
        <v>0</v>
      </c>
      <c r="H903" s="437">
        <v>0</v>
      </c>
      <c r="I903" s="437">
        <v>0</v>
      </c>
      <c r="J903" s="437">
        <v>0</v>
      </c>
      <c r="K903" s="437">
        <v>0</v>
      </c>
      <c r="L903" s="440">
        <v>0</v>
      </c>
      <c r="M903" s="437">
        <v>0</v>
      </c>
      <c r="N903" s="437">
        <v>0</v>
      </c>
      <c r="O903" s="437">
        <v>0</v>
      </c>
      <c r="P903" s="441">
        <v>0</v>
      </c>
      <c r="Q903" s="437">
        <v>0</v>
      </c>
      <c r="R903" s="437">
        <v>0</v>
      </c>
      <c r="S903" s="437">
        <v>0</v>
      </c>
      <c r="T903" s="440">
        <v>0</v>
      </c>
      <c r="U903" s="442">
        <v>0</v>
      </c>
      <c r="V903" s="241"/>
      <c r="W903" s="241"/>
      <c r="X903" s="241"/>
      <c r="Y903" s="1">
        <f>E903/'часть 1'!I928</f>
        <v>506.58686310620016</v>
      </c>
    </row>
    <row r="904" spans="1:25">
      <c r="A904" s="166"/>
      <c r="B904" s="182" t="s">
        <v>52</v>
      </c>
      <c r="C904" s="177">
        <v>3908951</v>
      </c>
      <c r="D904" s="177"/>
      <c r="E904" s="177"/>
      <c r="F904" s="177"/>
      <c r="G904" s="177"/>
      <c r="H904" s="177"/>
      <c r="I904" s="177"/>
      <c r="J904" s="177"/>
      <c r="K904" s="177">
        <v>201010</v>
      </c>
      <c r="L904" s="178">
        <v>0</v>
      </c>
      <c r="M904" s="177">
        <v>0</v>
      </c>
      <c r="N904" s="177">
        <v>1869.42</v>
      </c>
      <c r="O904" s="177">
        <v>3707941</v>
      </c>
      <c r="P904" s="179">
        <v>0</v>
      </c>
      <c r="Q904" s="177">
        <v>0</v>
      </c>
      <c r="R904" s="179">
        <v>0</v>
      </c>
      <c r="S904" s="177">
        <v>0</v>
      </c>
      <c r="T904" s="178">
        <v>0</v>
      </c>
      <c r="U904" s="248">
        <v>0</v>
      </c>
      <c r="V904" s="241"/>
      <c r="W904" s="241"/>
      <c r="X904" s="241"/>
    </row>
    <row r="905" spans="1:25" s="14" customFormat="1" ht="30">
      <c r="A905" s="427"/>
      <c r="B905" s="438" t="s">
        <v>130</v>
      </c>
      <c r="C905" s="437">
        <f>C906</f>
        <v>1851309</v>
      </c>
      <c r="D905" s="437">
        <f t="shared" ref="D905:V905" si="111">D906</f>
        <v>0</v>
      </c>
      <c r="E905" s="437">
        <f t="shared" si="111"/>
        <v>0</v>
      </c>
      <c r="F905" s="437">
        <f t="shared" si="111"/>
        <v>0</v>
      </c>
      <c r="G905" s="437">
        <f t="shared" si="111"/>
        <v>0</v>
      </c>
      <c r="H905" s="437">
        <f t="shared" si="111"/>
        <v>0</v>
      </c>
      <c r="I905" s="437">
        <f t="shared" si="111"/>
        <v>0</v>
      </c>
      <c r="J905" s="437">
        <f t="shared" si="111"/>
        <v>0</v>
      </c>
      <c r="K905" s="437">
        <f t="shared" si="111"/>
        <v>0</v>
      </c>
      <c r="L905" s="437">
        <f t="shared" si="111"/>
        <v>0</v>
      </c>
      <c r="M905" s="437">
        <f t="shared" si="111"/>
        <v>0</v>
      </c>
      <c r="N905" s="437">
        <f t="shared" si="111"/>
        <v>581</v>
      </c>
      <c r="O905" s="437">
        <f t="shared" si="111"/>
        <v>1851309</v>
      </c>
      <c r="P905" s="437">
        <f t="shared" si="111"/>
        <v>0</v>
      </c>
      <c r="Q905" s="437">
        <f t="shared" si="111"/>
        <v>0</v>
      </c>
      <c r="R905" s="437">
        <f t="shared" si="111"/>
        <v>0</v>
      </c>
      <c r="S905" s="437">
        <f t="shared" si="111"/>
        <v>0</v>
      </c>
      <c r="T905" s="437">
        <f t="shared" si="111"/>
        <v>0</v>
      </c>
      <c r="U905" s="437">
        <f t="shared" si="111"/>
        <v>0</v>
      </c>
      <c r="V905" s="177">
        <f t="shared" si="111"/>
        <v>0</v>
      </c>
      <c r="W905" s="241"/>
      <c r="X905" s="241"/>
    </row>
    <row r="906" spans="1:25">
      <c r="A906" s="427">
        <v>312</v>
      </c>
      <c r="B906" s="438" t="s">
        <v>673</v>
      </c>
      <c r="C906" s="437">
        <v>1851309</v>
      </c>
      <c r="D906" s="437">
        <v>0</v>
      </c>
      <c r="E906" s="437">
        <v>0</v>
      </c>
      <c r="F906" s="437">
        <v>0</v>
      </c>
      <c r="G906" s="437">
        <v>0</v>
      </c>
      <c r="H906" s="437">
        <v>0</v>
      </c>
      <c r="I906" s="437">
        <v>0</v>
      </c>
      <c r="J906" s="437">
        <v>0</v>
      </c>
      <c r="K906" s="437">
        <v>0</v>
      </c>
      <c r="L906" s="441">
        <v>0</v>
      </c>
      <c r="M906" s="437">
        <v>0</v>
      </c>
      <c r="N906" s="432">
        <v>581</v>
      </c>
      <c r="O906" s="437">
        <v>1851309</v>
      </c>
      <c r="P906" s="441">
        <v>0</v>
      </c>
      <c r="Q906" s="437">
        <v>0</v>
      </c>
      <c r="R906" s="441">
        <v>0</v>
      </c>
      <c r="S906" s="437">
        <v>0</v>
      </c>
      <c r="T906" s="441">
        <v>0</v>
      </c>
      <c r="U906" s="442">
        <v>0</v>
      </c>
      <c r="V906" s="241"/>
      <c r="W906" s="241">
        <f>O906/N906</f>
        <v>3186.4182444061962</v>
      </c>
      <c r="X906" s="241"/>
    </row>
    <row r="907" spans="1:25">
      <c r="A907" s="427"/>
      <c r="B907" s="438"/>
      <c r="C907" s="437"/>
      <c r="D907" s="437"/>
      <c r="E907" s="437"/>
      <c r="F907" s="437"/>
      <c r="G907" s="437"/>
      <c r="H907" s="437"/>
      <c r="I907" s="437"/>
      <c r="J907" s="437"/>
      <c r="K907" s="437"/>
      <c r="L907" s="441"/>
      <c r="M907" s="437"/>
      <c r="N907" s="432"/>
      <c r="O907" s="437"/>
      <c r="P907" s="441"/>
      <c r="Q907" s="437"/>
      <c r="R907" s="441"/>
      <c r="S907" s="437"/>
      <c r="T907" s="441"/>
      <c r="U907" s="442"/>
      <c r="V907" s="241"/>
      <c r="W907" s="241"/>
      <c r="X907" s="241"/>
    </row>
    <row r="908" spans="1:25" ht="30">
      <c r="A908" s="166"/>
      <c r="B908" s="180" t="s">
        <v>109</v>
      </c>
      <c r="C908" s="177">
        <v>201010</v>
      </c>
      <c r="D908" s="177"/>
      <c r="E908" s="177"/>
      <c r="F908" s="177"/>
      <c r="G908" s="177"/>
      <c r="H908" s="177"/>
      <c r="I908" s="177"/>
      <c r="J908" s="177"/>
      <c r="K908" s="177">
        <v>201010</v>
      </c>
      <c r="L908" s="178">
        <v>0</v>
      </c>
      <c r="M908" s="177">
        <v>0</v>
      </c>
      <c r="N908" s="177">
        <v>0</v>
      </c>
      <c r="O908" s="177">
        <v>0</v>
      </c>
      <c r="P908" s="179">
        <v>0</v>
      </c>
      <c r="Q908" s="177">
        <v>0</v>
      </c>
      <c r="R908" s="179">
        <v>0</v>
      </c>
      <c r="S908" s="177">
        <v>0</v>
      </c>
      <c r="T908" s="178">
        <v>0</v>
      </c>
      <c r="U908" s="248">
        <v>0</v>
      </c>
      <c r="V908" s="241"/>
      <c r="W908" s="241"/>
      <c r="X908" s="241"/>
    </row>
    <row r="909" spans="1:25">
      <c r="A909" s="166">
        <v>314</v>
      </c>
      <c r="B909" s="182" t="s">
        <v>414</v>
      </c>
      <c r="C909" s="177">
        <v>201010</v>
      </c>
      <c r="D909" s="177"/>
      <c r="E909" s="177"/>
      <c r="F909" s="177"/>
      <c r="G909" s="177"/>
      <c r="H909" s="177"/>
      <c r="I909" s="177"/>
      <c r="J909" s="177"/>
      <c r="K909" s="177">
        <v>201010</v>
      </c>
      <c r="L909" s="178">
        <v>0</v>
      </c>
      <c r="M909" s="177">
        <v>0</v>
      </c>
      <c r="N909" s="177">
        <v>0</v>
      </c>
      <c r="O909" s="177">
        <v>0</v>
      </c>
      <c r="P909" s="179">
        <v>0</v>
      </c>
      <c r="Q909" s="177">
        <v>0</v>
      </c>
      <c r="R909" s="179">
        <v>0</v>
      </c>
      <c r="S909" s="177">
        <v>0</v>
      </c>
      <c r="T909" s="178">
        <v>0</v>
      </c>
      <c r="U909" s="248">
        <v>0</v>
      </c>
      <c r="V909" s="241"/>
      <c r="W909" s="241"/>
      <c r="X909" s="241"/>
    </row>
    <row r="910" spans="1:25" ht="30">
      <c r="A910" s="166"/>
      <c r="B910" s="180" t="s">
        <v>198</v>
      </c>
      <c r="C910" s="177">
        <v>1091336</v>
      </c>
      <c r="D910" s="177"/>
      <c r="E910" s="177"/>
      <c r="F910" s="177"/>
      <c r="G910" s="177"/>
      <c r="H910" s="177"/>
      <c r="I910" s="177"/>
      <c r="J910" s="177"/>
      <c r="K910" s="177">
        <v>0</v>
      </c>
      <c r="L910" s="178">
        <v>0</v>
      </c>
      <c r="M910" s="177">
        <v>0</v>
      </c>
      <c r="N910" s="177">
        <v>554.41999999999996</v>
      </c>
      <c r="O910" s="177">
        <v>1091336</v>
      </c>
      <c r="P910" s="179">
        <v>0</v>
      </c>
      <c r="Q910" s="177">
        <v>0</v>
      </c>
      <c r="R910" s="179">
        <v>0</v>
      </c>
      <c r="S910" s="177">
        <v>0</v>
      </c>
      <c r="T910" s="178">
        <v>0</v>
      </c>
      <c r="U910" s="248">
        <v>0</v>
      </c>
      <c r="V910" s="241"/>
      <c r="W910" s="241"/>
      <c r="X910" s="241"/>
    </row>
    <row r="911" spans="1:25" ht="30">
      <c r="A911" s="166">
        <v>315</v>
      </c>
      <c r="B911" s="180" t="s">
        <v>444</v>
      </c>
      <c r="C911" s="177">
        <v>1091336</v>
      </c>
      <c r="D911" s="177"/>
      <c r="E911" s="177"/>
      <c r="F911" s="177"/>
      <c r="G911" s="177"/>
      <c r="H911" s="177"/>
      <c r="I911" s="177"/>
      <c r="J911" s="177"/>
      <c r="K911" s="177">
        <v>0</v>
      </c>
      <c r="L911" s="178">
        <v>0</v>
      </c>
      <c r="M911" s="177">
        <v>0</v>
      </c>
      <c r="N911" s="177">
        <v>554.41999999999996</v>
      </c>
      <c r="O911" s="177">
        <v>1091336</v>
      </c>
      <c r="P911" s="179">
        <v>0</v>
      </c>
      <c r="Q911" s="177">
        <v>0</v>
      </c>
      <c r="R911" s="179">
        <v>0</v>
      </c>
      <c r="S911" s="177">
        <v>0</v>
      </c>
      <c r="T911" s="178">
        <v>0</v>
      </c>
      <c r="U911" s="248">
        <v>0</v>
      </c>
      <c r="V911" s="241"/>
      <c r="W911" s="241"/>
      <c r="X911" s="241"/>
    </row>
    <row r="912" spans="1:25">
      <c r="A912" s="166"/>
      <c r="B912" s="182" t="s">
        <v>53</v>
      </c>
      <c r="C912" s="177">
        <f>C913+C929+C931+C934+C941+C943+C946+C948</f>
        <v>46439075.920000002</v>
      </c>
      <c r="D912" s="177">
        <f t="shared" ref="D912:V912" si="112">D913+D929+D931+D934+D941+D943+D946+D948</f>
        <v>0</v>
      </c>
      <c r="E912" s="177">
        <f t="shared" si="112"/>
        <v>0</v>
      </c>
      <c r="F912" s="177">
        <f t="shared" si="112"/>
        <v>0</v>
      </c>
      <c r="G912" s="177">
        <f t="shared" si="112"/>
        <v>0</v>
      </c>
      <c r="H912" s="177">
        <f t="shared" si="112"/>
        <v>0</v>
      </c>
      <c r="I912" s="177">
        <f t="shared" si="112"/>
        <v>0</v>
      </c>
      <c r="J912" s="177">
        <f t="shared" si="112"/>
        <v>0</v>
      </c>
      <c r="K912" s="177">
        <f t="shared" si="112"/>
        <v>0</v>
      </c>
      <c r="L912" s="177">
        <f t="shared" si="112"/>
        <v>15</v>
      </c>
      <c r="M912" s="177">
        <f t="shared" si="112"/>
        <v>29383642</v>
      </c>
      <c r="N912" s="177">
        <f t="shared" si="112"/>
        <v>5801.5</v>
      </c>
      <c r="O912" s="177">
        <f t="shared" si="112"/>
        <v>15367425.92</v>
      </c>
      <c r="P912" s="177">
        <f t="shared" si="112"/>
        <v>0</v>
      </c>
      <c r="Q912" s="177">
        <f t="shared" si="112"/>
        <v>0</v>
      </c>
      <c r="R912" s="177">
        <f t="shared" si="112"/>
        <v>1097.2</v>
      </c>
      <c r="S912" s="177">
        <f t="shared" si="112"/>
        <v>1688008</v>
      </c>
      <c r="T912" s="177">
        <f t="shared" si="112"/>
        <v>0</v>
      </c>
      <c r="U912" s="177">
        <f t="shared" si="112"/>
        <v>0</v>
      </c>
      <c r="V912" s="177">
        <f t="shared" si="112"/>
        <v>0</v>
      </c>
      <c r="W912" s="241"/>
      <c r="X912" s="241"/>
    </row>
    <row r="913" spans="1:32" ht="30">
      <c r="A913" s="427"/>
      <c r="B913" s="438" t="s">
        <v>88</v>
      </c>
      <c r="C913" s="437">
        <f>C914+C915+C916+C917+C918+C919</f>
        <v>29383642</v>
      </c>
      <c r="D913" s="437">
        <f t="shared" ref="D913:U913" si="113">D914+D915+D916+D917+D918+D919</f>
        <v>0</v>
      </c>
      <c r="E913" s="437">
        <f t="shared" si="113"/>
        <v>0</v>
      </c>
      <c r="F913" s="437">
        <f t="shared" si="113"/>
        <v>0</v>
      </c>
      <c r="G913" s="437">
        <f t="shared" si="113"/>
        <v>0</v>
      </c>
      <c r="H913" s="437">
        <f t="shared" si="113"/>
        <v>0</v>
      </c>
      <c r="I913" s="437">
        <f t="shared" si="113"/>
        <v>0</v>
      </c>
      <c r="J913" s="437">
        <f t="shared" si="113"/>
        <v>0</v>
      </c>
      <c r="K913" s="437">
        <f t="shared" si="113"/>
        <v>0</v>
      </c>
      <c r="L913" s="437">
        <f t="shared" si="113"/>
        <v>15</v>
      </c>
      <c r="M913" s="437">
        <f t="shared" si="113"/>
        <v>29383642</v>
      </c>
      <c r="N913" s="437">
        <f t="shared" si="113"/>
        <v>0</v>
      </c>
      <c r="O913" s="437">
        <f t="shared" si="113"/>
        <v>0</v>
      </c>
      <c r="P913" s="437">
        <f t="shared" si="113"/>
        <v>0</v>
      </c>
      <c r="Q913" s="437">
        <f t="shared" si="113"/>
        <v>0</v>
      </c>
      <c r="R913" s="437">
        <f t="shared" si="113"/>
        <v>0</v>
      </c>
      <c r="S913" s="437">
        <f t="shared" si="113"/>
        <v>0</v>
      </c>
      <c r="T913" s="437">
        <f t="shared" si="113"/>
        <v>0</v>
      </c>
      <c r="U913" s="437">
        <f t="shared" si="113"/>
        <v>0</v>
      </c>
      <c r="V913" s="241"/>
      <c r="W913" s="241"/>
      <c r="X913" s="241"/>
    </row>
    <row r="914" spans="1:32" s="15" customFormat="1" ht="15.75">
      <c r="A914" s="427">
        <v>316</v>
      </c>
      <c r="B914" s="761" t="s">
        <v>748</v>
      </c>
      <c r="C914" s="437">
        <f>'часть 1'!L939</f>
        <v>5877687</v>
      </c>
      <c r="D914" s="437">
        <v>0</v>
      </c>
      <c r="E914" s="437">
        <v>0</v>
      </c>
      <c r="F914" s="437">
        <v>0</v>
      </c>
      <c r="G914" s="437">
        <v>0</v>
      </c>
      <c r="H914" s="437">
        <v>0</v>
      </c>
      <c r="I914" s="437">
        <v>0</v>
      </c>
      <c r="J914" s="437">
        <v>0</v>
      </c>
      <c r="K914" s="437">
        <v>0</v>
      </c>
      <c r="L914" s="440">
        <v>3</v>
      </c>
      <c r="M914" s="437">
        <f t="shared" ref="M914:M919" si="114">C914</f>
        <v>5877687</v>
      </c>
      <c r="N914" s="437">
        <v>0</v>
      </c>
      <c r="O914" s="437">
        <v>0</v>
      </c>
      <c r="P914" s="441">
        <v>0</v>
      </c>
      <c r="Q914" s="437">
        <v>0</v>
      </c>
      <c r="R914" s="441">
        <v>0</v>
      </c>
      <c r="S914" s="437">
        <v>0</v>
      </c>
      <c r="T914" s="440">
        <v>0</v>
      </c>
      <c r="U914" s="442">
        <v>0</v>
      </c>
      <c r="V914" s="241"/>
      <c r="W914" s="241"/>
      <c r="X914" s="241"/>
      <c r="AF914" s="67">
        <f t="shared" ref="AF914:AF919" si="115">M914/L914</f>
        <v>1959229</v>
      </c>
    </row>
    <row r="915" spans="1:32" s="15" customFormat="1" ht="15.75">
      <c r="A915" s="427">
        <v>317</v>
      </c>
      <c r="B915" s="761" t="s">
        <v>749</v>
      </c>
      <c r="C915" s="437">
        <f>'часть 1'!L940</f>
        <v>3911300</v>
      </c>
      <c r="D915" s="437">
        <v>0</v>
      </c>
      <c r="E915" s="437">
        <v>0</v>
      </c>
      <c r="F915" s="437">
        <v>0</v>
      </c>
      <c r="G915" s="437">
        <v>0</v>
      </c>
      <c r="H915" s="437">
        <v>0</v>
      </c>
      <c r="I915" s="437">
        <v>0</v>
      </c>
      <c r="J915" s="437">
        <v>0</v>
      </c>
      <c r="K915" s="437">
        <v>0</v>
      </c>
      <c r="L915" s="440">
        <v>2</v>
      </c>
      <c r="M915" s="437">
        <f t="shared" si="114"/>
        <v>3911300</v>
      </c>
      <c r="N915" s="437">
        <v>0</v>
      </c>
      <c r="O915" s="437">
        <v>0</v>
      </c>
      <c r="P915" s="441">
        <v>0</v>
      </c>
      <c r="Q915" s="437">
        <v>0</v>
      </c>
      <c r="R915" s="441">
        <v>0</v>
      </c>
      <c r="S915" s="437">
        <v>0</v>
      </c>
      <c r="T915" s="440">
        <v>0</v>
      </c>
      <c r="U915" s="442">
        <v>0</v>
      </c>
      <c r="V915" s="241"/>
      <c r="W915" s="241"/>
      <c r="X915" s="241"/>
      <c r="AF915" s="67">
        <f t="shared" si="115"/>
        <v>1955650</v>
      </c>
    </row>
    <row r="916" spans="1:32" s="15" customFormat="1" ht="15.75">
      <c r="A916" s="427">
        <v>318</v>
      </c>
      <c r="B916" s="761" t="s">
        <v>750</v>
      </c>
      <c r="C916" s="437">
        <f>'часть 1'!L941</f>
        <v>5873712</v>
      </c>
      <c r="D916" s="445">
        <v>0</v>
      </c>
      <c r="E916" s="445">
        <v>0</v>
      </c>
      <c r="F916" s="445">
        <v>0</v>
      </c>
      <c r="G916" s="445">
        <v>0</v>
      </c>
      <c r="H916" s="445">
        <v>0</v>
      </c>
      <c r="I916" s="445">
        <v>0</v>
      </c>
      <c r="J916" s="445">
        <v>0</v>
      </c>
      <c r="K916" s="771">
        <v>0</v>
      </c>
      <c r="L916" s="440">
        <v>3</v>
      </c>
      <c r="M916" s="437">
        <f t="shared" si="114"/>
        <v>5873712</v>
      </c>
      <c r="N916" s="445">
        <v>0</v>
      </c>
      <c r="O916" s="445">
        <v>0</v>
      </c>
      <c r="P916" s="441">
        <v>0</v>
      </c>
      <c r="Q916" s="437">
        <v>0</v>
      </c>
      <c r="R916" s="441">
        <v>0</v>
      </c>
      <c r="S916" s="437">
        <v>0</v>
      </c>
      <c r="T916" s="440">
        <v>0</v>
      </c>
      <c r="U916" s="442">
        <v>0</v>
      </c>
      <c r="V916" s="241"/>
      <c r="W916" s="241"/>
      <c r="X916" s="241"/>
      <c r="AF916" s="67">
        <f t="shared" si="115"/>
        <v>1957904</v>
      </c>
    </row>
    <row r="917" spans="1:32" s="15" customFormat="1" ht="15.75">
      <c r="A917" s="427">
        <v>319</v>
      </c>
      <c r="B917" s="761" t="s">
        <v>751</v>
      </c>
      <c r="C917" s="437">
        <f>'часть 1'!L942</f>
        <v>5872977</v>
      </c>
      <c r="D917" s="437">
        <v>0</v>
      </c>
      <c r="E917" s="437">
        <v>0</v>
      </c>
      <c r="F917" s="437">
        <v>0</v>
      </c>
      <c r="G917" s="437">
        <v>0</v>
      </c>
      <c r="H917" s="437">
        <v>0</v>
      </c>
      <c r="I917" s="437">
        <v>0</v>
      </c>
      <c r="J917" s="437">
        <v>0</v>
      </c>
      <c r="K917" s="437">
        <v>0</v>
      </c>
      <c r="L917" s="440">
        <v>3</v>
      </c>
      <c r="M917" s="437">
        <f t="shared" si="114"/>
        <v>5872977</v>
      </c>
      <c r="N917" s="437">
        <v>0</v>
      </c>
      <c r="O917" s="437">
        <v>0</v>
      </c>
      <c r="P917" s="441">
        <v>0</v>
      </c>
      <c r="Q917" s="437">
        <v>0</v>
      </c>
      <c r="R917" s="437">
        <v>0</v>
      </c>
      <c r="S917" s="437">
        <v>0</v>
      </c>
      <c r="T917" s="440">
        <v>0</v>
      </c>
      <c r="U917" s="442">
        <v>0</v>
      </c>
      <c r="V917" s="241"/>
      <c r="W917" s="241"/>
      <c r="X917" s="241"/>
      <c r="AF917" s="67">
        <f t="shared" si="115"/>
        <v>1957659</v>
      </c>
    </row>
    <row r="918" spans="1:32" s="15" customFormat="1" ht="15.75">
      <c r="A918" s="427">
        <v>320</v>
      </c>
      <c r="B918" s="761" t="s">
        <v>752</v>
      </c>
      <c r="C918" s="437">
        <f>'часть 1'!L943</f>
        <v>5882933</v>
      </c>
      <c r="D918" s="445">
        <v>0</v>
      </c>
      <c r="E918" s="445">
        <v>0</v>
      </c>
      <c r="F918" s="445">
        <v>0</v>
      </c>
      <c r="G918" s="445">
        <v>0</v>
      </c>
      <c r="H918" s="445">
        <v>0</v>
      </c>
      <c r="I918" s="445">
        <v>0</v>
      </c>
      <c r="J918" s="445">
        <v>0</v>
      </c>
      <c r="K918" s="448">
        <v>0</v>
      </c>
      <c r="L918" s="435">
        <v>3</v>
      </c>
      <c r="M918" s="437">
        <f t="shared" si="114"/>
        <v>5882933</v>
      </c>
      <c r="N918" s="437">
        <v>0</v>
      </c>
      <c r="O918" s="437">
        <v>0</v>
      </c>
      <c r="P918" s="441">
        <v>0</v>
      </c>
      <c r="Q918" s="437">
        <v>0</v>
      </c>
      <c r="R918" s="441">
        <v>0</v>
      </c>
      <c r="S918" s="437">
        <v>0</v>
      </c>
      <c r="T918" s="440">
        <v>0</v>
      </c>
      <c r="U918" s="442">
        <v>0</v>
      </c>
      <c r="V918" s="241"/>
      <c r="W918" s="241"/>
      <c r="X918" s="241"/>
      <c r="Y918" s="5"/>
      <c r="Z918" s="5"/>
      <c r="AA918" s="21"/>
      <c r="AB918" s="21"/>
      <c r="AF918" s="67">
        <f t="shared" si="115"/>
        <v>1960977.6666666667</v>
      </c>
    </row>
    <row r="919" spans="1:32" s="15" customFormat="1" ht="15.75">
      <c r="A919" s="427">
        <v>321</v>
      </c>
      <c r="B919" s="754" t="s">
        <v>753</v>
      </c>
      <c r="C919" s="437">
        <f>'часть 1'!L944</f>
        <v>1965033</v>
      </c>
      <c r="D919" s="445">
        <v>0</v>
      </c>
      <c r="E919" s="445">
        <v>0</v>
      </c>
      <c r="F919" s="445">
        <v>0</v>
      </c>
      <c r="G919" s="445">
        <v>0</v>
      </c>
      <c r="H919" s="445">
        <v>0</v>
      </c>
      <c r="I919" s="445">
        <v>0</v>
      </c>
      <c r="J919" s="445">
        <v>0</v>
      </c>
      <c r="K919" s="448">
        <v>0</v>
      </c>
      <c r="L919" s="435">
        <v>1</v>
      </c>
      <c r="M919" s="437">
        <f t="shared" si="114"/>
        <v>1965033</v>
      </c>
      <c r="N919" s="437">
        <v>0</v>
      </c>
      <c r="O919" s="437">
        <v>0</v>
      </c>
      <c r="P919" s="441">
        <v>0</v>
      </c>
      <c r="Q919" s="437">
        <v>0</v>
      </c>
      <c r="R919" s="441">
        <v>0</v>
      </c>
      <c r="S919" s="437">
        <v>0</v>
      </c>
      <c r="T919" s="440">
        <v>0</v>
      </c>
      <c r="U919" s="442">
        <v>0</v>
      </c>
      <c r="V919" s="241"/>
      <c r="W919" s="241"/>
      <c r="X919" s="241"/>
      <c r="Y919" s="5"/>
      <c r="Z919" s="5"/>
      <c r="AA919" s="21"/>
      <c r="AB919" s="21"/>
      <c r="AF919" s="67">
        <f t="shared" si="115"/>
        <v>1965033</v>
      </c>
    </row>
    <row r="920" spans="1:32" s="15" customFormat="1">
      <c r="A920" s="427"/>
      <c r="B920" s="428"/>
      <c r="C920" s="437"/>
      <c r="D920" s="445"/>
      <c r="E920" s="445"/>
      <c r="F920" s="445"/>
      <c r="G920" s="445"/>
      <c r="H920" s="445"/>
      <c r="I920" s="445"/>
      <c r="J920" s="445"/>
      <c r="K920" s="448"/>
      <c r="L920" s="435"/>
      <c r="M920" s="445"/>
      <c r="N920" s="437"/>
      <c r="O920" s="437"/>
      <c r="P920" s="441"/>
      <c r="Q920" s="437"/>
      <c r="R920" s="441"/>
      <c r="S920" s="437"/>
      <c r="T920" s="440"/>
      <c r="U920" s="442"/>
      <c r="V920" s="241"/>
      <c r="W920" s="241"/>
      <c r="X920" s="241"/>
      <c r="Y920" s="5"/>
      <c r="Z920" s="5"/>
      <c r="AA920" s="21"/>
      <c r="AB920" s="21"/>
    </row>
    <row r="921" spans="1:32" s="15" customFormat="1">
      <c r="A921" s="427"/>
      <c r="B921" s="772"/>
      <c r="C921" s="437"/>
      <c r="D921" s="437"/>
      <c r="E921" s="437"/>
      <c r="F921" s="437"/>
      <c r="G921" s="437"/>
      <c r="H921" s="437"/>
      <c r="I921" s="437"/>
      <c r="J921" s="437"/>
      <c r="K921" s="437"/>
      <c r="L921" s="440"/>
      <c r="M921" s="437"/>
      <c r="N921" s="437"/>
      <c r="O921" s="437"/>
      <c r="P921" s="441"/>
      <c r="Q921" s="437"/>
      <c r="R921" s="437"/>
      <c r="S921" s="437"/>
      <c r="T921" s="440"/>
      <c r="U921" s="442"/>
      <c r="V921" s="241"/>
      <c r="W921" s="241"/>
      <c r="X921" s="241"/>
    </row>
    <row r="922" spans="1:32" s="15" customFormat="1">
      <c r="A922" s="427"/>
      <c r="B922" s="772"/>
      <c r="C922" s="437"/>
      <c r="D922" s="445"/>
      <c r="E922" s="445"/>
      <c r="F922" s="445"/>
      <c r="G922" s="445"/>
      <c r="H922" s="445"/>
      <c r="I922" s="445"/>
      <c r="J922" s="445"/>
      <c r="K922" s="448"/>
      <c r="L922" s="435"/>
      <c r="M922" s="432"/>
      <c r="N922" s="437"/>
      <c r="O922" s="437"/>
      <c r="P922" s="441"/>
      <c r="Q922" s="437"/>
      <c r="R922" s="441"/>
      <c r="S922" s="437"/>
      <c r="T922" s="440"/>
      <c r="U922" s="442"/>
      <c r="V922" s="241"/>
      <c r="W922" s="241"/>
      <c r="X922" s="241"/>
      <c r="Y922" s="5"/>
      <c r="Z922" s="5"/>
      <c r="AA922" s="21"/>
      <c r="AB922" s="21"/>
    </row>
    <row r="923" spans="1:32" s="15" customFormat="1">
      <c r="A923" s="427"/>
      <c r="B923" s="428"/>
      <c r="C923" s="437"/>
      <c r="D923" s="445"/>
      <c r="E923" s="445"/>
      <c r="F923" s="445"/>
      <c r="G923" s="445"/>
      <c r="H923" s="445"/>
      <c r="I923" s="445"/>
      <c r="J923" s="445"/>
      <c r="K923" s="448"/>
      <c r="L923" s="435"/>
      <c r="M923" s="445"/>
      <c r="N923" s="437"/>
      <c r="O923" s="437"/>
      <c r="P923" s="441"/>
      <c r="Q923" s="437"/>
      <c r="R923" s="441"/>
      <c r="S923" s="437"/>
      <c r="T923" s="440"/>
      <c r="U923" s="442"/>
      <c r="V923" s="241"/>
      <c r="W923" s="241"/>
      <c r="X923" s="241"/>
      <c r="Y923" s="5"/>
      <c r="Z923" s="5"/>
      <c r="AA923" s="21"/>
      <c r="AB923" s="21"/>
    </row>
    <row r="924" spans="1:32" s="15" customFormat="1">
      <c r="A924" s="427"/>
      <c r="B924" s="438"/>
      <c r="C924" s="445"/>
      <c r="D924" s="445"/>
      <c r="E924" s="445"/>
      <c r="F924" s="445"/>
      <c r="G924" s="445"/>
      <c r="H924" s="445"/>
      <c r="I924" s="445"/>
      <c r="J924" s="445"/>
      <c r="K924" s="448"/>
      <c r="L924" s="435"/>
      <c r="M924" s="448"/>
      <c r="N924" s="437"/>
      <c r="O924" s="437"/>
      <c r="P924" s="441"/>
      <c r="Q924" s="437"/>
      <c r="R924" s="441"/>
      <c r="S924" s="437"/>
      <c r="T924" s="440"/>
      <c r="U924" s="442"/>
      <c r="V924" s="241"/>
      <c r="W924" s="241"/>
      <c r="X924" s="241"/>
      <c r="Y924" s="5"/>
      <c r="Z924" s="5"/>
      <c r="AA924" s="21"/>
      <c r="AB924" s="21"/>
    </row>
    <row r="925" spans="1:32" s="15" customFormat="1">
      <c r="A925" s="427"/>
      <c r="B925" s="582"/>
      <c r="C925" s="445"/>
      <c r="D925" s="445"/>
      <c r="E925" s="445"/>
      <c r="F925" s="445"/>
      <c r="G925" s="445"/>
      <c r="H925" s="445"/>
      <c r="I925" s="445"/>
      <c r="J925" s="445"/>
      <c r="K925" s="445"/>
      <c r="L925" s="440"/>
      <c r="M925" s="437"/>
      <c r="N925" s="437"/>
      <c r="O925" s="437"/>
      <c r="P925" s="441"/>
      <c r="Q925" s="437"/>
      <c r="R925" s="441"/>
      <c r="S925" s="437"/>
      <c r="T925" s="440"/>
      <c r="U925" s="442"/>
      <c r="V925" s="241"/>
      <c r="W925" s="241"/>
      <c r="X925" s="241"/>
    </row>
    <row r="926" spans="1:32" s="15" customFormat="1">
      <c r="A926" s="427"/>
      <c r="B926" s="438"/>
      <c r="C926" s="445"/>
      <c r="D926" s="445"/>
      <c r="E926" s="445"/>
      <c r="F926" s="445"/>
      <c r="G926" s="445"/>
      <c r="H926" s="445"/>
      <c r="I926" s="445"/>
      <c r="J926" s="445"/>
      <c r="K926" s="448"/>
      <c r="L926" s="435"/>
      <c r="M926" s="448"/>
      <c r="N926" s="437"/>
      <c r="O926" s="437"/>
      <c r="P926" s="441"/>
      <c r="Q926" s="437"/>
      <c r="R926" s="441"/>
      <c r="S926" s="437"/>
      <c r="T926" s="440"/>
      <c r="U926" s="442"/>
      <c r="V926" s="241"/>
      <c r="W926" s="241"/>
      <c r="X926" s="241"/>
      <c r="Y926" s="5"/>
      <c r="Z926" s="5"/>
      <c r="AA926" s="21"/>
      <c r="AB926" s="21"/>
    </row>
    <row r="927" spans="1:32" s="15" customFormat="1">
      <c r="A927" s="427"/>
      <c r="B927" s="438"/>
      <c r="C927" s="445"/>
      <c r="D927" s="445"/>
      <c r="E927" s="445"/>
      <c r="F927" s="445"/>
      <c r="G927" s="445"/>
      <c r="H927" s="445"/>
      <c r="I927" s="445"/>
      <c r="J927" s="445"/>
      <c r="K927" s="448"/>
      <c r="L927" s="435"/>
      <c r="M927" s="445"/>
      <c r="N927" s="437"/>
      <c r="O927" s="437"/>
      <c r="P927" s="441"/>
      <c r="Q927" s="437"/>
      <c r="R927" s="441"/>
      <c r="S927" s="437"/>
      <c r="T927" s="440"/>
      <c r="U927" s="442"/>
      <c r="V927" s="241"/>
      <c r="W927" s="241"/>
      <c r="X927" s="241"/>
      <c r="Y927" s="5"/>
      <c r="Z927" s="5"/>
      <c r="AA927" s="21"/>
      <c r="AB927" s="21"/>
    </row>
    <row r="928" spans="1:32" s="15" customFormat="1">
      <c r="A928" s="427"/>
      <c r="B928" s="583"/>
      <c r="C928" s="437"/>
      <c r="D928" s="437"/>
      <c r="E928" s="437"/>
      <c r="F928" s="437"/>
      <c r="G928" s="437"/>
      <c r="H928" s="437"/>
      <c r="I928" s="437"/>
      <c r="J928" s="437"/>
      <c r="K928" s="437"/>
      <c r="L928" s="440"/>
      <c r="M928" s="437"/>
      <c r="N928" s="437"/>
      <c r="O928" s="437"/>
      <c r="P928" s="441"/>
      <c r="Q928" s="437"/>
      <c r="R928" s="437"/>
      <c r="S928" s="437"/>
      <c r="T928" s="440"/>
      <c r="U928" s="442"/>
      <c r="V928" s="241"/>
      <c r="W928" s="241"/>
      <c r="X928" s="241"/>
    </row>
    <row r="929" spans="1:24" ht="30">
      <c r="A929" s="166"/>
      <c r="B929" s="180" t="s">
        <v>132</v>
      </c>
      <c r="C929" s="177">
        <f>C930</f>
        <v>1107622</v>
      </c>
      <c r="D929" s="177">
        <f t="shared" ref="D929:U929" si="116">D930</f>
        <v>0</v>
      </c>
      <c r="E929" s="177">
        <f t="shared" si="116"/>
        <v>0</v>
      </c>
      <c r="F929" s="177">
        <f t="shared" si="116"/>
        <v>0</v>
      </c>
      <c r="G929" s="177">
        <f t="shared" si="116"/>
        <v>0</v>
      </c>
      <c r="H929" s="177">
        <f t="shared" si="116"/>
        <v>0</v>
      </c>
      <c r="I929" s="177">
        <f t="shared" si="116"/>
        <v>0</v>
      </c>
      <c r="J929" s="177">
        <f t="shared" si="116"/>
        <v>0</v>
      </c>
      <c r="K929" s="177">
        <f t="shared" si="116"/>
        <v>0</v>
      </c>
      <c r="L929" s="177">
        <f t="shared" si="116"/>
        <v>0</v>
      </c>
      <c r="M929" s="177">
        <f t="shared" si="116"/>
        <v>0</v>
      </c>
      <c r="N929" s="177">
        <f t="shared" si="116"/>
        <v>0</v>
      </c>
      <c r="O929" s="177">
        <f t="shared" si="116"/>
        <v>0</v>
      </c>
      <c r="P929" s="177">
        <f t="shared" si="116"/>
        <v>0</v>
      </c>
      <c r="Q929" s="177">
        <f t="shared" si="116"/>
        <v>0</v>
      </c>
      <c r="R929" s="177">
        <f t="shared" si="116"/>
        <v>726.2</v>
      </c>
      <c r="S929" s="177">
        <f t="shared" si="116"/>
        <v>1107622</v>
      </c>
      <c r="T929" s="177">
        <f t="shared" si="116"/>
        <v>0</v>
      </c>
      <c r="U929" s="177">
        <f t="shared" si="116"/>
        <v>0</v>
      </c>
      <c r="V929" s="241"/>
      <c r="W929" s="241"/>
      <c r="X929" s="241"/>
    </row>
    <row r="930" spans="1:24" ht="30">
      <c r="A930" s="427">
        <v>331</v>
      </c>
      <c r="B930" s="438" t="s">
        <v>701</v>
      </c>
      <c r="C930" s="437">
        <f>'часть 1'!L946</f>
        <v>1107622</v>
      </c>
      <c r="D930" s="437">
        <v>0</v>
      </c>
      <c r="E930" s="437">
        <v>0</v>
      </c>
      <c r="F930" s="437">
        <v>0</v>
      </c>
      <c r="G930" s="437">
        <v>0</v>
      </c>
      <c r="H930" s="437">
        <v>0</v>
      </c>
      <c r="I930" s="437">
        <v>0</v>
      </c>
      <c r="J930" s="437">
        <v>0</v>
      </c>
      <c r="K930" s="437">
        <v>0</v>
      </c>
      <c r="L930" s="440">
        <v>0</v>
      </c>
      <c r="M930" s="437">
        <v>0</v>
      </c>
      <c r="N930" s="437">
        <v>0</v>
      </c>
      <c r="O930" s="437">
        <v>0</v>
      </c>
      <c r="P930" s="441">
        <v>0</v>
      </c>
      <c r="Q930" s="437">
        <v>0</v>
      </c>
      <c r="R930" s="733">
        <v>726.2</v>
      </c>
      <c r="S930" s="437">
        <v>1107622</v>
      </c>
      <c r="T930" s="440">
        <v>0</v>
      </c>
      <c r="U930" s="442">
        <v>0</v>
      </c>
      <c r="V930" s="241"/>
      <c r="W930" s="241"/>
      <c r="X930" s="241">
        <f>S930/R930</f>
        <v>1525.2299641971908</v>
      </c>
    </row>
    <row r="931" spans="1:24" ht="30">
      <c r="A931" s="166"/>
      <c r="B931" s="180" t="s">
        <v>110</v>
      </c>
      <c r="C931" s="177">
        <f>C932</f>
        <v>2348226</v>
      </c>
      <c r="D931" s="177">
        <f t="shared" ref="D931:U931" si="117">D932</f>
        <v>0</v>
      </c>
      <c r="E931" s="177">
        <f t="shared" si="117"/>
        <v>0</v>
      </c>
      <c r="F931" s="177">
        <f t="shared" si="117"/>
        <v>0</v>
      </c>
      <c r="G931" s="177">
        <f t="shared" si="117"/>
        <v>0</v>
      </c>
      <c r="H931" s="177">
        <f t="shared" si="117"/>
        <v>0</v>
      </c>
      <c r="I931" s="177">
        <f t="shared" si="117"/>
        <v>0</v>
      </c>
      <c r="J931" s="177">
        <f t="shared" si="117"/>
        <v>0</v>
      </c>
      <c r="K931" s="177">
        <f t="shared" si="117"/>
        <v>0</v>
      </c>
      <c r="L931" s="177">
        <f t="shared" si="117"/>
        <v>0</v>
      </c>
      <c r="M931" s="177">
        <f t="shared" si="117"/>
        <v>0</v>
      </c>
      <c r="N931" s="177">
        <f t="shared" si="117"/>
        <v>738</v>
      </c>
      <c r="O931" s="177">
        <f t="shared" si="117"/>
        <v>2348226</v>
      </c>
      <c r="P931" s="177">
        <f t="shared" si="117"/>
        <v>0</v>
      </c>
      <c r="Q931" s="177">
        <f t="shared" si="117"/>
        <v>0</v>
      </c>
      <c r="R931" s="177">
        <f t="shared" si="117"/>
        <v>0</v>
      </c>
      <c r="S931" s="177">
        <f t="shared" si="117"/>
        <v>0</v>
      </c>
      <c r="T931" s="177">
        <f t="shared" si="117"/>
        <v>0</v>
      </c>
      <c r="U931" s="177">
        <f t="shared" si="117"/>
        <v>0</v>
      </c>
      <c r="V931" s="241"/>
      <c r="W931" s="241"/>
      <c r="X931" s="241"/>
    </row>
    <row r="932" spans="1:24">
      <c r="A932" s="427">
        <v>332</v>
      </c>
      <c r="B932" s="443" t="s">
        <v>475</v>
      </c>
      <c r="C932" s="437">
        <v>2348226</v>
      </c>
      <c r="D932" s="437">
        <v>0</v>
      </c>
      <c r="E932" s="437">
        <v>0</v>
      </c>
      <c r="F932" s="437">
        <v>0</v>
      </c>
      <c r="G932" s="437">
        <v>0</v>
      </c>
      <c r="H932" s="437">
        <v>0</v>
      </c>
      <c r="I932" s="437">
        <v>0</v>
      </c>
      <c r="J932" s="437">
        <v>0</v>
      </c>
      <c r="K932" s="437">
        <v>0</v>
      </c>
      <c r="L932" s="440">
        <v>0</v>
      </c>
      <c r="M932" s="437">
        <v>0</v>
      </c>
      <c r="N932" s="432">
        <v>738</v>
      </c>
      <c r="O932" s="437">
        <v>2348226</v>
      </c>
      <c r="P932" s="441">
        <v>0</v>
      </c>
      <c r="Q932" s="437">
        <v>0</v>
      </c>
      <c r="R932" s="441">
        <v>0</v>
      </c>
      <c r="S932" s="437">
        <v>0</v>
      </c>
      <c r="T932" s="440">
        <v>0</v>
      </c>
      <c r="U932" s="442">
        <v>0</v>
      </c>
      <c r="V932" s="241"/>
      <c r="W932" s="241">
        <f>O932/N932</f>
        <v>3181.8780487804879</v>
      </c>
      <c r="X932" s="241"/>
    </row>
    <row r="933" spans="1:24">
      <c r="A933" s="427"/>
      <c r="B933" s="438"/>
      <c r="C933" s="437"/>
      <c r="D933" s="437"/>
      <c r="E933" s="437"/>
      <c r="F933" s="437"/>
      <c r="G933" s="437"/>
      <c r="H933" s="437"/>
      <c r="I933" s="437"/>
      <c r="J933" s="437"/>
      <c r="K933" s="437"/>
      <c r="L933" s="440"/>
      <c r="M933" s="437"/>
      <c r="N933" s="437"/>
      <c r="O933" s="437"/>
      <c r="P933" s="441"/>
      <c r="Q933" s="437"/>
      <c r="R933" s="441"/>
      <c r="S933" s="437"/>
      <c r="T933" s="440"/>
      <c r="U933" s="442"/>
      <c r="V933" s="241"/>
      <c r="W933" s="241"/>
      <c r="X933" s="241"/>
    </row>
    <row r="934" spans="1:24" ht="30">
      <c r="A934" s="427"/>
      <c r="B934" s="438" t="s">
        <v>128</v>
      </c>
      <c r="C934" s="437">
        <f>C935+C936+C937+C938</f>
        <v>9209860</v>
      </c>
      <c r="D934" s="437">
        <f t="shared" ref="D934:V934" si="118">D935+D936+D937+D938</f>
        <v>0</v>
      </c>
      <c r="E934" s="437">
        <f t="shared" si="118"/>
        <v>0</v>
      </c>
      <c r="F934" s="437">
        <f t="shared" si="118"/>
        <v>0</v>
      </c>
      <c r="G934" s="437">
        <f t="shared" si="118"/>
        <v>0</v>
      </c>
      <c r="H934" s="437">
        <f t="shared" si="118"/>
        <v>0</v>
      </c>
      <c r="I934" s="437">
        <f t="shared" si="118"/>
        <v>0</v>
      </c>
      <c r="J934" s="437">
        <f t="shared" si="118"/>
        <v>0</v>
      </c>
      <c r="K934" s="437">
        <f t="shared" si="118"/>
        <v>0</v>
      </c>
      <c r="L934" s="437">
        <f t="shared" si="118"/>
        <v>0</v>
      </c>
      <c r="M934" s="437">
        <f t="shared" si="118"/>
        <v>0</v>
      </c>
      <c r="N934" s="437">
        <f t="shared" si="118"/>
        <v>3686.6</v>
      </c>
      <c r="O934" s="437">
        <f t="shared" si="118"/>
        <v>9209860</v>
      </c>
      <c r="P934" s="437">
        <f t="shared" si="118"/>
        <v>0</v>
      </c>
      <c r="Q934" s="437">
        <f t="shared" si="118"/>
        <v>0</v>
      </c>
      <c r="R934" s="437">
        <f t="shared" si="118"/>
        <v>0</v>
      </c>
      <c r="S934" s="437">
        <f t="shared" si="118"/>
        <v>0</v>
      </c>
      <c r="T934" s="437">
        <f t="shared" si="118"/>
        <v>0</v>
      </c>
      <c r="U934" s="437">
        <f t="shared" si="118"/>
        <v>0</v>
      </c>
      <c r="V934" s="177">
        <f t="shared" si="118"/>
        <v>0</v>
      </c>
      <c r="W934" s="241"/>
      <c r="X934" s="241"/>
    </row>
    <row r="935" spans="1:24" customFormat="1">
      <c r="A935" s="427">
        <v>334</v>
      </c>
      <c r="B935" s="720" t="s">
        <v>725</v>
      </c>
      <c r="C935" s="445">
        <f>'часть 1'!L950</f>
        <v>2620143</v>
      </c>
      <c r="D935" s="445">
        <v>0</v>
      </c>
      <c r="E935" s="445">
        <v>0</v>
      </c>
      <c r="F935" s="445">
        <v>0</v>
      </c>
      <c r="G935" s="445">
        <v>0</v>
      </c>
      <c r="H935" s="445">
        <v>0</v>
      </c>
      <c r="I935" s="445">
        <v>0</v>
      </c>
      <c r="J935" s="445">
        <v>0</v>
      </c>
      <c r="K935" s="445">
        <v>0</v>
      </c>
      <c r="L935" s="446">
        <v>0</v>
      </c>
      <c r="M935" s="445">
        <v>0</v>
      </c>
      <c r="N935" s="432">
        <v>1047</v>
      </c>
      <c r="O935" s="445">
        <v>2620143</v>
      </c>
      <c r="P935" s="446">
        <v>0</v>
      </c>
      <c r="Q935" s="445">
        <v>0</v>
      </c>
      <c r="R935" s="446">
        <v>0</v>
      </c>
      <c r="S935" s="445">
        <v>0</v>
      </c>
      <c r="T935" s="563">
        <v>0</v>
      </c>
      <c r="U935" s="564">
        <v>0</v>
      </c>
      <c r="V935" s="241"/>
      <c r="W935" s="241">
        <f>O935/N935</f>
        <v>2502.5243553008595</v>
      </c>
      <c r="X935" s="241"/>
    </row>
    <row r="936" spans="1:24" customFormat="1">
      <c r="A936" s="427">
        <v>335</v>
      </c>
      <c r="B936" s="720" t="s">
        <v>726</v>
      </c>
      <c r="C936" s="445">
        <f>'часть 1'!L951</f>
        <v>3158092</v>
      </c>
      <c r="D936" s="445">
        <v>0</v>
      </c>
      <c r="E936" s="445">
        <v>0</v>
      </c>
      <c r="F936" s="445">
        <v>0</v>
      </c>
      <c r="G936" s="445">
        <v>0</v>
      </c>
      <c r="H936" s="445">
        <v>0</v>
      </c>
      <c r="I936" s="445">
        <v>0</v>
      </c>
      <c r="J936" s="445">
        <v>0</v>
      </c>
      <c r="K936" s="445">
        <v>0</v>
      </c>
      <c r="L936" s="446">
        <v>0</v>
      </c>
      <c r="M936" s="445">
        <v>0</v>
      </c>
      <c r="N936" s="432">
        <v>1263.5999999999999</v>
      </c>
      <c r="O936" s="445">
        <v>3158092</v>
      </c>
      <c r="P936" s="446">
        <v>0</v>
      </c>
      <c r="Q936" s="445">
        <v>0</v>
      </c>
      <c r="R936" s="446">
        <v>0</v>
      </c>
      <c r="S936" s="445">
        <v>0</v>
      </c>
      <c r="T936" s="563">
        <v>0</v>
      </c>
      <c r="U936" s="564">
        <v>0</v>
      </c>
      <c r="V936" s="241"/>
      <c r="W936" s="241">
        <f>O936/N936</f>
        <v>2499.2814181703075</v>
      </c>
      <c r="X936" s="241"/>
    </row>
    <row r="937" spans="1:24" customFormat="1">
      <c r="A937" s="427">
        <v>336</v>
      </c>
      <c r="B937" s="720" t="s">
        <v>727</v>
      </c>
      <c r="C937" s="445">
        <f>'часть 1'!L952</f>
        <v>1623752</v>
      </c>
      <c r="D937" s="445">
        <v>0</v>
      </c>
      <c r="E937" s="445">
        <v>0</v>
      </c>
      <c r="F937" s="445">
        <v>0</v>
      </c>
      <c r="G937" s="445">
        <v>0</v>
      </c>
      <c r="H937" s="445">
        <v>0</v>
      </c>
      <c r="I937" s="445">
        <v>0</v>
      </c>
      <c r="J937" s="445">
        <v>0</v>
      </c>
      <c r="K937" s="445">
        <v>0</v>
      </c>
      <c r="L937" s="446">
        <v>0</v>
      </c>
      <c r="M937" s="445">
        <v>0</v>
      </c>
      <c r="N937" s="432">
        <v>650</v>
      </c>
      <c r="O937" s="445">
        <v>1623752</v>
      </c>
      <c r="P937" s="446">
        <v>0</v>
      </c>
      <c r="Q937" s="445">
        <v>0</v>
      </c>
      <c r="R937" s="446">
        <v>0</v>
      </c>
      <c r="S937" s="445">
        <v>0</v>
      </c>
      <c r="T937" s="563">
        <v>0</v>
      </c>
      <c r="U937" s="564">
        <v>0</v>
      </c>
      <c r="V937" s="241"/>
      <c r="W937" s="241">
        <f>O937/N937</f>
        <v>2498.08</v>
      </c>
      <c r="X937" s="241"/>
    </row>
    <row r="938" spans="1:24" customFormat="1">
      <c r="A938" s="427">
        <v>337</v>
      </c>
      <c r="B938" s="720" t="s">
        <v>728</v>
      </c>
      <c r="C938" s="445">
        <f>'часть 1'!L953</f>
        <v>1807873</v>
      </c>
      <c r="D938" s="445">
        <v>0</v>
      </c>
      <c r="E938" s="445">
        <v>0</v>
      </c>
      <c r="F938" s="445">
        <v>0</v>
      </c>
      <c r="G938" s="445">
        <v>0</v>
      </c>
      <c r="H938" s="445">
        <v>0</v>
      </c>
      <c r="I938" s="445">
        <v>0</v>
      </c>
      <c r="J938" s="445">
        <v>0</v>
      </c>
      <c r="K938" s="445">
        <v>0</v>
      </c>
      <c r="L938" s="446">
        <v>0</v>
      </c>
      <c r="M938" s="445">
        <v>0</v>
      </c>
      <c r="N938" s="432">
        <v>726</v>
      </c>
      <c r="O938" s="445">
        <v>1807873</v>
      </c>
      <c r="P938" s="446">
        <v>0</v>
      </c>
      <c r="Q938" s="445">
        <v>0</v>
      </c>
      <c r="R938" s="446">
        <v>0</v>
      </c>
      <c r="S938" s="445">
        <v>0</v>
      </c>
      <c r="T938" s="563">
        <v>0</v>
      </c>
      <c r="U938" s="564">
        <v>0</v>
      </c>
      <c r="V938" s="241"/>
      <c r="W938" s="241">
        <f>O938/N938</f>
        <v>2490.1831955922867</v>
      </c>
      <c r="X938" s="241"/>
    </row>
    <row r="939" spans="1:24" customFormat="1">
      <c r="A939" s="427"/>
      <c r="B939" s="444"/>
      <c r="C939" s="445"/>
      <c r="D939" s="445"/>
      <c r="E939" s="445"/>
      <c r="F939" s="445"/>
      <c r="G939" s="445"/>
      <c r="H939" s="445"/>
      <c r="I939" s="445"/>
      <c r="J939" s="445"/>
      <c r="K939" s="445"/>
      <c r="L939" s="446"/>
      <c r="M939" s="445"/>
      <c r="N939" s="432"/>
      <c r="O939" s="445"/>
      <c r="P939" s="446"/>
      <c r="Q939" s="445"/>
      <c r="R939" s="446"/>
      <c r="S939" s="445"/>
      <c r="T939" s="563"/>
      <c r="U939" s="564"/>
      <c r="V939" s="241"/>
      <c r="W939" s="241"/>
      <c r="X939" s="241"/>
    </row>
    <row r="940" spans="1:24" customFormat="1">
      <c r="A940" s="427"/>
      <c r="B940" s="444"/>
      <c r="C940" s="445"/>
      <c r="D940" s="445"/>
      <c r="E940" s="445"/>
      <c r="F940" s="445"/>
      <c r="G940" s="445"/>
      <c r="H940" s="445"/>
      <c r="I940" s="445"/>
      <c r="J940" s="445"/>
      <c r="K940" s="445"/>
      <c r="L940" s="446"/>
      <c r="M940" s="445"/>
      <c r="N940" s="432"/>
      <c r="O940" s="445"/>
      <c r="P940" s="446"/>
      <c r="Q940" s="445"/>
      <c r="R940" s="446"/>
      <c r="S940" s="445"/>
      <c r="T940" s="563"/>
      <c r="U940" s="564"/>
      <c r="V940" s="241"/>
      <c r="W940" s="241"/>
      <c r="X940" s="241"/>
    </row>
    <row r="941" spans="1:24" customFormat="1" ht="30">
      <c r="A941" s="427"/>
      <c r="B941" s="444" t="s">
        <v>668</v>
      </c>
      <c r="C941" s="445">
        <f>C942</f>
        <v>1720569</v>
      </c>
      <c r="D941" s="445">
        <f t="shared" ref="D941:V941" si="119">D942</f>
        <v>0</v>
      </c>
      <c r="E941" s="445">
        <f t="shared" si="119"/>
        <v>0</v>
      </c>
      <c r="F941" s="445">
        <f t="shared" si="119"/>
        <v>0</v>
      </c>
      <c r="G941" s="445">
        <f t="shared" si="119"/>
        <v>0</v>
      </c>
      <c r="H941" s="445">
        <f t="shared" si="119"/>
        <v>0</v>
      </c>
      <c r="I941" s="445">
        <f t="shared" si="119"/>
        <v>0</v>
      </c>
      <c r="J941" s="445">
        <f t="shared" si="119"/>
        <v>0</v>
      </c>
      <c r="K941" s="445">
        <f t="shared" si="119"/>
        <v>0</v>
      </c>
      <c r="L941" s="445">
        <f t="shared" si="119"/>
        <v>0</v>
      </c>
      <c r="M941" s="445">
        <f t="shared" si="119"/>
        <v>0</v>
      </c>
      <c r="N941" s="445">
        <f t="shared" si="119"/>
        <v>538.9</v>
      </c>
      <c r="O941" s="445">
        <f t="shared" si="119"/>
        <v>1720569</v>
      </c>
      <c r="P941" s="445">
        <f t="shared" si="119"/>
        <v>0</v>
      </c>
      <c r="Q941" s="445">
        <f t="shared" si="119"/>
        <v>0</v>
      </c>
      <c r="R941" s="445">
        <f t="shared" si="119"/>
        <v>0</v>
      </c>
      <c r="S941" s="445">
        <f t="shared" si="119"/>
        <v>0</v>
      </c>
      <c r="T941" s="445">
        <f t="shared" si="119"/>
        <v>0</v>
      </c>
      <c r="U941" s="445">
        <f t="shared" si="119"/>
        <v>0</v>
      </c>
      <c r="V941" s="187">
        <f t="shared" si="119"/>
        <v>0</v>
      </c>
      <c r="W941" s="241"/>
      <c r="X941" s="241"/>
    </row>
    <row r="942" spans="1:24" customFormat="1">
      <c r="A942" s="427"/>
      <c r="B942" s="444" t="s">
        <v>671</v>
      </c>
      <c r="C942" s="445">
        <v>1720569</v>
      </c>
      <c r="D942" s="445">
        <v>0</v>
      </c>
      <c r="E942" s="445">
        <v>0</v>
      </c>
      <c r="F942" s="445">
        <v>0</v>
      </c>
      <c r="G942" s="445">
        <v>0</v>
      </c>
      <c r="H942" s="445">
        <v>0</v>
      </c>
      <c r="I942" s="445">
        <v>0</v>
      </c>
      <c r="J942" s="445">
        <v>0</v>
      </c>
      <c r="K942" s="445">
        <v>0</v>
      </c>
      <c r="L942" s="445">
        <v>0</v>
      </c>
      <c r="M942" s="445">
        <v>0</v>
      </c>
      <c r="N942" s="432">
        <v>538.9</v>
      </c>
      <c r="O942" s="445">
        <v>1720569</v>
      </c>
      <c r="P942" s="446">
        <v>0</v>
      </c>
      <c r="Q942" s="445">
        <v>0</v>
      </c>
      <c r="R942" s="446">
        <v>0</v>
      </c>
      <c r="S942" s="445">
        <v>0</v>
      </c>
      <c r="T942" s="563">
        <v>0</v>
      </c>
      <c r="U942" s="564">
        <v>0</v>
      </c>
      <c r="V942" s="241"/>
      <c r="W942" s="241">
        <f>O942/N942</f>
        <v>3192.7426238634257</v>
      </c>
      <c r="X942" s="241"/>
    </row>
    <row r="943" spans="1:24" ht="30">
      <c r="A943" s="166"/>
      <c r="B943" s="180" t="s">
        <v>994</v>
      </c>
      <c r="C943" s="177">
        <f>C944+C945</f>
        <v>580386</v>
      </c>
      <c r="D943" s="177">
        <f t="shared" ref="D943:U943" si="120">D944+D945</f>
        <v>0</v>
      </c>
      <c r="E943" s="177">
        <f t="shared" si="120"/>
        <v>0</v>
      </c>
      <c r="F943" s="177">
        <f t="shared" si="120"/>
        <v>0</v>
      </c>
      <c r="G943" s="177">
        <f t="shared" si="120"/>
        <v>0</v>
      </c>
      <c r="H943" s="177">
        <f t="shared" si="120"/>
        <v>0</v>
      </c>
      <c r="I943" s="177">
        <f t="shared" si="120"/>
        <v>0</v>
      </c>
      <c r="J943" s="177">
        <f t="shared" si="120"/>
        <v>0</v>
      </c>
      <c r="K943" s="177">
        <f t="shared" si="120"/>
        <v>0</v>
      </c>
      <c r="L943" s="177">
        <f t="shared" si="120"/>
        <v>0</v>
      </c>
      <c r="M943" s="177">
        <f t="shared" si="120"/>
        <v>0</v>
      </c>
      <c r="N943" s="177">
        <f t="shared" si="120"/>
        <v>0</v>
      </c>
      <c r="O943" s="177">
        <f t="shared" si="120"/>
        <v>0</v>
      </c>
      <c r="P943" s="177">
        <f t="shared" si="120"/>
        <v>0</v>
      </c>
      <c r="Q943" s="177">
        <f t="shared" si="120"/>
        <v>0</v>
      </c>
      <c r="R943" s="177">
        <f t="shared" si="120"/>
        <v>371</v>
      </c>
      <c r="S943" s="177">
        <f t="shared" si="120"/>
        <v>580386</v>
      </c>
      <c r="T943" s="177">
        <f t="shared" si="120"/>
        <v>0</v>
      </c>
      <c r="U943" s="177">
        <f t="shared" si="120"/>
        <v>0</v>
      </c>
      <c r="V943" s="177">
        <f>V944+V945</f>
        <v>0</v>
      </c>
      <c r="W943" s="241"/>
      <c r="X943" s="241"/>
    </row>
    <row r="944" spans="1:24" ht="25.15" customHeight="1">
      <c r="A944" s="166"/>
      <c r="B944" s="223" t="s">
        <v>996</v>
      </c>
      <c r="C944" s="177">
        <f>'часть 1'!L959</f>
        <v>290233</v>
      </c>
      <c r="D944" s="177">
        <v>0</v>
      </c>
      <c r="E944" s="177">
        <v>0</v>
      </c>
      <c r="F944" s="177">
        <v>0</v>
      </c>
      <c r="G944" s="177">
        <v>0</v>
      </c>
      <c r="H944" s="177">
        <v>0</v>
      </c>
      <c r="I944" s="177">
        <v>0</v>
      </c>
      <c r="J944" s="177">
        <v>0</v>
      </c>
      <c r="K944" s="177">
        <v>0</v>
      </c>
      <c r="L944" s="178">
        <v>0</v>
      </c>
      <c r="M944" s="177">
        <v>0</v>
      </c>
      <c r="N944" s="177">
        <v>0</v>
      </c>
      <c r="O944" s="177">
        <v>0</v>
      </c>
      <c r="P944" s="179">
        <v>0</v>
      </c>
      <c r="Q944" s="177">
        <v>0</v>
      </c>
      <c r="R944" s="177">
        <v>185.5</v>
      </c>
      <c r="S944" s="177">
        <v>290233</v>
      </c>
      <c r="T944" s="178">
        <v>0</v>
      </c>
      <c r="U944" s="248">
        <v>0</v>
      </c>
      <c r="V944" s="241"/>
      <c r="W944" s="241"/>
      <c r="X944" s="241">
        <f>S944/R944</f>
        <v>1564.5983827493262</v>
      </c>
    </row>
    <row r="945" spans="1:30" ht="22.15" customHeight="1">
      <c r="A945" s="166">
        <v>340</v>
      </c>
      <c r="B945" s="223" t="s">
        <v>997</v>
      </c>
      <c r="C945" s="177">
        <f>'часть 1'!L960</f>
        <v>290153</v>
      </c>
      <c r="D945" s="177">
        <v>0</v>
      </c>
      <c r="E945" s="177">
        <v>0</v>
      </c>
      <c r="F945" s="177">
        <v>0</v>
      </c>
      <c r="G945" s="177">
        <v>0</v>
      </c>
      <c r="H945" s="177">
        <v>0</v>
      </c>
      <c r="I945" s="177">
        <v>0</v>
      </c>
      <c r="J945" s="177">
        <v>0</v>
      </c>
      <c r="K945" s="177">
        <v>0</v>
      </c>
      <c r="L945" s="178">
        <v>0</v>
      </c>
      <c r="M945" s="177">
        <v>0</v>
      </c>
      <c r="N945" s="177">
        <v>0</v>
      </c>
      <c r="O945" s="177">
        <v>0</v>
      </c>
      <c r="P945" s="179">
        <v>0</v>
      </c>
      <c r="Q945" s="177">
        <v>0</v>
      </c>
      <c r="R945" s="177">
        <v>185.5</v>
      </c>
      <c r="S945" s="177">
        <v>290153</v>
      </c>
      <c r="T945" s="178">
        <v>0</v>
      </c>
      <c r="U945" s="248">
        <v>0</v>
      </c>
      <c r="V945" s="241"/>
      <c r="W945" s="241"/>
      <c r="X945" s="241">
        <f>S945/R945</f>
        <v>1564.167115902965</v>
      </c>
    </row>
    <row r="946" spans="1:30" ht="30">
      <c r="A946" s="166"/>
      <c r="B946" s="180" t="s">
        <v>111</v>
      </c>
      <c r="C946" s="177">
        <v>657835.92000000004</v>
      </c>
      <c r="D946" s="177"/>
      <c r="E946" s="177"/>
      <c r="F946" s="177"/>
      <c r="G946" s="177"/>
      <c r="H946" s="177"/>
      <c r="I946" s="177"/>
      <c r="J946" s="177"/>
      <c r="K946" s="177">
        <v>0</v>
      </c>
      <c r="L946" s="179">
        <v>0</v>
      </c>
      <c r="M946" s="177">
        <v>0</v>
      </c>
      <c r="N946" s="177">
        <f>N947</f>
        <v>396</v>
      </c>
      <c r="O946" s="177">
        <v>657835.92000000004</v>
      </c>
      <c r="P946" s="179">
        <v>0</v>
      </c>
      <c r="Q946" s="205">
        <v>0</v>
      </c>
      <c r="R946" s="179">
        <v>0</v>
      </c>
      <c r="S946" s="205">
        <v>0</v>
      </c>
      <c r="T946" s="178">
        <v>0</v>
      </c>
      <c r="U946" s="251">
        <v>0</v>
      </c>
      <c r="V946" s="241"/>
      <c r="W946" s="241"/>
      <c r="X946" s="241"/>
    </row>
    <row r="947" spans="1:30" ht="30">
      <c r="A947" s="166">
        <v>341</v>
      </c>
      <c r="B947" s="180" t="s">
        <v>453</v>
      </c>
      <c r="C947" s="177">
        <v>657835.92000000004</v>
      </c>
      <c r="D947" s="177"/>
      <c r="E947" s="177"/>
      <c r="F947" s="177"/>
      <c r="G947" s="177"/>
      <c r="H947" s="177"/>
      <c r="I947" s="177"/>
      <c r="J947" s="177"/>
      <c r="K947" s="177">
        <v>0</v>
      </c>
      <c r="L947" s="178">
        <v>0</v>
      </c>
      <c r="M947" s="177">
        <v>0</v>
      </c>
      <c r="N947" s="167">
        <v>396</v>
      </c>
      <c r="O947" s="177">
        <v>657835.92000000004</v>
      </c>
      <c r="P947" s="179">
        <v>0</v>
      </c>
      <c r="Q947" s="177">
        <v>0</v>
      </c>
      <c r="R947" s="179">
        <v>0</v>
      </c>
      <c r="S947" s="177">
        <v>0</v>
      </c>
      <c r="T947" s="178">
        <v>0</v>
      </c>
      <c r="U947" s="248">
        <v>0</v>
      </c>
      <c r="V947" s="241"/>
      <c r="W947" s="241"/>
      <c r="X947" s="241"/>
    </row>
    <row r="948" spans="1:30" ht="30">
      <c r="A948" s="427"/>
      <c r="B948" s="438" t="s">
        <v>129</v>
      </c>
      <c r="C948" s="437">
        <f>C949</f>
        <v>1430935</v>
      </c>
      <c r="D948" s="437">
        <f t="shared" ref="D948:V948" si="121">D949</f>
        <v>0</v>
      </c>
      <c r="E948" s="437">
        <f t="shared" si="121"/>
        <v>0</v>
      </c>
      <c r="F948" s="437">
        <f t="shared" si="121"/>
        <v>0</v>
      </c>
      <c r="G948" s="437">
        <f t="shared" si="121"/>
        <v>0</v>
      </c>
      <c r="H948" s="437">
        <f t="shared" si="121"/>
        <v>0</v>
      </c>
      <c r="I948" s="437">
        <f t="shared" si="121"/>
        <v>0</v>
      </c>
      <c r="J948" s="437">
        <f t="shared" si="121"/>
        <v>0</v>
      </c>
      <c r="K948" s="437">
        <f t="shared" si="121"/>
        <v>0</v>
      </c>
      <c r="L948" s="437">
        <f t="shared" si="121"/>
        <v>0</v>
      </c>
      <c r="M948" s="437">
        <f t="shared" si="121"/>
        <v>0</v>
      </c>
      <c r="N948" s="437">
        <f t="shared" si="121"/>
        <v>442</v>
      </c>
      <c r="O948" s="437">
        <f t="shared" si="121"/>
        <v>1430935</v>
      </c>
      <c r="P948" s="437">
        <f t="shared" si="121"/>
        <v>0</v>
      </c>
      <c r="Q948" s="437">
        <f t="shared" si="121"/>
        <v>0</v>
      </c>
      <c r="R948" s="437">
        <f t="shared" si="121"/>
        <v>0</v>
      </c>
      <c r="S948" s="437">
        <f t="shared" si="121"/>
        <v>0</v>
      </c>
      <c r="T948" s="437">
        <f t="shared" si="121"/>
        <v>0</v>
      </c>
      <c r="U948" s="437">
        <f t="shared" si="121"/>
        <v>0</v>
      </c>
      <c r="V948" s="177">
        <f t="shared" si="121"/>
        <v>0</v>
      </c>
      <c r="W948" s="241"/>
      <c r="X948" s="241"/>
    </row>
    <row r="949" spans="1:30" s="47" customFormat="1" ht="28.15" customHeight="1">
      <c r="A949" s="427">
        <v>342</v>
      </c>
      <c r="B949" s="428" t="s">
        <v>685</v>
      </c>
      <c r="C949" s="429">
        <v>1430935</v>
      </c>
      <c r="D949" s="429">
        <v>0</v>
      </c>
      <c r="E949" s="429">
        <v>0</v>
      </c>
      <c r="F949" s="429">
        <v>0</v>
      </c>
      <c r="G949" s="429">
        <v>0</v>
      </c>
      <c r="H949" s="429">
        <v>0</v>
      </c>
      <c r="I949" s="429">
        <v>0</v>
      </c>
      <c r="J949" s="429">
        <v>0</v>
      </c>
      <c r="K949" s="437">
        <v>0</v>
      </c>
      <c r="L949" s="435">
        <v>0</v>
      </c>
      <c r="M949" s="437">
        <v>0</v>
      </c>
      <c r="N949" s="432">
        <v>442</v>
      </c>
      <c r="O949" s="429">
        <v>1430935</v>
      </c>
      <c r="P949" s="501">
        <v>0</v>
      </c>
      <c r="Q949" s="437">
        <v>0</v>
      </c>
      <c r="R949" s="501">
        <v>0</v>
      </c>
      <c r="S949" s="437">
        <v>0</v>
      </c>
      <c r="T949" s="435">
        <v>0</v>
      </c>
      <c r="U949" s="442">
        <v>0</v>
      </c>
      <c r="V949" s="241"/>
      <c r="W949" s="241">
        <f>O949/N949</f>
        <v>3237.4095022624433</v>
      </c>
      <c r="X949" s="241"/>
    </row>
    <row r="950" spans="1:30" s="47" customFormat="1">
      <c r="A950" s="427"/>
      <c r="B950" s="428"/>
      <c r="C950" s="429"/>
      <c r="D950" s="429"/>
      <c r="E950" s="429"/>
      <c r="F950" s="429"/>
      <c r="G950" s="429"/>
      <c r="H950" s="429"/>
      <c r="I950" s="429"/>
      <c r="J950" s="429"/>
      <c r="K950" s="437"/>
      <c r="L950" s="435"/>
      <c r="M950" s="437"/>
      <c r="N950" s="432"/>
      <c r="O950" s="429"/>
      <c r="P950" s="501"/>
      <c r="Q950" s="437"/>
      <c r="R950" s="501"/>
      <c r="S950" s="437"/>
      <c r="T950" s="435"/>
      <c r="U950" s="442"/>
      <c r="V950" s="241"/>
      <c r="W950" s="241"/>
      <c r="X950" s="241"/>
    </row>
    <row r="951" spans="1:30" s="47" customFormat="1">
      <c r="A951" s="427"/>
      <c r="B951" s="428"/>
      <c r="C951" s="429"/>
      <c r="D951" s="429"/>
      <c r="E951" s="429"/>
      <c r="F951" s="429"/>
      <c r="G951" s="429"/>
      <c r="H951" s="429"/>
      <c r="I951" s="429"/>
      <c r="J951" s="429"/>
      <c r="K951" s="437"/>
      <c r="L951" s="435"/>
      <c r="M951" s="437"/>
      <c r="N951" s="432"/>
      <c r="O951" s="429"/>
      <c r="P951" s="501"/>
      <c r="Q951" s="437"/>
      <c r="R951" s="501"/>
      <c r="S951" s="437"/>
      <c r="T951" s="435"/>
      <c r="U951" s="442"/>
      <c r="V951" s="241"/>
      <c r="W951" s="241"/>
      <c r="X951" s="241"/>
    </row>
    <row r="952" spans="1:30" s="47" customFormat="1">
      <c r="A952" s="427"/>
      <c r="B952" s="428"/>
      <c r="C952" s="429"/>
      <c r="D952" s="429"/>
      <c r="E952" s="429"/>
      <c r="F952" s="429"/>
      <c r="G952" s="429"/>
      <c r="H952" s="429"/>
      <c r="I952" s="429"/>
      <c r="J952" s="429"/>
      <c r="K952" s="437"/>
      <c r="L952" s="435"/>
      <c r="M952" s="437"/>
      <c r="N952" s="432"/>
      <c r="O952" s="429"/>
      <c r="P952" s="501"/>
      <c r="Q952" s="437"/>
      <c r="R952" s="437"/>
      <c r="S952" s="437"/>
      <c r="T952" s="435"/>
      <c r="U952" s="442"/>
      <c r="V952" s="241"/>
      <c r="W952" s="241"/>
      <c r="X952" s="241"/>
    </row>
    <row r="953" spans="1:30">
      <c r="A953" s="166"/>
      <c r="B953" s="182" t="s">
        <v>54</v>
      </c>
      <c r="C953" s="177">
        <v>2222747</v>
      </c>
      <c r="D953" s="177"/>
      <c r="E953" s="177"/>
      <c r="F953" s="177"/>
      <c r="G953" s="177"/>
      <c r="H953" s="177"/>
      <c r="I953" s="177"/>
      <c r="J953" s="177"/>
      <c r="K953" s="177">
        <v>0</v>
      </c>
      <c r="L953" s="178">
        <v>0</v>
      </c>
      <c r="M953" s="177">
        <v>0</v>
      </c>
      <c r="N953" s="177">
        <v>1115</v>
      </c>
      <c r="O953" s="177">
        <v>2222747</v>
      </c>
      <c r="P953" s="179">
        <v>0</v>
      </c>
      <c r="Q953" s="177">
        <v>0</v>
      </c>
      <c r="R953" s="179">
        <v>0</v>
      </c>
      <c r="S953" s="177">
        <v>0</v>
      </c>
      <c r="T953" s="178">
        <v>0</v>
      </c>
      <c r="U953" s="248">
        <v>0</v>
      </c>
      <c r="V953" s="241"/>
      <c r="W953" s="241"/>
      <c r="X953" s="241"/>
    </row>
    <row r="954" spans="1:30" ht="30">
      <c r="A954" s="166"/>
      <c r="B954" s="180" t="s">
        <v>112</v>
      </c>
      <c r="C954" s="177">
        <v>2222747</v>
      </c>
      <c r="D954" s="177"/>
      <c r="E954" s="177"/>
      <c r="F954" s="177"/>
      <c r="G954" s="177"/>
      <c r="H954" s="177"/>
      <c r="I954" s="177"/>
      <c r="J954" s="177"/>
      <c r="K954" s="177">
        <v>0</v>
      </c>
      <c r="L954" s="178">
        <v>0</v>
      </c>
      <c r="M954" s="177">
        <v>0</v>
      </c>
      <c r="N954" s="177">
        <v>1115</v>
      </c>
      <c r="O954" s="177">
        <v>2222747</v>
      </c>
      <c r="P954" s="179">
        <v>0</v>
      </c>
      <c r="Q954" s="177">
        <v>0</v>
      </c>
      <c r="R954" s="179">
        <v>0</v>
      </c>
      <c r="S954" s="177">
        <v>0</v>
      </c>
      <c r="T954" s="178">
        <v>0</v>
      </c>
      <c r="U954" s="248">
        <v>0</v>
      </c>
      <c r="V954" s="241"/>
      <c r="W954" s="241"/>
      <c r="X954" s="241"/>
    </row>
    <row r="955" spans="1:30">
      <c r="A955" s="166">
        <v>346</v>
      </c>
      <c r="B955" s="182" t="s">
        <v>422</v>
      </c>
      <c r="C955" s="177">
        <v>1003542</v>
      </c>
      <c r="D955" s="177"/>
      <c r="E955" s="177"/>
      <c r="F955" s="177"/>
      <c r="G955" s="177"/>
      <c r="H955" s="177"/>
      <c r="I955" s="177"/>
      <c r="J955" s="177"/>
      <c r="K955" s="177">
        <v>0</v>
      </c>
      <c r="L955" s="178">
        <v>0</v>
      </c>
      <c r="M955" s="177">
        <v>0</v>
      </c>
      <c r="N955" s="167">
        <v>510</v>
      </c>
      <c r="O955" s="177">
        <v>1003542</v>
      </c>
      <c r="P955" s="179">
        <v>0</v>
      </c>
      <c r="Q955" s="177">
        <v>0</v>
      </c>
      <c r="R955" s="179">
        <v>0</v>
      </c>
      <c r="S955" s="177">
        <v>0</v>
      </c>
      <c r="T955" s="178">
        <v>0</v>
      </c>
      <c r="U955" s="248">
        <v>0</v>
      </c>
      <c r="V955" s="241"/>
      <c r="W955" s="241"/>
      <c r="X955" s="241"/>
    </row>
    <row r="956" spans="1:30">
      <c r="A956" s="166">
        <v>347</v>
      </c>
      <c r="B956" s="182" t="s">
        <v>421</v>
      </c>
      <c r="C956" s="177">
        <v>740146</v>
      </c>
      <c r="D956" s="177"/>
      <c r="E956" s="177"/>
      <c r="F956" s="177"/>
      <c r="G956" s="177"/>
      <c r="H956" s="177"/>
      <c r="I956" s="177"/>
      <c r="J956" s="177"/>
      <c r="K956" s="177">
        <v>0</v>
      </c>
      <c r="L956" s="178">
        <v>0</v>
      </c>
      <c r="M956" s="177">
        <v>0</v>
      </c>
      <c r="N956" s="167">
        <v>373</v>
      </c>
      <c r="O956" s="177">
        <v>740146</v>
      </c>
      <c r="P956" s="179">
        <v>0</v>
      </c>
      <c r="Q956" s="177">
        <v>0</v>
      </c>
      <c r="R956" s="179">
        <v>0</v>
      </c>
      <c r="S956" s="177">
        <v>0</v>
      </c>
      <c r="T956" s="178">
        <v>0</v>
      </c>
      <c r="U956" s="248">
        <v>0</v>
      </c>
      <c r="V956" s="241"/>
      <c r="W956" s="241"/>
      <c r="X956" s="241"/>
    </row>
    <row r="957" spans="1:30">
      <c r="A957" s="166">
        <v>348</v>
      </c>
      <c r="B957" s="182" t="s">
        <v>423</v>
      </c>
      <c r="C957" s="177">
        <v>479059</v>
      </c>
      <c r="D957" s="177"/>
      <c r="E957" s="177"/>
      <c r="F957" s="177"/>
      <c r="G957" s="177"/>
      <c r="H957" s="177"/>
      <c r="I957" s="177"/>
      <c r="J957" s="177"/>
      <c r="K957" s="177">
        <v>0</v>
      </c>
      <c r="L957" s="178">
        <v>0</v>
      </c>
      <c r="M957" s="177">
        <v>0</v>
      </c>
      <c r="N957" s="177">
        <v>232</v>
      </c>
      <c r="O957" s="177">
        <v>479059</v>
      </c>
      <c r="P957" s="179">
        <v>0</v>
      </c>
      <c r="Q957" s="177">
        <v>0</v>
      </c>
      <c r="R957" s="179">
        <v>0</v>
      </c>
      <c r="S957" s="177">
        <v>0</v>
      </c>
      <c r="T957" s="178">
        <v>0</v>
      </c>
      <c r="U957" s="248">
        <v>0</v>
      </c>
      <c r="V957" s="241"/>
      <c r="W957" s="241"/>
      <c r="X957" s="241"/>
    </row>
    <row r="958" spans="1:30">
      <c r="A958" s="166"/>
      <c r="B958" s="182" t="s">
        <v>55</v>
      </c>
      <c r="C958" s="177">
        <f>C959</f>
        <v>1739787</v>
      </c>
      <c r="D958" s="177">
        <f t="shared" ref="D958:U958" si="122">D959</f>
        <v>267870</v>
      </c>
      <c r="E958" s="177">
        <f t="shared" si="122"/>
        <v>0</v>
      </c>
      <c r="F958" s="177">
        <f t="shared" si="122"/>
        <v>0</v>
      </c>
      <c r="G958" s="177">
        <f t="shared" si="122"/>
        <v>0</v>
      </c>
      <c r="H958" s="177">
        <f t="shared" si="122"/>
        <v>0</v>
      </c>
      <c r="I958" s="177">
        <f t="shared" si="122"/>
        <v>0</v>
      </c>
      <c r="J958" s="177">
        <f t="shared" si="122"/>
        <v>267870</v>
      </c>
      <c r="K958" s="177">
        <f t="shared" si="122"/>
        <v>0</v>
      </c>
      <c r="L958" s="177">
        <f t="shared" si="122"/>
        <v>0</v>
      </c>
      <c r="M958" s="177">
        <f t="shared" si="122"/>
        <v>0</v>
      </c>
      <c r="N958" s="177">
        <f t="shared" si="122"/>
        <v>460</v>
      </c>
      <c r="O958" s="177">
        <f t="shared" si="122"/>
        <v>1471917</v>
      </c>
      <c r="P958" s="177">
        <f t="shared" si="122"/>
        <v>0</v>
      </c>
      <c r="Q958" s="177">
        <f t="shared" si="122"/>
        <v>0</v>
      </c>
      <c r="R958" s="177">
        <f t="shared" si="122"/>
        <v>0</v>
      </c>
      <c r="S958" s="177">
        <f t="shared" si="122"/>
        <v>0</v>
      </c>
      <c r="T958" s="177">
        <f t="shared" si="122"/>
        <v>0</v>
      </c>
      <c r="U958" s="177">
        <f t="shared" si="122"/>
        <v>0</v>
      </c>
      <c r="V958" s="241"/>
      <c r="W958" s="241"/>
      <c r="X958" s="241"/>
    </row>
    <row r="959" spans="1:30" ht="30">
      <c r="A959" s="166"/>
      <c r="B959" s="180" t="s">
        <v>122</v>
      </c>
      <c r="C959" s="177">
        <f>C960</f>
        <v>1739787</v>
      </c>
      <c r="D959" s="177">
        <f t="shared" ref="D959:U959" si="123">D960</f>
        <v>267870</v>
      </c>
      <c r="E959" s="177">
        <f t="shared" si="123"/>
        <v>0</v>
      </c>
      <c r="F959" s="177">
        <f t="shared" si="123"/>
        <v>0</v>
      </c>
      <c r="G959" s="177">
        <f t="shared" si="123"/>
        <v>0</v>
      </c>
      <c r="H959" s="177">
        <f t="shared" si="123"/>
        <v>0</v>
      </c>
      <c r="I959" s="177">
        <f t="shared" si="123"/>
        <v>0</v>
      </c>
      <c r="J959" s="177">
        <f t="shared" si="123"/>
        <v>267870</v>
      </c>
      <c r="K959" s="177">
        <f t="shared" si="123"/>
        <v>0</v>
      </c>
      <c r="L959" s="177">
        <f t="shared" si="123"/>
        <v>0</v>
      </c>
      <c r="M959" s="177">
        <f t="shared" si="123"/>
        <v>0</v>
      </c>
      <c r="N959" s="177">
        <f t="shared" si="123"/>
        <v>460</v>
      </c>
      <c r="O959" s="177">
        <f t="shared" si="123"/>
        <v>1471917</v>
      </c>
      <c r="P959" s="177">
        <f t="shared" si="123"/>
        <v>0</v>
      </c>
      <c r="Q959" s="177">
        <f t="shared" si="123"/>
        <v>0</v>
      </c>
      <c r="R959" s="177">
        <f t="shared" si="123"/>
        <v>0</v>
      </c>
      <c r="S959" s="177">
        <f t="shared" si="123"/>
        <v>0</v>
      </c>
      <c r="T959" s="177">
        <f t="shared" si="123"/>
        <v>0</v>
      </c>
      <c r="U959" s="177">
        <f t="shared" si="123"/>
        <v>0</v>
      </c>
      <c r="V959" s="241"/>
      <c r="W959" s="241"/>
      <c r="X959" s="241"/>
    </row>
    <row r="960" spans="1:30" s="22" customFormat="1">
      <c r="A960" s="427">
        <v>349</v>
      </c>
      <c r="B960" s="438" t="s">
        <v>602</v>
      </c>
      <c r="C960" s="490">
        <v>1739787</v>
      </c>
      <c r="D960" s="490">
        <f>E960+F960+G960+H960+I960+J960+K960</f>
        <v>267870</v>
      </c>
      <c r="E960" s="490">
        <v>0</v>
      </c>
      <c r="F960" s="490">
        <v>0</v>
      </c>
      <c r="G960" s="490">
        <v>0</v>
      </c>
      <c r="H960" s="490">
        <v>0</v>
      </c>
      <c r="I960" s="490">
        <v>0</v>
      </c>
      <c r="J960" s="490">
        <v>267870</v>
      </c>
      <c r="K960" s="429">
        <v>0</v>
      </c>
      <c r="L960" s="440">
        <v>0</v>
      </c>
      <c r="M960" s="437">
        <v>0</v>
      </c>
      <c r="N960" s="432">
        <v>460</v>
      </c>
      <c r="O960" s="429">
        <v>1471917</v>
      </c>
      <c r="P960" s="441">
        <v>0</v>
      </c>
      <c r="Q960" s="437">
        <v>0</v>
      </c>
      <c r="R960" s="437">
        <v>0</v>
      </c>
      <c r="S960" s="437">
        <v>0</v>
      </c>
      <c r="T960" s="440">
        <v>0</v>
      </c>
      <c r="U960" s="442">
        <v>0</v>
      </c>
      <c r="V960" s="241"/>
      <c r="W960" s="241">
        <f>O960/N960</f>
        <v>3199.8195652173913</v>
      </c>
      <c r="X960" s="241"/>
      <c r="AD960" s="22">
        <f>J960/'часть 1'!I975</f>
        <v>521.35072012456214</v>
      </c>
    </row>
    <row r="961" spans="1:53">
      <c r="A961" s="427"/>
      <c r="B961" s="438"/>
      <c r="C961" s="429"/>
      <c r="D961" s="429"/>
      <c r="E961" s="429"/>
      <c r="F961" s="429"/>
      <c r="G961" s="429"/>
      <c r="H961" s="429"/>
      <c r="I961" s="429"/>
      <c r="J961" s="429"/>
      <c r="K961" s="429"/>
      <c r="L961" s="440"/>
      <c r="M961" s="437"/>
      <c r="N961" s="437"/>
      <c r="O961" s="437"/>
      <c r="P961" s="441"/>
      <c r="Q961" s="437"/>
      <c r="R961" s="441"/>
      <c r="S961" s="437"/>
      <c r="T961" s="440"/>
      <c r="U961" s="442"/>
      <c r="V961" s="241"/>
      <c r="W961" s="241"/>
      <c r="X961" s="241"/>
    </row>
    <row r="962" spans="1:53">
      <c r="A962" s="427"/>
      <c r="B962" s="438"/>
      <c r="C962" s="429"/>
      <c r="D962" s="429"/>
      <c r="E962" s="429"/>
      <c r="F962" s="429"/>
      <c r="G962" s="429"/>
      <c r="H962" s="429"/>
      <c r="I962" s="429"/>
      <c r="J962" s="429"/>
      <c r="K962" s="429"/>
      <c r="L962" s="440"/>
      <c r="M962" s="437"/>
      <c r="N962" s="432"/>
      <c r="O962" s="429"/>
      <c r="P962" s="441"/>
      <c r="Q962" s="437"/>
      <c r="R962" s="437"/>
      <c r="S962" s="437"/>
      <c r="T962" s="440"/>
      <c r="U962" s="442"/>
      <c r="V962" s="241"/>
      <c r="W962" s="241"/>
      <c r="X962" s="241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2"/>
      <c r="AL962" s="22"/>
      <c r="AM962" s="22"/>
      <c r="AN962" s="22"/>
      <c r="AO962" s="22"/>
      <c r="AP962" s="22"/>
      <c r="AQ962" s="22"/>
      <c r="AR962" s="22"/>
      <c r="AS962" s="22"/>
      <c r="AT962" s="22"/>
      <c r="AU962" s="22"/>
      <c r="AV962" s="22"/>
      <c r="AW962" s="22"/>
      <c r="AX962" s="22"/>
      <c r="AY962" s="22"/>
      <c r="AZ962" s="22"/>
      <c r="BA962" s="22"/>
    </row>
    <row r="963" spans="1:53">
      <c r="A963" s="166"/>
      <c r="B963" s="182" t="s">
        <v>56</v>
      </c>
      <c r="C963" s="177">
        <v>13352826.959999999</v>
      </c>
      <c r="D963" s="177"/>
      <c r="E963" s="177"/>
      <c r="F963" s="177"/>
      <c r="G963" s="177"/>
      <c r="H963" s="177"/>
      <c r="I963" s="177"/>
      <c r="J963" s="177"/>
      <c r="K963" s="177">
        <v>8292103.96</v>
      </c>
      <c r="L963" s="178">
        <v>0</v>
      </c>
      <c r="M963" s="177">
        <v>0</v>
      </c>
      <c r="N963" s="177">
        <v>2564.5</v>
      </c>
      <c r="O963" s="177">
        <v>5060723</v>
      </c>
      <c r="P963" s="179">
        <v>0</v>
      </c>
      <c r="Q963" s="177">
        <v>0</v>
      </c>
      <c r="R963" s="179">
        <v>0</v>
      </c>
      <c r="S963" s="177">
        <v>0</v>
      </c>
      <c r="T963" s="178">
        <v>0</v>
      </c>
      <c r="U963" s="248">
        <v>0</v>
      </c>
      <c r="V963" s="241"/>
      <c r="W963" s="241"/>
      <c r="X963" s="241"/>
    </row>
    <row r="964" spans="1:53" ht="30">
      <c r="A964" s="427"/>
      <c r="B964" s="438" t="s">
        <v>424</v>
      </c>
      <c r="C964" s="437">
        <f>C965+C966+C967+C968+C969+C970</f>
        <v>8669678</v>
      </c>
      <c r="D964" s="437">
        <f t="shared" ref="D964:U964" si="124">D965+D966+D967+D968+D969+D970</f>
        <v>6476414</v>
      </c>
      <c r="E964" s="437">
        <f t="shared" si="124"/>
        <v>1762781</v>
      </c>
      <c r="F964" s="437">
        <f t="shared" si="124"/>
        <v>425687</v>
      </c>
      <c r="G964" s="437">
        <f t="shared" si="124"/>
        <v>1057272</v>
      </c>
      <c r="H964" s="437">
        <f t="shared" si="124"/>
        <v>667507</v>
      </c>
      <c r="I964" s="437">
        <f t="shared" si="124"/>
        <v>636218</v>
      </c>
      <c r="J964" s="437">
        <f t="shared" si="124"/>
        <v>1926949</v>
      </c>
      <c r="K964" s="437">
        <f t="shared" si="124"/>
        <v>0</v>
      </c>
      <c r="L964" s="437">
        <f t="shared" si="124"/>
        <v>0</v>
      </c>
      <c r="M964" s="437">
        <f t="shared" si="124"/>
        <v>0</v>
      </c>
      <c r="N964" s="437">
        <f t="shared" si="124"/>
        <v>766.38</v>
      </c>
      <c r="O964" s="437">
        <f t="shared" si="124"/>
        <v>2193264</v>
      </c>
      <c r="P964" s="437">
        <f t="shared" si="124"/>
        <v>0</v>
      </c>
      <c r="Q964" s="437">
        <f t="shared" si="124"/>
        <v>0</v>
      </c>
      <c r="R964" s="437">
        <f t="shared" si="124"/>
        <v>0</v>
      </c>
      <c r="S964" s="437">
        <f t="shared" si="124"/>
        <v>0</v>
      </c>
      <c r="T964" s="437">
        <f t="shared" si="124"/>
        <v>0</v>
      </c>
      <c r="U964" s="437">
        <f t="shared" si="124"/>
        <v>0</v>
      </c>
      <c r="V964" s="241"/>
      <c r="W964" s="241"/>
      <c r="X964" s="241"/>
    </row>
    <row r="965" spans="1:53">
      <c r="A965" s="427">
        <v>352</v>
      </c>
      <c r="B965" s="670" t="s">
        <v>708</v>
      </c>
      <c r="C965" s="437">
        <f>'часть 1'!L980</f>
        <v>435475</v>
      </c>
      <c r="D965" s="437">
        <f t="shared" ref="D965:D970" si="125">E965+F965+G965+H965+I965+J965+K965</f>
        <v>435475</v>
      </c>
      <c r="E965" s="437">
        <v>170859</v>
      </c>
      <c r="F965" s="437">
        <v>0</v>
      </c>
      <c r="G965" s="437">
        <v>138971</v>
      </c>
      <c r="H965" s="437">
        <v>0</v>
      </c>
      <c r="I965" s="437">
        <v>0</v>
      </c>
      <c r="J965" s="437">
        <v>125645</v>
      </c>
      <c r="K965" s="437">
        <v>0</v>
      </c>
      <c r="L965" s="440">
        <v>0</v>
      </c>
      <c r="M965" s="437">
        <v>0</v>
      </c>
      <c r="N965" s="437">
        <v>0</v>
      </c>
      <c r="O965" s="437">
        <v>0</v>
      </c>
      <c r="P965" s="441">
        <v>0</v>
      </c>
      <c r="Q965" s="437">
        <v>0</v>
      </c>
      <c r="R965" s="441">
        <v>0</v>
      </c>
      <c r="S965" s="437">
        <v>0</v>
      </c>
      <c r="T965" s="440">
        <v>0</v>
      </c>
      <c r="U965" s="442">
        <v>0</v>
      </c>
      <c r="V965" s="241"/>
      <c r="W965" s="241"/>
      <c r="X965" s="241"/>
      <c r="Y965" s="1">
        <f>E965/'часть 1'!I980</f>
        <v>596.99161425576517</v>
      </c>
      <c r="Z965" s="1">
        <f>G965/'часть 1'!I980</f>
        <v>485.57302585604475</v>
      </c>
      <c r="AD965" s="1">
        <f>J965/'часть 1'!I980</f>
        <v>439.01118099231309</v>
      </c>
    </row>
    <row r="966" spans="1:53">
      <c r="A966" s="427">
        <v>353</v>
      </c>
      <c r="B966" s="671" t="s">
        <v>709</v>
      </c>
      <c r="C966" s="437">
        <f>'часть 1'!L981</f>
        <v>1920530</v>
      </c>
      <c r="D966" s="437">
        <f t="shared" si="125"/>
        <v>684403</v>
      </c>
      <c r="E966" s="437">
        <v>0</v>
      </c>
      <c r="F966" s="437">
        <v>0</v>
      </c>
      <c r="G966" s="437">
        <v>205286</v>
      </c>
      <c r="H966" s="437">
        <v>293517</v>
      </c>
      <c r="I966" s="437">
        <v>0</v>
      </c>
      <c r="J966" s="437">
        <v>185600</v>
      </c>
      <c r="K966" s="437">
        <v>0</v>
      </c>
      <c r="L966" s="440">
        <v>0</v>
      </c>
      <c r="M966" s="437">
        <v>0</v>
      </c>
      <c r="N966" s="437">
        <v>385.28</v>
      </c>
      <c r="O966" s="437">
        <v>1236127</v>
      </c>
      <c r="P966" s="441">
        <v>0</v>
      </c>
      <c r="Q966" s="437">
        <v>0</v>
      </c>
      <c r="R966" s="441">
        <v>0</v>
      </c>
      <c r="S966" s="437">
        <v>0</v>
      </c>
      <c r="T966" s="440">
        <v>0</v>
      </c>
      <c r="U966" s="442">
        <v>0</v>
      </c>
      <c r="V966" s="241"/>
      <c r="W966" s="241">
        <f>O966/N966</f>
        <v>3208.3861088039871</v>
      </c>
      <c r="X966" s="241"/>
      <c r="Z966" s="1">
        <f>G966/'часть 1'!I981</f>
        <v>575.99887766554434</v>
      </c>
      <c r="AB966" s="1">
        <f>H966/'часть 1'!I981</f>
        <v>823.56060606060612</v>
      </c>
      <c r="AD966" s="1">
        <f>J966/'часть 1'!I981</f>
        <v>520.76318742985416</v>
      </c>
    </row>
    <row r="967" spans="1:53">
      <c r="A967" s="427">
        <v>354</v>
      </c>
      <c r="B967" s="670" t="s">
        <v>710</v>
      </c>
      <c r="C967" s="437">
        <f>'часть 1'!L982</f>
        <v>957137</v>
      </c>
      <c r="D967" s="437">
        <f t="shared" si="125"/>
        <v>0</v>
      </c>
      <c r="E967" s="437">
        <v>0</v>
      </c>
      <c r="F967" s="437">
        <v>0</v>
      </c>
      <c r="G967" s="437">
        <v>0</v>
      </c>
      <c r="H967" s="437">
        <v>0</v>
      </c>
      <c r="I967" s="437">
        <v>0</v>
      </c>
      <c r="J967" s="437">
        <v>0</v>
      </c>
      <c r="K967" s="437">
        <v>0</v>
      </c>
      <c r="L967" s="440">
        <v>0</v>
      </c>
      <c r="M967" s="437">
        <v>0</v>
      </c>
      <c r="N967" s="437">
        <v>381.1</v>
      </c>
      <c r="O967" s="437">
        <v>957137</v>
      </c>
      <c r="P967" s="441">
        <v>0</v>
      </c>
      <c r="Q967" s="437">
        <v>0</v>
      </c>
      <c r="R967" s="441">
        <v>0</v>
      </c>
      <c r="S967" s="437">
        <v>0</v>
      </c>
      <c r="T967" s="440">
        <v>0</v>
      </c>
      <c r="U967" s="442">
        <v>0</v>
      </c>
      <c r="V967" s="241"/>
      <c r="W967" s="241">
        <f>O967/N967</f>
        <v>2511.5114143269479</v>
      </c>
      <c r="X967" s="241"/>
    </row>
    <row r="968" spans="1:53">
      <c r="A968" s="427">
        <v>355</v>
      </c>
      <c r="B968" s="672" t="s">
        <v>711</v>
      </c>
      <c r="C968" s="437">
        <f>'часть 1'!L983</f>
        <v>1620768</v>
      </c>
      <c r="D968" s="437">
        <f t="shared" si="125"/>
        <v>1620768</v>
      </c>
      <c r="E968" s="437">
        <v>317135</v>
      </c>
      <c r="F968" s="437">
        <v>425687</v>
      </c>
      <c r="G968" s="437">
        <v>264655</v>
      </c>
      <c r="H968" s="437">
        <v>373990</v>
      </c>
      <c r="I968" s="437">
        <v>0</v>
      </c>
      <c r="J968" s="437">
        <v>239301</v>
      </c>
      <c r="K968" s="437">
        <v>0</v>
      </c>
      <c r="L968" s="440">
        <v>0</v>
      </c>
      <c r="M968" s="437">
        <v>0</v>
      </c>
      <c r="N968" s="437">
        <v>0</v>
      </c>
      <c r="O968" s="437">
        <v>0</v>
      </c>
      <c r="P968" s="441">
        <v>0</v>
      </c>
      <c r="Q968" s="437">
        <v>0</v>
      </c>
      <c r="R968" s="441">
        <v>0</v>
      </c>
      <c r="S968" s="437">
        <v>0</v>
      </c>
      <c r="T968" s="440">
        <v>0</v>
      </c>
      <c r="U968" s="442">
        <v>0</v>
      </c>
      <c r="V968" s="241"/>
      <c r="W968" s="241"/>
      <c r="X968" s="241"/>
      <c r="Y968" s="1">
        <f>E968/'часть 1'!I983</f>
        <v>691.52856519842999</v>
      </c>
      <c r="Z968" s="1">
        <f>G968/'часть 1'!I983</f>
        <v>577.09332751853469</v>
      </c>
      <c r="AA968" s="1">
        <f>F968/'часть 1'!I983</f>
        <v>928.23157435673784</v>
      </c>
      <c r="AB968" s="1">
        <f>H968/'часть 1'!I983</f>
        <v>815.50370693414732</v>
      </c>
      <c r="AD968" s="1">
        <f>J968/'часть 1'!I983</f>
        <v>521.80767553423459</v>
      </c>
    </row>
    <row r="969" spans="1:53">
      <c r="A969" s="427">
        <v>356</v>
      </c>
      <c r="B969" s="670" t="s">
        <v>712</v>
      </c>
      <c r="C969" s="437">
        <f>'часть 1'!L984</f>
        <v>1496185</v>
      </c>
      <c r="D969" s="437">
        <f t="shared" si="125"/>
        <v>1496185</v>
      </c>
      <c r="E969" s="437">
        <v>0</v>
      </c>
      <c r="F969" s="437">
        <v>0</v>
      </c>
      <c r="G969" s="437">
        <v>448360</v>
      </c>
      <c r="H969" s="437">
        <v>0</v>
      </c>
      <c r="I969" s="437">
        <v>636218</v>
      </c>
      <c r="J969" s="437">
        <v>411607</v>
      </c>
      <c r="K969" s="437">
        <v>0</v>
      </c>
      <c r="L969" s="440">
        <v>0</v>
      </c>
      <c r="M969" s="437">
        <v>0</v>
      </c>
      <c r="N969" s="437">
        <v>0</v>
      </c>
      <c r="O969" s="437">
        <v>0</v>
      </c>
      <c r="P969" s="441">
        <v>0</v>
      </c>
      <c r="Q969" s="437">
        <v>0</v>
      </c>
      <c r="R969" s="441">
        <v>0</v>
      </c>
      <c r="S969" s="437">
        <v>0</v>
      </c>
      <c r="T969" s="440">
        <v>0</v>
      </c>
      <c r="U969" s="442">
        <v>0</v>
      </c>
      <c r="V969" s="241"/>
      <c r="W969" s="241"/>
      <c r="X969" s="241"/>
      <c r="Z969" s="1">
        <f>G969/'часть 1'!I984</f>
        <v>560.16991504247881</v>
      </c>
      <c r="AC969" s="1">
        <f>I969/'часть 1'!I984</f>
        <v>794.87506246876569</v>
      </c>
      <c r="AD969" s="1">
        <f>J969/'часть 1'!I984</f>
        <v>514.25162418790603</v>
      </c>
    </row>
    <row r="970" spans="1:53">
      <c r="A970" s="427">
        <v>357</v>
      </c>
      <c r="B970" s="672" t="s">
        <v>713</v>
      </c>
      <c r="C970" s="437">
        <f>'часть 1'!L985</f>
        <v>2239583</v>
      </c>
      <c r="D970" s="437">
        <f t="shared" si="125"/>
        <v>2239583</v>
      </c>
      <c r="E970" s="437">
        <v>1274787</v>
      </c>
      <c r="F970" s="437">
        <v>0</v>
      </c>
      <c r="G970" s="437">
        <v>0</v>
      </c>
      <c r="H970" s="437">
        <v>0</v>
      </c>
      <c r="I970" s="437">
        <v>0</v>
      </c>
      <c r="J970" s="437">
        <v>964796</v>
      </c>
      <c r="K970" s="437">
        <v>0</v>
      </c>
      <c r="L970" s="440">
        <v>0</v>
      </c>
      <c r="M970" s="437">
        <v>0</v>
      </c>
      <c r="N970" s="437">
        <v>0</v>
      </c>
      <c r="O970" s="437">
        <v>0</v>
      </c>
      <c r="P970" s="441">
        <v>0</v>
      </c>
      <c r="Q970" s="437">
        <v>0</v>
      </c>
      <c r="R970" s="441">
        <v>0</v>
      </c>
      <c r="S970" s="437">
        <v>0</v>
      </c>
      <c r="T970" s="440">
        <v>0</v>
      </c>
      <c r="U970" s="442">
        <v>0</v>
      </c>
      <c r="V970" s="241"/>
      <c r="W970" s="241"/>
      <c r="X970" s="241"/>
      <c r="Y970" s="1">
        <f>E970/'часть 1'!I985</f>
        <v>754.53506954720331</v>
      </c>
      <c r="AD970" s="1">
        <f>J970/'часть 1'!I985</f>
        <v>571.05415803492156</v>
      </c>
    </row>
    <row r="971" spans="1:53" ht="30">
      <c r="A971" s="166"/>
      <c r="B971" s="180" t="s">
        <v>121</v>
      </c>
      <c r="C971" s="177">
        <f>C972+C973+C974</f>
        <v>2114731</v>
      </c>
      <c r="D971" s="177">
        <f t="shared" ref="D971:V971" si="126">D972+D973+D974</f>
        <v>0</v>
      </c>
      <c r="E971" s="177">
        <f t="shared" si="126"/>
        <v>0</v>
      </c>
      <c r="F971" s="177">
        <f t="shared" si="126"/>
        <v>0</v>
      </c>
      <c r="G971" s="177">
        <f t="shared" si="126"/>
        <v>0</v>
      </c>
      <c r="H971" s="177">
        <f t="shared" si="126"/>
        <v>0</v>
      </c>
      <c r="I971" s="177">
        <f t="shared" si="126"/>
        <v>0</v>
      </c>
      <c r="J971" s="177">
        <f t="shared" si="126"/>
        <v>0</v>
      </c>
      <c r="K971" s="177">
        <f t="shared" si="126"/>
        <v>0</v>
      </c>
      <c r="L971" s="177">
        <f t="shared" si="126"/>
        <v>0</v>
      </c>
      <c r="M971" s="177">
        <f t="shared" si="126"/>
        <v>0</v>
      </c>
      <c r="N971" s="177">
        <f t="shared" si="126"/>
        <v>0</v>
      </c>
      <c r="O971" s="177">
        <f t="shared" si="126"/>
        <v>0</v>
      </c>
      <c r="P971" s="177">
        <f t="shared" si="126"/>
        <v>0</v>
      </c>
      <c r="Q971" s="177">
        <f t="shared" si="126"/>
        <v>0</v>
      </c>
      <c r="R971" s="177">
        <f t="shared" si="126"/>
        <v>0</v>
      </c>
      <c r="S971" s="177">
        <f t="shared" si="126"/>
        <v>2114731</v>
      </c>
      <c r="T971" s="177">
        <f t="shared" si="126"/>
        <v>0</v>
      </c>
      <c r="U971" s="177">
        <f t="shared" si="126"/>
        <v>0</v>
      </c>
      <c r="V971" s="177">
        <f t="shared" si="126"/>
        <v>0</v>
      </c>
      <c r="W971" s="241"/>
      <c r="X971" s="241"/>
    </row>
    <row r="972" spans="1:53" ht="15.75">
      <c r="A972" s="166"/>
      <c r="B972" s="224" t="s">
        <v>990</v>
      </c>
      <c r="C972" s="177">
        <f>'часть 1'!L987</f>
        <v>730231</v>
      </c>
      <c r="D972" s="177">
        <v>0</v>
      </c>
      <c r="E972" s="177">
        <v>0</v>
      </c>
      <c r="F972" s="177">
        <v>0</v>
      </c>
      <c r="G972" s="177">
        <v>0</v>
      </c>
      <c r="H972" s="177">
        <v>0</v>
      </c>
      <c r="I972" s="177">
        <v>0</v>
      </c>
      <c r="J972" s="177">
        <v>0</v>
      </c>
      <c r="K972" s="177">
        <v>0</v>
      </c>
      <c r="L972" s="178">
        <v>0</v>
      </c>
      <c r="M972" s="177">
        <v>0</v>
      </c>
      <c r="N972" s="177">
        <v>0</v>
      </c>
      <c r="O972" s="177">
        <v>0</v>
      </c>
      <c r="P972" s="179">
        <v>0</v>
      </c>
      <c r="Q972" s="177">
        <v>0</v>
      </c>
      <c r="R972" s="818"/>
      <c r="S972" s="177">
        <v>730231</v>
      </c>
      <c r="T972" s="178">
        <v>0</v>
      </c>
      <c r="U972" s="248">
        <v>0</v>
      </c>
      <c r="V972" s="241"/>
      <c r="W972" s="241"/>
      <c r="X972" s="241" t="e">
        <f>S972/R972</f>
        <v>#DIV/0!</v>
      </c>
    </row>
    <row r="973" spans="1:53" ht="15.75">
      <c r="A973" s="166"/>
      <c r="B973" s="224" t="s">
        <v>991</v>
      </c>
      <c r="C973" s="177">
        <f>'часть 1'!L988</f>
        <v>692216</v>
      </c>
      <c r="D973" s="177">
        <v>0</v>
      </c>
      <c r="E973" s="177">
        <v>0</v>
      </c>
      <c r="F973" s="177">
        <v>0</v>
      </c>
      <c r="G973" s="177">
        <v>0</v>
      </c>
      <c r="H973" s="177">
        <v>0</v>
      </c>
      <c r="I973" s="177">
        <v>0</v>
      </c>
      <c r="J973" s="177">
        <v>0</v>
      </c>
      <c r="K973" s="177">
        <v>0</v>
      </c>
      <c r="L973" s="178">
        <v>0</v>
      </c>
      <c r="M973" s="177">
        <v>0</v>
      </c>
      <c r="N973" s="177">
        <v>0</v>
      </c>
      <c r="O973" s="177">
        <v>0</v>
      </c>
      <c r="P973" s="179">
        <v>0</v>
      </c>
      <c r="Q973" s="177">
        <v>0</v>
      </c>
      <c r="R973" s="818"/>
      <c r="S973" s="177">
        <v>692216</v>
      </c>
      <c r="T973" s="178">
        <v>0</v>
      </c>
      <c r="U973" s="248">
        <v>0</v>
      </c>
      <c r="V973" s="241"/>
      <c r="W973" s="241"/>
      <c r="X973" s="241" t="e">
        <f>S973/R973</f>
        <v>#DIV/0!</v>
      </c>
    </row>
    <row r="974" spans="1:53" ht="15.75">
      <c r="A974" s="166">
        <v>362</v>
      </c>
      <c r="B974" s="224" t="s">
        <v>992</v>
      </c>
      <c r="C974" s="177">
        <f>'часть 1'!L989</f>
        <v>692284</v>
      </c>
      <c r="D974" s="177">
        <v>0</v>
      </c>
      <c r="E974" s="177">
        <v>0</v>
      </c>
      <c r="F974" s="177">
        <v>0</v>
      </c>
      <c r="G974" s="177">
        <v>0</v>
      </c>
      <c r="H974" s="177">
        <v>0</v>
      </c>
      <c r="I974" s="177">
        <v>0</v>
      </c>
      <c r="J974" s="177">
        <v>0</v>
      </c>
      <c r="K974" s="177">
        <v>0</v>
      </c>
      <c r="L974" s="178">
        <v>0</v>
      </c>
      <c r="M974" s="177">
        <v>0</v>
      </c>
      <c r="N974" s="177">
        <v>0</v>
      </c>
      <c r="O974" s="177">
        <v>0</v>
      </c>
      <c r="P974" s="179">
        <v>0</v>
      </c>
      <c r="Q974" s="177">
        <v>0</v>
      </c>
      <c r="R974" s="818"/>
      <c r="S974" s="177">
        <v>692284</v>
      </c>
      <c r="T974" s="178">
        <v>0</v>
      </c>
      <c r="U974" s="248">
        <v>0</v>
      </c>
      <c r="V974" s="241"/>
      <c r="W974" s="241"/>
      <c r="X974" s="241" t="e">
        <f>S974/R974</f>
        <v>#DIV/0!</v>
      </c>
    </row>
    <row r="975" spans="1:53" s="14" customFormat="1" ht="30">
      <c r="A975" s="166"/>
      <c r="B975" s="180" t="s">
        <v>120</v>
      </c>
      <c r="C975" s="177">
        <v>238576.03</v>
      </c>
      <c r="D975" s="177"/>
      <c r="E975" s="177"/>
      <c r="F975" s="177"/>
      <c r="G975" s="177"/>
      <c r="H975" s="177"/>
      <c r="I975" s="177"/>
      <c r="J975" s="177"/>
      <c r="K975" s="177">
        <v>238576.03</v>
      </c>
      <c r="L975" s="178">
        <v>0</v>
      </c>
      <c r="M975" s="177">
        <v>0</v>
      </c>
      <c r="N975" s="177">
        <v>0</v>
      </c>
      <c r="O975" s="177">
        <v>0</v>
      </c>
      <c r="P975" s="179">
        <v>0</v>
      </c>
      <c r="Q975" s="177">
        <v>0</v>
      </c>
      <c r="R975" s="179">
        <v>0</v>
      </c>
      <c r="S975" s="177">
        <v>0</v>
      </c>
      <c r="T975" s="178">
        <v>0</v>
      </c>
      <c r="U975" s="248">
        <v>0</v>
      </c>
      <c r="V975" s="241"/>
      <c r="W975" s="241"/>
      <c r="X975" s="241"/>
    </row>
    <row r="976" spans="1:53">
      <c r="A976" s="166">
        <v>363</v>
      </c>
      <c r="B976" s="182" t="s">
        <v>445</v>
      </c>
      <c r="C976" s="177">
        <v>238576.03</v>
      </c>
      <c r="D976" s="177"/>
      <c r="E976" s="177"/>
      <c r="F976" s="177"/>
      <c r="G976" s="177"/>
      <c r="H976" s="177"/>
      <c r="I976" s="177"/>
      <c r="J976" s="177"/>
      <c r="K976" s="177">
        <v>238576.03</v>
      </c>
      <c r="L976" s="178">
        <v>0</v>
      </c>
      <c r="M976" s="177">
        <v>0</v>
      </c>
      <c r="N976" s="177">
        <v>0</v>
      </c>
      <c r="O976" s="177">
        <v>0</v>
      </c>
      <c r="P976" s="179">
        <v>0</v>
      </c>
      <c r="Q976" s="177">
        <v>0</v>
      </c>
      <c r="R976" s="179">
        <v>0</v>
      </c>
      <c r="S976" s="177">
        <v>0</v>
      </c>
      <c r="T976" s="178">
        <v>0</v>
      </c>
      <c r="U976" s="248">
        <v>0</v>
      </c>
      <c r="V976" s="241"/>
      <c r="W976" s="241"/>
      <c r="X976" s="241"/>
    </row>
    <row r="977" spans="1:31">
      <c r="A977" s="166"/>
      <c r="B977" s="182" t="s">
        <v>57</v>
      </c>
      <c r="C977" s="177">
        <v>2349784.02</v>
      </c>
      <c r="D977" s="177"/>
      <c r="E977" s="177"/>
      <c r="F977" s="177"/>
      <c r="G977" s="177"/>
      <c r="H977" s="177"/>
      <c r="I977" s="177"/>
      <c r="J977" s="177"/>
      <c r="K977" s="177">
        <v>0</v>
      </c>
      <c r="L977" s="178">
        <v>0</v>
      </c>
      <c r="M977" s="177">
        <v>0</v>
      </c>
      <c r="N977" s="177">
        <v>709</v>
      </c>
      <c r="O977" s="177">
        <v>2349784.02</v>
      </c>
      <c r="P977" s="179">
        <v>0</v>
      </c>
      <c r="Q977" s="177">
        <v>0</v>
      </c>
      <c r="R977" s="179">
        <v>0</v>
      </c>
      <c r="S977" s="177">
        <v>0</v>
      </c>
      <c r="T977" s="178">
        <v>0</v>
      </c>
      <c r="U977" s="248">
        <v>0</v>
      </c>
      <c r="V977" s="241"/>
      <c r="W977" s="241"/>
      <c r="X977" s="241"/>
    </row>
    <row r="978" spans="1:31" ht="30">
      <c r="A978" s="166"/>
      <c r="B978" s="180" t="s">
        <v>119</v>
      </c>
      <c r="C978" s="177">
        <f>C979+C980</f>
        <v>2547865</v>
      </c>
      <c r="D978" s="177">
        <f t="shared" ref="D978:U978" si="127">D979+D980</f>
        <v>0</v>
      </c>
      <c r="E978" s="177">
        <f t="shared" si="127"/>
        <v>0</v>
      </c>
      <c r="F978" s="177">
        <f t="shared" si="127"/>
        <v>0</v>
      </c>
      <c r="G978" s="177">
        <f t="shared" si="127"/>
        <v>0</v>
      </c>
      <c r="H978" s="177">
        <f t="shared" si="127"/>
        <v>0</v>
      </c>
      <c r="I978" s="177">
        <f t="shared" si="127"/>
        <v>0</v>
      </c>
      <c r="J978" s="177">
        <f t="shared" si="127"/>
        <v>0</v>
      </c>
      <c r="K978" s="177">
        <f t="shared" si="127"/>
        <v>0</v>
      </c>
      <c r="L978" s="177">
        <f t="shared" si="127"/>
        <v>0</v>
      </c>
      <c r="M978" s="177">
        <f t="shared" si="127"/>
        <v>0</v>
      </c>
      <c r="N978" s="177">
        <f t="shared" si="127"/>
        <v>840</v>
      </c>
      <c r="O978" s="177">
        <f t="shared" si="127"/>
        <v>2107512</v>
      </c>
      <c r="P978" s="177">
        <f t="shared" si="127"/>
        <v>430</v>
      </c>
      <c r="Q978" s="177">
        <f t="shared" si="127"/>
        <v>440353</v>
      </c>
      <c r="R978" s="177">
        <f t="shared" si="127"/>
        <v>0</v>
      </c>
      <c r="S978" s="177">
        <f t="shared" si="127"/>
        <v>0</v>
      </c>
      <c r="T978" s="177">
        <f t="shared" si="127"/>
        <v>0</v>
      </c>
      <c r="U978" s="177">
        <f t="shared" si="127"/>
        <v>0</v>
      </c>
      <c r="V978" s="241"/>
      <c r="W978" s="241"/>
      <c r="X978" s="241"/>
    </row>
    <row r="979" spans="1:31" ht="15.75">
      <c r="A979" s="166">
        <v>364</v>
      </c>
      <c r="B979" s="224" t="s">
        <v>982</v>
      </c>
      <c r="C979" s="177">
        <f>'часть 1'!L994</f>
        <v>440353</v>
      </c>
      <c r="D979" s="177">
        <v>0</v>
      </c>
      <c r="E979" s="177">
        <v>0</v>
      </c>
      <c r="F979" s="177">
        <v>0</v>
      </c>
      <c r="G979" s="177">
        <v>0</v>
      </c>
      <c r="H979" s="177">
        <v>0</v>
      </c>
      <c r="I979" s="177">
        <v>0</v>
      </c>
      <c r="J979" s="177">
        <v>0</v>
      </c>
      <c r="K979" s="177">
        <v>0</v>
      </c>
      <c r="L979" s="178">
        <v>0</v>
      </c>
      <c r="M979" s="177">
        <v>0</v>
      </c>
      <c r="N979" s="177">
        <v>0</v>
      </c>
      <c r="O979" s="177">
        <v>0</v>
      </c>
      <c r="P979" s="179">
        <v>430</v>
      </c>
      <c r="Q979" s="177">
        <v>440353</v>
      </c>
      <c r="R979" s="179">
        <v>0</v>
      </c>
      <c r="S979" s="177">
        <v>0</v>
      </c>
      <c r="T979" s="178">
        <v>0</v>
      </c>
      <c r="U979" s="248">
        <v>0</v>
      </c>
      <c r="V979" s="241"/>
      <c r="W979" s="241"/>
      <c r="X979" s="241"/>
      <c r="AE979" s="1">
        <f>Q979/P979</f>
        <v>1024.0767441860464</v>
      </c>
    </row>
    <row r="980" spans="1:31" ht="15.75">
      <c r="A980" s="166">
        <v>365</v>
      </c>
      <c r="B980" s="227" t="s">
        <v>983</v>
      </c>
      <c r="C980" s="177">
        <f>'часть 1'!L995</f>
        <v>2107512</v>
      </c>
      <c r="D980" s="177">
        <v>0</v>
      </c>
      <c r="E980" s="177">
        <v>0</v>
      </c>
      <c r="F980" s="177">
        <v>0</v>
      </c>
      <c r="G980" s="177">
        <v>0</v>
      </c>
      <c r="H980" s="177">
        <v>0</v>
      </c>
      <c r="I980" s="177">
        <v>0</v>
      </c>
      <c r="J980" s="177">
        <v>0</v>
      </c>
      <c r="K980" s="177">
        <v>0</v>
      </c>
      <c r="L980" s="178">
        <v>0</v>
      </c>
      <c r="M980" s="177">
        <v>0</v>
      </c>
      <c r="N980" s="177">
        <v>840</v>
      </c>
      <c r="O980" s="177">
        <v>2107512</v>
      </c>
      <c r="P980" s="179">
        <v>0</v>
      </c>
      <c r="Q980" s="177">
        <v>0</v>
      </c>
      <c r="R980" s="179">
        <v>0</v>
      </c>
      <c r="S980" s="177">
        <v>0</v>
      </c>
      <c r="T980" s="178">
        <v>0</v>
      </c>
      <c r="U980" s="248">
        <v>0</v>
      </c>
      <c r="V980" s="241"/>
      <c r="W980" s="241">
        <f>O980/N980</f>
        <v>2508.9428571428571</v>
      </c>
      <c r="X980" s="241"/>
    </row>
    <row r="981" spans="1:31">
      <c r="A981" s="166"/>
      <c r="B981" s="182" t="s">
        <v>58</v>
      </c>
      <c r="C981" s="177">
        <v>12228909</v>
      </c>
      <c r="D981" s="177"/>
      <c r="E981" s="177"/>
      <c r="F981" s="177"/>
      <c r="G981" s="177"/>
      <c r="H981" s="177"/>
      <c r="I981" s="177"/>
      <c r="J981" s="177"/>
      <c r="K981" s="177">
        <v>215709</v>
      </c>
      <c r="L981" s="178">
        <v>0</v>
      </c>
      <c r="M981" s="177">
        <v>0</v>
      </c>
      <c r="N981" s="177">
        <v>6001.34</v>
      </c>
      <c r="O981" s="177">
        <v>12013200</v>
      </c>
      <c r="P981" s="179">
        <v>0</v>
      </c>
      <c r="Q981" s="177">
        <v>0</v>
      </c>
      <c r="R981" s="179">
        <v>0</v>
      </c>
      <c r="S981" s="177">
        <v>0</v>
      </c>
      <c r="T981" s="178">
        <v>0</v>
      </c>
      <c r="U981" s="248">
        <v>0</v>
      </c>
      <c r="V981" s="241"/>
      <c r="W981" s="241"/>
      <c r="X981" s="241"/>
    </row>
    <row r="982" spans="1:31" ht="30">
      <c r="A982" s="166"/>
      <c r="B982" s="180" t="s">
        <v>87</v>
      </c>
      <c r="C982" s="177">
        <v>12228909</v>
      </c>
      <c r="D982" s="177"/>
      <c r="E982" s="177"/>
      <c r="F982" s="177"/>
      <c r="G982" s="177"/>
      <c r="H982" s="177"/>
      <c r="I982" s="177"/>
      <c r="J982" s="177"/>
      <c r="K982" s="177">
        <v>215709</v>
      </c>
      <c r="L982" s="178">
        <v>0</v>
      </c>
      <c r="M982" s="177">
        <v>0</v>
      </c>
      <c r="N982" s="177">
        <v>6001.34</v>
      </c>
      <c r="O982" s="177">
        <v>12013200</v>
      </c>
      <c r="P982" s="179">
        <v>0</v>
      </c>
      <c r="Q982" s="177">
        <v>0</v>
      </c>
      <c r="R982" s="179">
        <v>0</v>
      </c>
      <c r="S982" s="177">
        <v>0</v>
      </c>
      <c r="T982" s="178">
        <v>0</v>
      </c>
      <c r="U982" s="248">
        <v>0</v>
      </c>
      <c r="V982" s="241"/>
      <c r="W982" s="241"/>
      <c r="X982" s="241"/>
    </row>
    <row r="983" spans="1:31" s="23" customFormat="1">
      <c r="A983" s="166">
        <v>366</v>
      </c>
      <c r="B983" s="203" t="s">
        <v>84</v>
      </c>
      <c r="C983" s="198">
        <v>1668544</v>
      </c>
      <c r="D983" s="198"/>
      <c r="E983" s="198"/>
      <c r="F983" s="198"/>
      <c r="G983" s="198"/>
      <c r="H983" s="198"/>
      <c r="I983" s="198"/>
      <c r="J983" s="198"/>
      <c r="K983" s="164">
        <v>0</v>
      </c>
      <c r="L983" s="162">
        <v>0</v>
      </c>
      <c r="M983" s="175">
        <v>0</v>
      </c>
      <c r="N983" s="167">
        <v>840</v>
      </c>
      <c r="O983" s="202">
        <v>1668544</v>
      </c>
      <c r="P983" s="168">
        <v>0</v>
      </c>
      <c r="Q983" s="167">
        <v>0</v>
      </c>
      <c r="R983" s="168">
        <v>0</v>
      </c>
      <c r="S983" s="167">
        <v>0</v>
      </c>
      <c r="T983" s="169">
        <v>0</v>
      </c>
      <c r="U983" s="252">
        <v>0</v>
      </c>
      <c r="V983" s="241"/>
      <c r="W983" s="241"/>
      <c r="X983" s="241"/>
    </row>
    <row r="984" spans="1:31" s="23" customFormat="1">
      <c r="A984" s="166">
        <v>367</v>
      </c>
      <c r="B984" s="203" t="s">
        <v>425</v>
      </c>
      <c r="C984" s="177">
        <v>2239107</v>
      </c>
      <c r="D984" s="177"/>
      <c r="E984" s="177"/>
      <c r="F984" s="177"/>
      <c r="G984" s="177"/>
      <c r="H984" s="177"/>
      <c r="I984" s="177"/>
      <c r="J984" s="177"/>
      <c r="K984" s="164">
        <v>0</v>
      </c>
      <c r="L984" s="162">
        <v>0</v>
      </c>
      <c r="M984" s="175">
        <v>0</v>
      </c>
      <c r="N984" s="167">
        <v>1101</v>
      </c>
      <c r="O984" s="202">
        <v>2239107</v>
      </c>
      <c r="P984" s="168">
        <v>0</v>
      </c>
      <c r="Q984" s="167">
        <v>0</v>
      </c>
      <c r="R984" s="168">
        <v>0</v>
      </c>
      <c r="S984" s="167">
        <v>0</v>
      </c>
      <c r="T984" s="169">
        <v>0</v>
      </c>
      <c r="U984" s="252">
        <v>0</v>
      </c>
      <c r="V984" s="241"/>
      <c r="W984" s="241"/>
      <c r="X984" s="241"/>
    </row>
    <row r="985" spans="1:31" s="23" customFormat="1">
      <c r="A985" s="166">
        <v>368</v>
      </c>
      <c r="B985" s="203" t="s">
        <v>433</v>
      </c>
      <c r="C985" s="198">
        <v>215709</v>
      </c>
      <c r="D985" s="198"/>
      <c r="E985" s="198"/>
      <c r="F985" s="198"/>
      <c r="G985" s="198"/>
      <c r="H985" s="198"/>
      <c r="I985" s="198"/>
      <c r="J985" s="198"/>
      <c r="K985" s="164">
        <v>215709</v>
      </c>
      <c r="L985" s="162">
        <v>0</v>
      </c>
      <c r="M985" s="175">
        <v>0</v>
      </c>
      <c r="N985" s="167">
        <v>0</v>
      </c>
      <c r="O985" s="202">
        <v>0</v>
      </c>
      <c r="P985" s="168">
        <v>0</v>
      </c>
      <c r="Q985" s="167">
        <v>0</v>
      </c>
      <c r="R985" s="168">
        <v>0</v>
      </c>
      <c r="S985" s="167">
        <v>0</v>
      </c>
      <c r="T985" s="169">
        <v>0</v>
      </c>
      <c r="U985" s="252">
        <v>0</v>
      </c>
      <c r="V985" s="241"/>
      <c r="W985" s="241"/>
      <c r="X985" s="241"/>
    </row>
    <row r="986" spans="1:31" s="23" customFormat="1">
      <c r="A986" s="166">
        <v>369</v>
      </c>
      <c r="B986" s="203" t="s">
        <v>79</v>
      </c>
      <c r="C986" s="177">
        <v>706234</v>
      </c>
      <c r="D986" s="177"/>
      <c r="E986" s="177"/>
      <c r="F986" s="177"/>
      <c r="G986" s="177"/>
      <c r="H986" s="177"/>
      <c r="I986" s="177"/>
      <c r="J986" s="177"/>
      <c r="K986" s="164">
        <v>0</v>
      </c>
      <c r="L986" s="162">
        <v>0</v>
      </c>
      <c r="M986" s="175">
        <v>0</v>
      </c>
      <c r="N986" s="167">
        <v>348</v>
      </c>
      <c r="O986" s="202">
        <v>706234</v>
      </c>
      <c r="P986" s="168">
        <v>0</v>
      </c>
      <c r="Q986" s="167">
        <v>0</v>
      </c>
      <c r="R986" s="168">
        <v>0</v>
      </c>
      <c r="S986" s="167">
        <v>0</v>
      </c>
      <c r="T986" s="169">
        <v>0</v>
      </c>
      <c r="U986" s="252">
        <v>0</v>
      </c>
      <c r="V986" s="241"/>
      <c r="W986" s="241"/>
      <c r="X986" s="241"/>
    </row>
    <row r="987" spans="1:31" s="23" customFormat="1">
      <c r="A987" s="166">
        <v>370</v>
      </c>
      <c r="B987" s="203" t="s">
        <v>78</v>
      </c>
      <c r="C987" s="177">
        <v>651603</v>
      </c>
      <c r="D987" s="177"/>
      <c r="E987" s="177"/>
      <c r="F987" s="177"/>
      <c r="G987" s="177"/>
      <c r="H987" s="177"/>
      <c r="I987" s="177"/>
      <c r="J987" s="177"/>
      <c r="K987" s="164">
        <v>0</v>
      </c>
      <c r="L987" s="162">
        <v>0</v>
      </c>
      <c r="M987" s="175">
        <v>0</v>
      </c>
      <c r="N987" s="167">
        <v>320</v>
      </c>
      <c r="O987" s="202">
        <v>651603</v>
      </c>
      <c r="P987" s="168">
        <v>0</v>
      </c>
      <c r="Q987" s="167">
        <v>0</v>
      </c>
      <c r="R987" s="168">
        <v>0</v>
      </c>
      <c r="S987" s="167">
        <v>0</v>
      </c>
      <c r="T987" s="169">
        <v>0</v>
      </c>
      <c r="U987" s="252">
        <v>0</v>
      </c>
      <c r="V987" s="241"/>
      <c r="W987" s="241"/>
      <c r="X987" s="241"/>
    </row>
    <row r="988" spans="1:31" s="23" customFormat="1">
      <c r="A988" s="166">
        <v>371</v>
      </c>
      <c r="B988" s="203" t="s">
        <v>426</v>
      </c>
      <c r="C988" s="198">
        <v>698701</v>
      </c>
      <c r="D988" s="198"/>
      <c r="E988" s="198"/>
      <c r="F988" s="198"/>
      <c r="G988" s="198"/>
      <c r="H988" s="198"/>
      <c r="I988" s="198"/>
      <c r="J988" s="198"/>
      <c r="K988" s="164">
        <v>0</v>
      </c>
      <c r="L988" s="162">
        <v>0</v>
      </c>
      <c r="M988" s="175">
        <v>0</v>
      </c>
      <c r="N988" s="167">
        <v>352</v>
      </c>
      <c r="O988" s="202">
        <v>698701</v>
      </c>
      <c r="P988" s="168">
        <v>0</v>
      </c>
      <c r="Q988" s="167">
        <v>0</v>
      </c>
      <c r="R988" s="168">
        <v>0</v>
      </c>
      <c r="S988" s="167">
        <v>0</v>
      </c>
      <c r="T988" s="169">
        <v>0</v>
      </c>
      <c r="U988" s="252">
        <v>0</v>
      </c>
      <c r="V988" s="241"/>
      <c r="W988" s="241"/>
      <c r="X988" s="241"/>
    </row>
    <row r="989" spans="1:31" s="23" customFormat="1">
      <c r="A989" s="166">
        <v>372</v>
      </c>
      <c r="B989" s="203" t="s">
        <v>80</v>
      </c>
      <c r="C989" s="198">
        <v>1512903</v>
      </c>
      <c r="D989" s="198"/>
      <c r="E989" s="198"/>
      <c r="F989" s="198"/>
      <c r="G989" s="198"/>
      <c r="H989" s="198"/>
      <c r="I989" s="198"/>
      <c r="J989" s="198"/>
      <c r="K989" s="164">
        <v>0</v>
      </c>
      <c r="L989" s="162">
        <v>0</v>
      </c>
      <c r="M989" s="175">
        <v>0</v>
      </c>
      <c r="N989" s="167">
        <v>762</v>
      </c>
      <c r="O989" s="202">
        <v>1512903</v>
      </c>
      <c r="P989" s="168">
        <v>0</v>
      </c>
      <c r="Q989" s="167">
        <v>0</v>
      </c>
      <c r="R989" s="168">
        <v>0</v>
      </c>
      <c r="S989" s="167">
        <v>0</v>
      </c>
      <c r="T989" s="169">
        <v>0</v>
      </c>
      <c r="U989" s="252">
        <v>0</v>
      </c>
      <c r="V989" s="241"/>
      <c r="W989" s="241"/>
      <c r="X989" s="241"/>
    </row>
    <row r="990" spans="1:31" s="23" customFormat="1">
      <c r="A990" s="166">
        <v>373</v>
      </c>
      <c r="B990" s="203" t="s">
        <v>81</v>
      </c>
      <c r="C990" s="198">
        <v>2294873</v>
      </c>
      <c r="D990" s="198"/>
      <c r="E990" s="198"/>
      <c r="F990" s="198"/>
      <c r="G990" s="198"/>
      <c r="H990" s="198"/>
      <c r="I990" s="198"/>
      <c r="J990" s="198"/>
      <c r="K990" s="164">
        <v>0</v>
      </c>
      <c r="L990" s="162">
        <v>0</v>
      </c>
      <c r="M990" s="175">
        <v>0</v>
      </c>
      <c r="N990" s="167">
        <v>1162</v>
      </c>
      <c r="O990" s="202">
        <v>2294873</v>
      </c>
      <c r="P990" s="168">
        <v>0</v>
      </c>
      <c r="Q990" s="167">
        <v>0</v>
      </c>
      <c r="R990" s="196">
        <v>0</v>
      </c>
      <c r="S990" s="202">
        <v>0</v>
      </c>
      <c r="T990" s="169">
        <v>0</v>
      </c>
      <c r="U990" s="252">
        <v>0</v>
      </c>
      <c r="V990" s="241"/>
      <c r="W990" s="241"/>
      <c r="X990" s="241"/>
    </row>
    <row r="991" spans="1:31" s="23" customFormat="1">
      <c r="A991" s="166">
        <v>374</v>
      </c>
      <c r="B991" s="203" t="s">
        <v>82</v>
      </c>
      <c r="C991" s="198">
        <v>879987</v>
      </c>
      <c r="D991" s="198"/>
      <c r="E991" s="198"/>
      <c r="F991" s="198"/>
      <c r="G991" s="198"/>
      <c r="H991" s="198"/>
      <c r="I991" s="198"/>
      <c r="J991" s="198"/>
      <c r="K991" s="164">
        <v>0</v>
      </c>
      <c r="L991" s="162">
        <v>0</v>
      </c>
      <c r="M991" s="175">
        <v>0</v>
      </c>
      <c r="N991" s="167">
        <v>436.34</v>
      </c>
      <c r="O991" s="202">
        <v>879987</v>
      </c>
      <c r="P991" s="168">
        <v>0</v>
      </c>
      <c r="Q991" s="167">
        <v>0</v>
      </c>
      <c r="R991" s="168">
        <v>0</v>
      </c>
      <c r="S991" s="202">
        <v>0</v>
      </c>
      <c r="T991" s="169">
        <v>0</v>
      </c>
      <c r="U991" s="252">
        <v>0</v>
      </c>
      <c r="V991" s="241"/>
      <c r="W991" s="241"/>
      <c r="X991" s="241"/>
    </row>
    <row r="992" spans="1:31" s="23" customFormat="1">
      <c r="A992" s="166">
        <v>375</v>
      </c>
      <c r="B992" s="203" t="s">
        <v>83</v>
      </c>
      <c r="C992" s="198">
        <v>1361248</v>
      </c>
      <c r="D992" s="198"/>
      <c r="E992" s="198"/>
      <c r="F992" s="198"/>
      <c r="G992" s="198"/>
      <c r="H992" s="198"/>
      <c r="I992" s="198"/>
      <c r="J992" s="198"/>
      <c r="K992" s="164">
        <v>0</v>
      </c>
      <c r="L992" s="162">
        <v>0</v>
      </c>
      <c r="M992" s="175">
        <v>0</v>
      </c>
      <c r="N992" s="167">
        <v>680</v>
      </c>
      <c r="O992" s="202">
        <v>1361248</v>
      </c>
      <c r="P992" s="168">
        <v>0</v>
      </c>
      <c r="Q992" s="167">
        <v>0</v>
      </c>
      <c r="R992" s="196">
        <v>0</v>
      </c>
      <c r="S992" s="202">
        <v>0</v>
      </c>
      <c r="T992" s="169">
        <v>0</v>
      </c>
      <c r="U992" s="252">
        <v>0</v>
      </c>
      <c r="V992" s="241"/>
      <c r="W992" s="241"/>
      <c r="X992" s="241"/>
    </row>
    <row r="993" spans="1:26" ht="25.9" customHeight="1">
      <c r="A993" s="427"/>
      <c r="B993" s="439" t="s">
        <v>59</v>
      </c>
      <c r="C993" s="437">
        <f>C994+C995</f>
        <v>0</v>
      </c>
      <c r="D993" s="437">
        <f t="shared" ref="D993:V993" si="128">D994+D995</f>
        <v>0</v>
      </c>
      <c r="E993" s="437">
        <f t="shared" si="128"/>
        <v>0</v>
      </c>
      <c r="F993" s="437">
        <f t="shared" si="128"/>
        <v>0</v>
      </c>
      <c r="G993" s="437">
        <f t="shared" si="128"/>
        <v>0</v>
      </c>
      <c r="H993" s="437">
        <f t="shared" si="128"/>
        <v>0</v>
      </c>
      <c r="I993" s="437">
        <f t="shared" si="128"/>
        <v>0</v>
      </c>
      <c r="J993" s="437">
        <f t="shared" si="128"/>
        <v>0</v>
      </c>
      <c r="K993" s="437">
        <f t="shared" si="128"/>
        <v>0</v>
      </c>
      <c r="L993" s="437">
        <f t="shared" si="128"/>
        <v>0</v>
      </c>
      <c r="M993" s="437">
        <f t="shared" si="128"/>
        <v>0</v>
      </c>
      <c r="N993" s="437">
        <f t="shared" si="128"/>
        <v>0</v>
      </c>
      <c r="O993" s="437">
        <f t="shared" si="128"/>
        <v>0</v>
      </c>
      <c r="P993" s="437">
        <f t="shared" si="128"/>
        <v>0</v>
      </c>
      <c r="Q993" s="437">
        <f t="shared" si="128"/>
        <v>0</v>
      </c>
      <c r="R993" s="437">
        <f t="shared" si="128"/>
        <v>0</v>
      </c>
      <c r="S993" s="437">
        <f t="shared" si="128"/>
        <v>0</v>
      </c>
      <c r="T993" s="437">
        <f t="shared" si="128"/>
        <v>0</v>
      </c>
      <c r="U993" s="437">
        <f t="shared" si="128"/>
        <v>0</v>
      </c>
      <c r="V993" s="177">
        <f t="shared" si="128"/>
        <v>0</v>
      </c>
      <c r="W993" s="241"/>
      <c r="X993" s="241"/>
    </row>
    <row r="994" spans="1:26" ht="38.450000000000003" customHeight="1">
      <c r="A994" s="427"/>
      <c r="B994" s="443" t="s">
        <v>86</v>
      </c>
      <c r="C994" s="490">
        <v>0</v>
      </c>
      <c r="D994" s="490">
        <v>0</v>
      </c>
      <c r="E994" s="490">
        <v>0</v>
      </c>
      <c r="F994" s="490">
        <v>0</v>
      </c>
      <c r="G994" s="490">
        <v>0</v>
      </c>
      <c r="H994" s="490">
        <v>0</v>
      </c>
      <c r="I994" s="490">
        <v>0</v>
      </c>
      <c r="J994" s="490">
        <v>0</v>
      </c>
      <c r="K994" s="490">
        <v>0</v>
      </c>
      <c r="L994" s="809">
        <v>0</v>
      </c>
      <c r="M994" s="490">
        <v>0</v>
      </c>
      <c r="N994" s="490">
        <v>0</v>
      </c>
      <c r="O994" s="490">
        <v>0</v>
      </c>
      <c r="P994" s="810">
        <v>0</v>
      </c>
      <c r="Q994" s="490">
        <v>0</v>
      </c>
      <c r="R994" s="490">
        <v>0</v>
      </c>
      <c r="S994" s="490">
        <v>0</v>
      </c>
      <c r="T994" s="809">
        <v>0</v>
      </c>
      <c r="U994" s="811">
        <v>0</v>
      </c>
      <c r="V994" s="241"/>
      <c r="W994" s="241"/>
      <c r="X994" s="241"/>
      <c r="Y994" s="24"/>
      <c r="Z994" s="24"/>
    </row>
    <row r="995" spans="1:26" ht="30">
      <c r="A995" s="427"/>
      <c r="B995" s="443" t="s">
        <v>85</v>
      </c>
      <c r="C995" s="490">
        <v>0</v>
      </c>
      <c r="D995" s="490">
        <v>0</v>
      </c>
      <c r="E995" s="490">
        <v>0</v>
      </c>
      <c r="F995" s="490">
        <v>0</v>
      </c>
      <c r="G995" s="490">
        <v>0</v>
      </c>
      <c r="H995" s="490">
        <v>0</v>
      </c>
      <c r="I995" s="490">
        <v>0</v>
      </c>
      <c r="J995" s="490">
        <v>0</v>
      </c>
      <c r="K995" s="490">
        <v>0</v>
      </c>
      <c r="L995" s="809">
        <v>0</v>
      </c>
      <c r="M995" s="490">
        <v>0</v>
      </c>
      <c r="N995" s="490">
        <v>0</v>
      </c>
      <c r="O995" s="490">
        <v>0</v>
      </c>
      <c r="P995" s="810">
        <v>0</v>
      </c>
      <c r="Q995" s="490">
        <v>0</v>
      </c>
      <c r="R995" s="810">
        <v>0</v>
      </c>
      <c r="S995" s="490">
        <v>0</v>
      </c>
      <c r="T995" s="812">
        <v>0</v>
      </c>
      <c r="U995" s="811">
        <v>0</v>
      </c>
      <c r="V995" s="241"/>
      <c r="W995" s="241"/>
      <c r="X995" s="241"/>
      <c r="Y995" s="73"/>
      <c r="Z995" s="73"/>
    </row>
    <row r="996" spans="1:26">
      <c r="A996" s="166"/>
      <c r="B996" s="182" t="s">
        <v>60</v>
      </c>
      <c r="C996" s="177">
        <v>9462538</v>
      </c>
      <c r="D996" s="177"/>
      <c r="E996" s="177"/>
      <c r="F996" s="177"/>
      <c r="G996" s="177"/>
      <c r="H996" s="177"/>
      <c r="I996" s="177"/>
      <c r="J996" s="177"/>
      <c r="K996" s="177">
        <v>0</v>
      </c>
      <c r="L996" s="178">
        <v>0</v>
      </c>
      <c r="M996" s="177">
        <v>0</v>
      </c>
      <c r="N996" s="177">
        <v>1596</v>
      </c>
      <c r="O996" s="177">
        <v>3173810</v>
      </c>
      <c r="P996" s="179">
        <v>0</v>
      </c>
      <c r="Q996" s="177">
        <v>0</v>
      </c>
      <c r="R996" s="177">
        <v>4347</v>
      </c>
      <c r="S996" s="177">
        <v>6288728</v>
      </c>
      <c r="T996" s="178">
        <v>0</v>
      </c>
      <c r="U996" s="248">
        <v>0</v>
      </c>
      <c r="V996" s="241"/>
      <c r="W996" s="241"/>
      <c r="X996" s="241"/>
    </row>
    <row r="997" spans="1:26" ht="30">
      <c r="A997" s="166"/>
      <c r="B997" s="180" t="s">
        <v>113</v>
      </c>
      <c r="C997" s="177">
        <v>9462538</v>
      </c>
      <c r="D997" s="177"/>
      <c r="E997" s="177"/>
      <c r="F997" s="177"/>
      <c r="G997" s="177"/>
      <c r="H997" s="177"/>
      <c r="I997" s="177"/>
      <c r="J997" s="177"/>
      <c r="K997" s="177">
        <v>0</v>
      </c>
      <c r="L997" s="178">
        <v>0</v>
      </c>
      <c r="M997" s="177">
        <v>0</v>
      </c>
      <c r="N997" s="177">
        <v>1596</v>
      </c>
      <c r="O997" s="177">
        <v>3173810</v>
      </c>
      <c r="P997" s="179">
        <v>0</v>
      </c>
      <c r="Q997" s="177">
        <v>0</v>
      </c>
      <c r="R997" s="177">
        <v>4347</v>
      </c>
      <c r="S997" s="177">
        <v>6288728</v>
      </c>
      <c r="T997" s="178">
        <v>0</v>
      </c>
      <c r="U997" s="248">
        <v>0</v>
      </c>
      <c r="V997" s="241"/>
      <c r="W997" s="241"/>
      <c r="X997" s="241"/>
    </row>
    <row r="998" spans="1:26" s="25" customFormat="1">
      <c r="A998" s="166">
        <v>435</v>
      </c>
      <c r="B998" s="173" t="s">
        <v>76</v>
      </c>
      <c r="C998" s="198">
        <v>3626543</v>
      </c>
      <c r="D998" s="198"/>
      <c r="E998" s="198"/>
      <c r="F998" s="198"/>
      <c r="G998" s="198"/>
      <c r="H998" s="198"/>
      <c r="I998" s="198"/>
      <c r="J998" s="198"/>
      <c r="K998" s="177">
        <v>0</v>
      </c>
      <c r="L998" s="178">
        <v>0</v>
      </c>
      <c r="M998" s="177">
        <v>0</v>
      </c>
      <c r="N998" s="177">
        <v>0</v>
      </c>
      <c r="O998" s="177">
        <v>0</v>
      </c>
      <c r="P998" s="179">
        <v>0</v>
      </c>
      <c r="Q998" s="177">
        <v>0</v>
      </c>
      <c r="R998" s="198">
        <v>2511</v>
      </c>
      <c r="S998" s="198">
        <v>3626543</v>
      </c>
      <c r="T998" s="178">
        <v>0</v>
      </c>
      <c r="U998" s="248">
        <v>0</v>
      </c>
      <c r="V998" s="241"/>
      <c r="W998" s="241"/>
      <c r="X998" s="241"/>
    </row>
    <row r="999" spans="1:26" s="25" customFormat="1">
      <c r="A999" s="166">
        <v>436</v>
      </c>
      <c r="B999" s="173" t="s">
        <v>75</v>
      </c>
      <c r="C999" s="198">
        <v>2160246</v>
      </c>
      <c r="D999" s="198"/>
      <c r="E999" s="198"/>
      <c r="F999" s="198"/>
      <c r="G999" s="198"/>
      <c r="H999" s="198"/>
      <c r="I999" s="198"/>
      <c r="J999" s="198"/>
      <c r="K999" s="177">
        <v>0</v>
      </c>
      <c r="L999" s="178">
        <v>0</v>
      </c>
      <c r="M999" s="177">
        <v>0</v>
      </c>
      <c r="N999" s="198">
        <v>1092</v>
      </c>
      <c r="O999" s="198">
        <v>2160246</v>
      </c>
      <c r="P999" s="179">
        <v>0</v>
      </c>
      <c r="Q999" s="177">
        <v>0</v>
      </c>
      <c r="R999" s="179">
        <v>0</v>
      </c>
      <c r="S999" s="177">
        <v>0</v>
      </c>
      <c r="T999" s="178">
        <v>0</v>
      </c>
      <c r="U999" s="248">
        <v>0</v>
      </c>
      <c r="V999" s="241"/>
      <c r="W999" s="241"/>
      <c r="X999" s="241"/>
    </row>
    <row r="1000" spans="1:26" s="25" customFormat="1">
      <c r="A1000" s="166">
        <v>437</v>
      </c>
      <c r="B1000" s="173" t="s">
        <v>77</v>
      </c>
      <c r="C1000" s="198">
        <v>1013564</v>
      </c>
      <c r="D1000" s="198"/>
      <c r="E1000" s="198"/>
      <c r="F1000" s="198"/>
      <c r="G1000" s="198"/>
      <c r="H1000" s="198"/>
      <c r="I1000" s="198"/>
      <c r="J1000" s="198"/>
      <c r="K1000" s="177">
        <v>0</v>
      </c>
      <c r="L1000" s="178">
        <v>0</v>
      </c>
      <c r="M1000" s="177">
        <v>0</v>
      </c>
      <c r="N1000" s="198">
        <v>504</v>
      </c>
      <c r="O1000" s="198">
        <v>1013564</v>
      </c>
      <c r="P1000" s="179">
        <v>0</v>
      </c>
      <c r="Q1000" s="177">
        <v>0</v>
      </c>
      <c r="R1000" s="179">
        <v>0</v>
      </c>
      <c r="S1000" s="177">
        <v>0</v>
      </c>
      <c r="T1000" s="178">
        <v>0</v>
      </c>
      <c r="U1000" s="248">
        <v>0</v>
      </c>
      <c r="V1000" s="241"/>
      <c r="W1000" s="241"/>
      <c r="X1000" s="241"/>
    </row>
    <row r="1001" spans="1:26" s="25" customFormat="1">
      <c r="A1001" s="166">
        <v>438</v>
      </c>
      <c r="B1001" s="173" t="s">
        <v>427</v>
      </c>
      <c r="C1001" s="198">
        <v>2662185</v>
      </c>
      <c r="D1001" s="198"/>
      <c r="E1001" s="198"/>
      <c r="F1001" s="198"/>
      <c r="G1001" s="198"/>
      <c r="H1001" s="198"/>
      <c r="I1001" s="198"/>
      <c r="J1001" s="198"/>
      <c r="K1001" s="177">
        <v>0</v>
      </c>
      <c r="L1001" s="178">
        <v>0</v>
      </c>
      <c r="M1001" s="177">
        <v>0</v>
      </c>
      <c r="N1001" s="177">
        <v>0</v>
      </c>
      <c r="O1001" s="177">
        <v>0</v>
      </c>
      <c r="P1001" s="179">
        <v>0</v>
      </c>
      <c r="Q1001" s="177">
        <v>0</v>
      </c>
      <c r="R1001" s="198">
        <v>1836</v>
      </c>
      <c r="S1001" s="198">
        <v>2662185</v>
      </c>
      <c r="T1001" s="178">
        <v>0</v>
      </c>
      <c r="U1001" s="248">
        <v>0</v>
      </c>
      <c r="V1001" s="241"/>
      <c r="W1001" s="241"/>
      <c r="X1001" s="241"/>
    </row>
    <row r="1002" spans="1:26" s="25" customFormat="1">
      <c r="A1002" s="166"/>
      <c r="B1002" s="173" t="s">
        <v>208</v>
      </c>
      <c r="C1002" s="198">
        <v>562350</v>
      </c>
      <c r="D1002" s="198"/>
      <c r="E1002" s="198"/>
      <c r="F1002" s="198"/>
      <c r="G1002" s="198"/>
      <c r="H1002" s="198"/>
      <c r="I1002" s="198"/>
      <c r="J1002" s="198"/>
      <c r="K1002" s="198">
        <v>0</v>
      </c>
      <c r="L1002" s="204">
        <v>0</v>
      </c>
      <c r="M1002" s="198">
        <v>0</v>
      </c>
      <c r="N1002" s="198">
        <v>275</v>
      </c>
      <c r="O1002" s="198">
        <v>562350</v>
      </c>
      <c r="P1002" s="196">
        <v>0</v>
      </c>
      <c r="Q1002" s="198">
        <v>0</v>
      </c>
      <c r="R1002" s="196">
        <v>0</v>
      </c>
      <c r="S1002" s="198">
        <v>0</v>
      </c>
      <c r="T1002" s="196">
        <v>0</v>
      </c>
      <c r="U1002" s="253">
        <v>0</v>
      </c>
      <c r="V1002" s="241"/>
      <c r="W1002" s="241"/>
      <c r="X1002" s="241"/>
    </row>
    <row r="1003" spans="1:26" s="25" customFormat="1" ht="30">
      <c r="A1003" s="166"/>
      <c r="B1003" s="180" t="s">
        <v>209</v>
      </c>
      <c r="C1003" s="198">
        <f>C1004</f>
        <v>423156</v>
      </c>
      <c r="D1003" s="198">
        <f t="shared" ref="D1003:U1003" si="129">D1004</f>
        <v>0</v>
      </c>
      <c r="E1003" s="198">
        <f t="shared" si="129"/>
        <v>0</v>
      </c>
      <c r="F1003" s="198">
        <f t="shared" si="129"/>
        <v>0</v>
      </c>
      <c r="G1003" s="198">
        <f t="shared" si="129"/>
        <v>0</v>
      </c>
      <c r="H1003" s="198">
        <f t="shared" si="129"/>
        <v>0</v>
      </c>
      <c r="I1003" s="198">
        <f t="shared" si="129"/>
        <v>0</v>
      </c>
      <c r="J1003" s="198">
        <f t="shared" si="129"/>
        <v>0</v>
      </c>
      <c r="K1003" s="198">
        <f t="shared" si="129"/>
        <v>0</v>
      </c>
      <c r="L1003" s="198">
        <f t="shared" si="129"/>
        <v>0</v>
      </c>
      <c r="M1003" s="198">
        <f t="shared" si="129"/>
        <v>0</v>
      </c>
      <c r="N1003" s="198">
        <f t="shared" si="129"/>
        <v>0</v>
      </c>
      <c r="O1003" s="198">
        <f t="shared" si="129"/>
        <v>0</v>
      </c>
      <c r="P1003" s="198">
        <f t="shared" si="129"/>
        <v>0</v>
      </c>
      <c r="Q1003" s="198">
        <f t="shared" si="129"/>
        <v>0</v>
      </c>
      <c r="R1003" s="198">
        <f t="shared" si="129"/>
        <v>275</v>
      </c>
      <c r="S1003" s="198">
        <f t="shared" si="129"/>
        <v>423156</v>
      </c>
      <c r="T1003" s="198">
        <f t="shared" si="129"/>
        <v>0</v>
      </c>
      <c r="U1003" s="198">
        <f t="shared" si="129"/>
        <v>0</v>
      </c>
      <c r="V1003" s="241"/>
      <c r="W1003" s="241"/>
      <c r="X1003" s="241"/>
    </row>
    <row r="1004" spans="1:26" s="25" customFormat="1">
      <c r="A1004" s="427">
        <v>439</v>
      </c>
      <c r="B1004" s="444" t="s">
        <v>479</v>
      </c>
      <c r="C1004" s="445">
        <v>423156</v>
      </c>
      <c r="D1004" s="445">
        <v>0</v>
      </c>
      <c r="E1004" s="445">
        <v>0</v>
      </c>
      <c r="F1004" s="445">
        <v>0</v>
      </c>
      <c r="G1004" s="445">
        <v>0</v>
      </c>
      <c r="H1004" s="445">
        <v>0</v>
      </c>
      <c r="I1004" s="445">
        <v>0</v>
      </c>
      <c r="J1004" s="445">
        <v>0</v>
      </c>
      <c r="K1004" s="437">
        <v>0</v>
      </c>
      <c r="L1004" s="440">
        <v>0</v>
      </c>
      <c r="M1004" s="437">
        <v>0</v>
      </c>
      <c r="N1004" s="437">
        <v>0</v>
      </c>
      <c r="O1004" s="437">
        <v>0</v>
      </c>
      <c r="P1004" s="441">
        <v>0</v>
      </c>
      <c r="Q1004" s="437">
        <v>0</v>
      </c>
      <c r="R1004" s="446">
        <v>275</v>
      </c>
      <c r="S1004" s="445">
        <v>423156</v>
      </c>
      <c r="T1004" s="440">
        <v>0</v>
      </c>
      <c r="U1004" s="442">
        <v>0</v>
      </c>
      <c r="V1004" s="241"/>
      <c r="W1004" s="241"/>
      <c r="X1004" s="241">
        <f>S1004/R1004</f>
        <v>1538.7490909090909</v>
      </c>
    </row>
    <row r="1005" spans="1:26">
      <c r="A1005" s="166"/>
      <c r="B1005" s="182" t="s">
        <v>61</v>
      </c>
      <c r="C1005" s="177">
        <v>1267050</v>
      </c>
      <c r="D1005" s="177"/>
      <c r="E1005" s="177"/>
      <c r="F1005" s="177"/>
      <c r="G1005" s="177"/>
      <c r="H1005" s="177"/>
      <c r="I1005" s="177"/>
      <c r="J1005" s="177"/>
      <c r="K1005" s="177">
        <v>0</v>
      </c>
      <c r="L1005" s="178">
        <v>0</v>
      </c>
      <c r="M1005" s="177">
        <v>0</v>
      </c>
      <c r="N1005" s="177">
        <v>643</v>
      </c>
      <c r="O1005" s="177">
        <v>1267050</v>
      </c>
      <c r="P1005" s="179">
        <v>0</v>
      </c>
      <c r="Q1005" s="177">
        <v>0</v>
      </c>
      <c r="R1005" s="179">
        <v>0</v>
      </c>
      <c r="S1005" s="177">
        <v>0</v>
      </c>
      <c r="T1005" s="178">
        <v>0</v>
      </c>
      <c r="U1005" s="248">
        <v>0</v>
      </c>
      <c r="V1005" s="241"/>
      <c r="W1005" s="241"/>
      <c r="X1005" s="241"/>
    </row>
    <row r="1006" spans="1:26" ht="30">
      <c r="A1006" s="166"/>
      <c r="B1006" s="180" t="s">
        <v>118</v>
      </c>
      <c r="C1006" s="177">
        <f>C1007+C1008+C1009</f>
        <v>4886972</v>
      </c>
      <c r="D1006" s="177">
        <f t="shared" ref="D1006:U1006" si="130">D1007+D1008+D1009</f>
        <v>0</v>
      </c>
      <c r="E1006" s="177">
        <f t="shared" si="130"/>
        <v>0</v>
      </c>
      <c r="F1006" s="177">
        <f t="shared" si="130"/>
        <v>0</v>
      </c>
      <c r="G1006" s="177">
        <f t="shared" si="130"/>
        <v>0</v>
      </c>
      <c r="H1006" s="177">
        <f t="shared" si="130"/>
        <v>0</v>
      </c>
      <c r="I1006" s="177">
        <f t="shared" si="130"/>
        <v>0</v>
      </c>
      <c r="J1006" s="177">
        <f t="shared" si="130"/>
        <v>0</v>
      </c>
      <c r="K1006" s="177">
        <f t="shared" si="130"/>
        <v>0</v>
      </c>
      <c r="L1006" s="177">
        <f t="shared" si="130"/>
        <v>0</v>
      </c>
      <c r="M1006" s="177">
        <f t="shared" si="130"/>
        <v>0</v>
      </c>
      <c r="N1006" s="177">
        <f t="shared" si="130"/>
        <v>1530.7200000000003</v>
      </c>
      <c r="O1006" s="177">
        <f t="shared" si="130"/>
        <v>4886972</v>
      </c>
      <c r="P1006" s="177">
        <f t="shared" si="130"/>
        <v>0</v>
      </c>
      <c r="Q1006" s="177">
        <f t="shared" si="130"/>
        <v>0</v>
      </c>
      <c r="R1006" s="177">
        <f t="shared" si="130"/>
        <v>0</v>
      </c>
      <c r="S1006" s="177">
        <f t="shared" si="130"/>
        <v>0</v>
      </c>
      <c r="T1006" s="177">
        <f t="shared" si="130"/>
        <v>0</v>
      </c>
      <c r="U1006" s="177">
        <f t="shared" si="130"/>
        <v>0</v>
      </c>
      <c r="V1006" s="241"/>
      <c r="W1006" s="241"/>
      <c r="X1006" s="241"/>
    </row>
    <row r="1007" spans="1:26">
      <c r="A1007" s="427"/>
      <c r="B1007" s="438" t="s">
        <v>597</v>
      </c>
      <c r="C1007" s="437">
        <v>1449272</v>
      </c>
      <c r="D1007" s="437">
        <v>0</v>
      </c>
      <c r="E1007" s="437">
        <v>0</v>
      </c>
      <c r="F1007" s="437">
        <v>0</v>
      </c>
      <c r="G1007" s="437">
        <v>0</v>
      </c>
      <c r="H1007" s="437">
        <v>0</v>
      </c>
      <c r="I1007" s="437">
        <v>0</v>
      </c>
      <c r="J1007" s="437">
        <v>0</v>
      </c>
      <c r="K1007" s="437">
        <v>0</v>
      </c>
      <c r="L1007" s="437">
        <v>0</v>
      </c>
      <c r="M1007" s="437">
        <v>0</v>
      </c>
      <c r="N1007" s="437">
        <v>453.12</v>
      </c>
      <c r="O1007" s="437">
        <v>1449272</v>
      </c>
      <c r="P1007" s="437">
        <v>0</v>
      </c>
      <c r="Q1007" s="437">
        <v>0</v>
      </c>
      <c r="R1007" s="437">
        <v>0</v>
      </c>
      <c r="S1007" s="437">
        <v>0</v>
      </c>
      <c r="T1007" s="437">
        <v>0</v>
      </c>
      <c r="U1007" s="437">
        <v>0</v>
      </c>
      <c r="V1007" s="241"/>
      <c r="W1007" s="241">
        <f>O1007/N1007</f>
        <v>3198.4286723163841</v>
      </c>
      <c r="X1007" s="241"/>
    </row>
    <row r="1008" spans="1:26">
      <c r="A1008" s="427">
        <v>440</v>
      </c>
      <c r="B1008" s="438" t="s">
        <v>493</v>
      </c>
      <c r="C1008" s="437">
        <v>2576258</v>
      </c>
      <c r="D1008" s="437">
        <v>0</v>
      </c>
      <c r="E1008" s="437">
        <v>0</v>
      </c>
      <c r="F1008" s="437">
        <v>0</v>
      </c>
      <c r="G1008" s="437">
        <v>0</v>
      </c>
      <c r="H1008" s="437">
        <v>0</v>
      </c>
      <c r="I1008" s="437">
        <v>0</v>
      </c>
      <c r="J1008" s="437">
        <v>0</v>
      </c>
      <c r="K1008" s="437">
        <v>0</v>
      </c>
      <c r="L1008" s="440">
        <v>0</v>
      </c>
      <c r="M1008" s="437">
        <v>0</v>
      </c>
      <c r="N1008" s="437">
        <v>811.2</v>
      </c>
      <c r="O1008" s="437">
        <v>2576258</v>
      </c>
      <c r="P1008" s="441">
        <v>0</v>
      </c>
      <c r="Q1008" s="437">
        <v>0</v>
      </c>
      <c r="R1008" s="441">
        <v>0</v>
      </c>
      <c r="S1008" s="437">
        <v>0</v>
      </c>
      <c r="T1008" s="440">
        <v>0</v>
      </c>
      <c r="U1008" s="442">
        <v>0</v>
      </c>
      <c r="V1008" s="241"/>
      <c r="W1008" s="241">
        <f>O1008/N1008</f>
        <v>3175.8604536489152</v>
      </c>
      <c r="X1008" s="241"/>
    </row>
    <row r="1009" spans="1:31">
      <c r="A1009" s="427"/>
      <c r="B1009" s="438" t="s">
        <v>494</v>
      </c>
      <c r="C1009" s="437">
        <v>861442</v>
      </c>
      <c r="D1009" s="437">
        <v>0</v>
      </c>
      <c r="E1009" s="437">
        <v>0</v>
      </c>
      <c r="F1009" s="437">
        <v>0</v>
      </c>
      <c r="G1009" s="437">
        <v>0</v>
      </c>
      <c r="H1009" s="437">
        <v>0</v>
      </c>
      <c r="I1009" s="437">
        <v>0</v>
      </c>
      <c r="J1009" s="437">
        <v>0</v>
      </c>
      <c r="K1009" s="437">
        <v>0</v>
      </c>
      <c r="L1009" s="440">
        <v>0</v>
      </c>
      <c r="M1009" s="437">
        <v>0</v>
      </c>
      <c r="N1009" s="437">
        <v>266.39999999999998</v>
      </c>
      <c r="O1009" s="437">
        <v>861442</v>
      </c>
      <c r="P1009" s="441">
        <v>0</v>
      </c>
      <c r="Q1009" s="437">
        <v>0</v>
      </c>
      <c r="R1009" s="441">
        <v>0</v>
      </c>
      <c r="S1009" s="437">
        <v>0</v>
      </c>
      <c r="T1009" s="440">
        <v>0</v>
      </c>
      <c r="U1009" s="442">
        <v>0</v>
      </c>
      <c r="V1009" s="241"/>
      <c r="W1009" s="241">
        <f>O1009/N1009</f>
        <v>3233.6411411411414</v>
      </c>
      <c r="X1009" s="241"/>
    </row>
    <row r="1010" spans="1:31" ht="17.45" customHeight="1">
      <c r="A1010" s="162"/>
      <c r="B1010" s="180" t="s">
        <v>649</v>
      </c>
      <c r="C1010" s="177">
        <f>C1011</f>
        <v>1577672</v>
      </c>
      <c r="D1010" s="177">
        <f t="shared" ref="D1010:V1010" si="131">D1011</f>
        <v>0</v>
      </c>
      <c r="E1010" s="177">
        <f t="shared" si="131"/>
        <v>0</v>
      </c>
      <c r="F1010" s="177">
        <f t="shared" si="131"/>
        <v>0</v>
      </c>
      <c r="G1010" s="177">
        <f t="shared" si="131"/>
        <v>0</v>
      </c>
      <c r="H1010" s="177">
        <f t="shared" si="131"/>
        <v>0</v>
      </c>
      <c r="I1010" s="177">
        <f t="shared" si="131"/>
        <v>0</v>
      </c>
      <c r="J1010" s="177">
        <f t="shared" si="131"/>
        <v>0</v>
      </c>
      <c r="K1010" s="177">
        <f t="shared" si="131"/>
        <v>0</v>
      </c>
      <c r="L1010" s="177">
        <f t="shared" si="131"/>
        <v>0</v>
      </c>
      <c r="M1010" s="177">
        <f t="shared" si="131"/>
        <v>0</v>
      </c>
      <c r="N1010" s="177">
        <f t="shared" si="131"/>
        <v>0</v>
      </c>
      <c r="O1010" s="177">
        <f t="shared" si="131"/>
        <v>0</v>
      </c>
      <c r="P1010" s="177">
        <f t="shared" si="131"/>
        <v>0</v>
      </c>
      <c r="Q1010" s="177">
        <f t="shared" si="131"/>
        <v>0</v>
      </c>
      <c r="R1010" s="177">
        <f t="shared" si="131"/>
        <v>1027.1600000000001</v>
      </c>
      <c r="S1010" s="177">
        <f t="shared" si="131"/>
        <v>1577672</v>
      </c>
      <c r="T1010" s="177">
        <f t="shared" si="131"/>
        <v>0</v>
      </c>
      <c r="U1010" s="177">
        <f t="shared" si="131"/>
        <v>0</v>
      </c>
      <c r="V1010" s="177">
        <f t="shared" si="131"/>
        <v>0</v>
      </c>
      <c r="W1010" s="241"/>
      <c r="X1010" s="241"/>
    </row>
    <row r="1011" spans="1:31" ht="30">
      <c r="A1011" s="162"/>
      <c r="B1011" s="180" t="s">
        <v>652</v>
      </c>
      <c r="C1011" s="177">
        <f>C1012+C1013</f>
        <v>1577672</v>
      </c>
      <c r="D1011" s="177">
        <f t="shared" ref="D1011:U1011" si="132">D1012+D1013</f>
        <v>0</v>
      </c>
      <c r="E1011" s="177">
        <f t="shared" si="132"/>
        <v>0</v>
      </c>
      <c r="F1011" s="177">
        <f t="shared" si="132"/>
        <v>0</v>
      </c>
      <c r="G1011" s="177">
        <f t="shared" si="132"/>
        <v>0</v>
      </c>
      <c r="H1011" s="177">
        <f t="shared" si="132"/>
        <v>0</v>
      </c>
      <c r="I1011" s="177">
        <f t="shared" si="132"/>
        <v>0</v>
      </c>
      <c r="J1011" s="177">
        <f t="shared" si="132"/>
        <v>0</v>
      </c>
      <c r="K1011" s="177">
        <f t="shared" si="132"/>
        <v>0</v>
      </c>
      <c r="L1011" s="177">
        <f t="shared" si="132"/>
        <v>0</v>
      </c>
      <c r="M1011" s="177">
        <f t="shared" si="132"/>
        <v>0</v>
      </c>
      <c r="N1011" s="177">
        <f t="shared" si="132"/>
        <v>0</v>
      </c>
      <c r="O1011" s="177">
        <f t="shared" si="132"/>
        <v>0</v>
      </c>
      <c r="P1011" s="177">
        <f t="shared" si="132"/>
        <v>0</v>
      </c>
      <c r="Q1011" s="177">
        <f t="shared" si="132"/>
        <v>0</v>
      </c>
      <c r="R1011" s="177">
        <f t="shared" si="132"/>
        <v>1027.1600000000001</v>
      </c>
      <c r="S1011" s="177">
        <f t="shared" si="132"/>
        <v>1577672</v>
      </c>
      <c r="T1011" s="177">
        <f t="shared" si="132"/>
        <v>0</v>
      </c>
      <c r="U1011" s="177">
        <f t="shared" si="132"/>
        <v>0</v>
      </c>
      <c r="V1011" s="241"/>
      <c r="W1011" s="241"/>
      <c r="X1011" s="241"/>
    </row>
    <row r="1012" spans="1:31" ht="15.75">
      <c r="A1012" s="162"/>
      <c r="B1012" s="226" t="s">
        <v>653</v>
      </c>
      <c r="C1012" s="177">
        <v>788836</v>
      </c>
      <c r="D1012" s="177">
        <v>0</v>
      </c>
      <c r="E1012" s="177">
        <v>0</v>
      </c>
      <c r="F1012" s="177">
        <v>0</v>
      </c>
      <c r="G1012" s="177">
        <v>0</v>
      </c>
      <c r="H1012" s="177">
        <v>0</v>
      </c>
      <c r="I1012" s="177">
        <v>0</v>
      </c>
      <c r="J1012" s="177">
        <v>0</v>
      </c>
      <c r="K1012" s="177">
        <v>0</v>
      </c>
      <c r="L1012" s="178">
        <v>0</v>
      </c>
      <c r="M1012" s="177">
        <v>0</v>
      </c>
      <c r="N1012" s="177">
        <v>0</v>
      </c>
      <c r="O1012" s="177">
        <v>0</v>
      </c>
      <c r="P1012" s="179">
        <v>0</v>
      </c>
      <c r="Q1012" s="177">
        <v>0</v>
      </c>
      <c r="R1012" s="179">
        <v>513.58000000000004</v>
      </c>
      <c r="S1012" s="177">
        <v>788836</v>
      </c>
      <c r="T1012" s="178">
        <v>0</v>
      </c>
      <c r="U1012" s="248">
        <v>0</v>
      </c>
      <c r="V1012" s="241"/>
      <c r="W1012" s="241"/>
      <c r="X1012" s="241">
        <f>S1012/R1012</f>
        <v>1535.9554499785816</v>
      </c>
    </row>
    <row r="1013" spans="1:31" ht="15.75">
      <c r="A1013" s="162"/>
      <c r="B1013" s="226" t="s">
        <v>654</v>
      </c>
      <c r="C1013" s="177">
        <v>788836</v>
      </c>
      <c r="D1013" s="177">
        <v>0</v>
      </c>
      <c r="E1013" s="177">
        <v>0</v>
      </c>
      <c r="F1013" s="177">
        <v>0</v>
      </c>
      <c r="G1013" s="177">
        <v>0</v>
      </c>
      <c r="H1013" s="177">
        <v>0</v>
      </c>
      <c r="I1013" s="177">
        <v>0</v>
      </c>
      <c r="J1013" s="177">
        <v>0</v>
      </c>
      <c r="K1013" s="177">
        <v>0</v>
      </c>
      <c r="L1013" s="178">
        <v>0</v>
      </c>
      <c r="M1013" s="177">
        <v>0</v>
      </c>
      <c r="N1013" s="177">
        <v>0</v>
      </c>
      <c r="O1013" s="177">
        <v>0</v>
      </c>
      <c r="P1013" s="179">
        <v>0</v>
      </c>
      <c r="Q1013" s="177">
        <v>0</v>
      </c>
      <c r="R1013" s="179">
        <v>513.58000000000004</v>
      </c>
      <c r="S1013" s="177">
        <v>788836</v>
      </c>
      <c r="T1013" s="178">
        <v>0</v>
      </c>
      <c r="U1013" s="248">
        <v>0</v>
      </c>
      <c r="V1013" s="241"/>
      <c r="W1013" s="241"/>
      <c r="X1013" s="241">
        <f>S1013/R1013</f>
        <v>1535.9554499785816</v>
      </c>
    </row>
    <row r="1014" spans="1:31">
      <c r="A1014" s="166"/>
      <c r="B1014" s="182" t="s">
        <v>62</v>
      </c>
      <c r="C1014" s="177">
        <v>974618</v>
      </c>
      <c r="D1014" s="177"/>
      <c r="E1014" s="177"/>
      <c r="F1014" s="177"/>
      <c r="G1014" s="177"/>
      <c r="H1014" s="177"/>
      <c r="I1014" s="177"/>
      <c r="J1014" s="177"/>
      <c r="K1014" s="177">
        <v>0</v>
      </c>
      <c r="L1014" s="178">
        <v>0</v>
      </c>
      <c r="M1014" s="177">
        <v>0</v>
      </c>
      <c r="N1014" s="177">
        <v>484</v>
      </c>
      <c r="O1014" s="177">
        <v>974618</v>
      </c>
      <c r="P1014" s="179">
        <v>0</v>
      </c>
      <c r="Q1014" s="177">
        <v>0</v>
      </c>
      <c r="R1014" s="179">
        <v>0</v>
      </c>
      <c r="S1014" s="177">
        <v>0</v>
      </c>
      <c r="T1014" s="178">
        <v>0</v>
      </c>
      <c r="U1014" s="248">
        <v>0</v>
      </c>
      <c r="V1014" s="241"/>
      <c r="W1014" s="241"/>
      <c r="X1014" s="241"/>
    </row>
    <row r="1015" spans="1:31" ht="30">
      <c r="A1015" s="166"/>
      <c r="B1015" s="203" t="s">
        <v>117</v>
      </c>
      <c r="C1015" s="177">
        <f>C1016</f>
        <v>1134905</v>
      </c>
      <c r="D1015" s="177">
        <f t="shared" ref="D1015:V1015" si="133">D1016</f>
        <v>0</v>
      </c>
      <c r="E1015" s="177">
        <f t="shared" si="133"/>
        <v>0</v>
      </c>
      <c r="F1015" s="177">
        <f t="shared" si="133"/>
        <v>0</v>
      </c>
      <c r="G1015" s="177">
        <f t="shared" si="133"/>
        <v>0</v>
      </c>
      <c r="H1015" s="177">
        <f t="shared" si="133"/>
        <v>0</v>
      </c>
      <c r="I1015" s="177">
        <f t="shared" si="133"/>
        <v>0</v>
      </c>
      <c r="J1015" s="177">
        <f t="shared" si="133"/>
        <v>0</v>
      </c>
      <c r="K1015" s="177">
        <f t="shared" si="133"/>
        <v>0</v>
      </c>
      <c r="L1015" s="177">
        <f t="shared" si="133"/>
        <v>0</v>
      </c>
      <c r="M1015" s="177">
        <f t="shared" si="133"/>
        <v>0</v>
      </c>
      <c r="N1015" s="177">
        <f t="shared" si="133"/>
        <v>353</v>
      </c>
      <c r="O1015" s="177">
        <f t="shared" si="133"/>
        <v>1134905</v>
      </c>
      <c r="P1015" s="177">
        <f t="shared" si="133"/>
        <v>0</v>
      </c>
      <c r="Q1015" s="177">
        <f t="shared" si="133"/>
        <v>0</v>
      </c>
      <c r="R1015" s="177">
        <f t="shared" si="133"/>
        <v>0</v>
      </c>
      <c r="S1015" s="177">
        <f t="shared" si="133"/>
        <v>0</v>
      </c>
      <c r="T1015" s="177">
        <f t="shared" si="133"/>
        <v>0</v>
      </c>
      <c r="U1015" s="177">
        <f t="shared" si="133"/>
        <v>0</v>
      </c>
      <c r="V1015" s="177">
        <f t="shared" si="133"/>
        <v>0</v>
      </c>
      <c r="W1015" s="177"/>
      <c r="X1015" s="177"/>
      <c r="Y1015" s="177"/>
      <c r="Z1015" s="177"/>
      <c r="AA1015" s="177"/>
      <c r="AB1015" s="177"/>
      <c r="AC1015" s="177"/>
      <c r="AD1015" s="177"/>
      <c r="AE1015" s="177"/>
    </row>
    <row r="1016" spans="1:31">
      <c r="A1016" s="427">
        <v>441</v>
      </c>
      <c r="B1016" s="438" t="s">
        <v>487</v>
      </c>
      <c r="C1016" s="437">
        <v>1134905</v>
      </c>
      <c r="D1016" s="437">
        <v>0</v>
      </c>
      <c r="E1016" s="437">
        <v>0</v>
      </c>
      <c r="F1016" s="437">
        <v>0</v>
      </c>
      <c r="G1016" s="437">
        <v>0</v>
      </c>
      <c r="H1016" s="437">
        <v>0</v>
      </c>
      <c r="I1016" s="437">
        <v>0</v>
      </c>
      <c r="J1016" s="437">
        <v>0</v>
      </c>
      <c r="K1016" s="437">
        <v>0</v>
      </c>
      <c r="L1016" s="440">
        <v>0</v>
      </c>
      <c r="M1016" s="437">
        <v>0</v>
      </c>
      <c r="N1016" s="437">
        <v>353</v>
      </c>
      <c r="O1016" s="437">
        <v>1134905</v>
      </c>
      <c r="P1016" s="441">
        <v>0</v>
      </c>
      <c r="Q1016" s="437">
        <v>0</v>
      </c>
      <c r="R1016" s="441">
        <v>0</v>
      </c>
      <c r="S1016" s="437">
        <v>0</v>
      </c>
      <c r="T1016" s="440">
        <v>0</v>
      </c>
      <c r="U1016" s="442">
        <v>0</v>
      </c>
      <c r="V1016" s="241"/>
      <c r="W1016" s="241">
        <f>O1016/N1016</f>
        <v>3215.0283286118979</v>
      </c>
      <c r="X1016" s="241"/>
    </row>
    <row r="1017" spans="1:31">
      <c r="A1017" s="427"/>
      <c r="B1017" s="439" t="s">
        <v>63</v>
      </c>
      <c r="C1017" s="437">
        <f>C1018</f>
        <v>2751167</v>
      </c>
      <c r="D1017" s="437">
        <f t="shared" ref="D1017:U1017" si="134">D1018</f>
        <v>0</v>
      </c>
      <c r="E1017" s="437">
        <f t="shared" si="134"/>
        <v>0</v>
      </c>
      <c r="F1017" s="437">
        <f t="shared" si="134"/>
        <v>0</v>
      </c>
      <c r="G1017" s="437">
        <f t="shared" si="134"/>
        <v>0</v>
      </c>
      <c r="H1017" s="437">
        <f t="shared" si="134"/>
        <v>0</v>
      </c>
      <c r="I1017" s="437">
        <f t="shared" si="134"/>
        <v>0</v>
      </c>
      <c r="J1017" s="437">
        <f t="shared" si="134"/>
        <v>0</v>
      </c>
      <c r="K1017" s="437">
        <f t="shared" si="134"/>
        <v>0</v>
      </c>
      <c r="L1017" s="437">
        <f t="shared" si="134"/>
        <v>0</v>
      </c>
      <c r="M1017" s="437">
        <f t="shared" si="134"/>
        <v>0</v>
      </c>
      <c r="N1017" s="437">
        <f t="shared" si="134"/>
        <v>908.87</v>
      </c>
      <c r="O1017" s="437">
        <f t="shared" si="134"/>
        <v>2751167</v>
      </c>
      <c r="P1017" s="437">
        <f t="shared" si="134"/>
        <v>0</v>
      </c>
      <c r="Q1017" s="437">
        <f t="shared" si="134"/>
        <v>0</v>
      </c>
      <c r="R1017" s="437">
        <f t="shared" si="134"/>
        <v>0</v>
      </c>
      <c r="S1017" s="437">
        <f t="shared" si="134"/>
        <v>0</v>
      </c>
      <c r="T1017" s="437">
        <f t="shared" si="134"/>
        <v>0</v>
      </c>
      <c r="U1017" s="437">
        <f t="shared" si="134"/>
        <v>0</v>
      </c>
      <c r="V1017" s="241"/>
      <c r="W1017" s="241"/>
      <c r="X1017" s="241"/>
    </row>
    <row r="1018" spans="1:31" ht="30">
      <c r="A1018" s="427"/>
      <c r="B1018" s="438" t="s">
        <v>116</v>
      </c>
      <c r="C1018" s="437">
        <f>C1019+C1020</f>
        <v>2751167</v>
      </c>
      <c r="D1018" s="437">
        <f t="shared" ref="D1018:V1018" si="135">D1019+D1020</f>
        <v>0</v>
      </c>
      <c r="E1018" s="437">
        <f t="shared" si="135"/>
        <v>0</v>
      </c>
      <c r="F1018" s="437">
        <f t="shared" si="135"/>
        <v>0</v>
      </c>
      <c r="G1018" s="437">
        <f t="shared" si="135"/>
        <v>0</v>
      </c>
      <c r="H1018" s="437">
        <f t="shared" si="135"/>
        <v>0</v>
      </c>
      <c r="I1018" s="437">
        <f t="shared" si="135"/>
        <v>0</v>
      </c>
      <c r="J1018" s="437">
        <f t="shared" si="135"/>
        <v>0</v>
      </c>
      <c r="K1018" s="437">
        <f t="shared" si="135"/>
        <v>0</v>
      </c>
      <c r="L1018" s="437">
        <f t="shared" si="135"/>
        <v>0</v>
      </c>
      <c r="M1018" s="437">
        <f t="shared" si="135"/>
        <v>0</v>
      </c>
      <c r="N1018" s="437">
        <f t="shared" si="135"/>
        <v>908.87</v>
      </c>
      <c r="O1018" s="437">
        <f t="shared" si="135"/>
        <v>2751167</v>
      </c>
      <c r="P1018" s="437">
        <f t="shared" si="135"/>
        <v>0</v>
      </c>
      <c r="Q1018" s="437">
        <f t="shared" si="135"/>
        <v>0</v>
      </c>
      <c r="R1018" s="437">
        <f t="shared" si="135"/>
        <v>0</v>
      </c>
      <c r="S1018" s="437">
        <f t="shared" si="135"/>
        <v>0</v>
      </c>
      <c r="T1018" s="437">
        <f t="shared" si="135"/>
        <v>0</v>
      </c>
      <c r="U1018" s="437">
        <f t="shared" si="135"/>
        <v>0</v>
      </c>
      <c r="V1018" s="177">
        <f t="shared" si="135"/>
        <v>0</v>
      </c>
      <c r="W1018" s="241"/>
      <c r="X1018" s="241"/>
    </row>
    <row r="1019" spans="1:31">
      <c r="A1019" s="427">
        <v>442</v>
      </c>
      <c r="B1019" s="438" t="s">
        <v>677</v>
      </c>
      <c r="C1019" s="437">
        <f>'часть 1'!L1030</f>
        <v>2217768</v>
      </c>
      <c r="D1019" s="437">
        <v>0</v>
      </c>
      <c r="E1019" s="437">
        <v>0</v>
      </c>
      <c r="F1019" s="437">
        <v>0</v>
      </c>
      <c r="G1019" s="437">
        <v>0</v>
      </c>
      <c r="H1019" s="437">
        <v>0</v>
      </c>
      <c r="I1019" s="437">
        <v>0</v>
      </c>
      <c r="J1019" s="437">
        <v>0</v>
      </c>
      <c r="K1019" s="437">
        <v>0</v>
      </c>
      <c r="L1019" s="440">
        <v>0</v>
      </c>
      <c r="M1019" s="437">
        <v>0</v>
      </c>
      <c r="N1019" s="437">
        <v>697</v>
      </c>
      <c r="O1019" s="437">
        <v>2217768</v>
      </c>
      <c r="P1019" s="441">
        <v>0</v>
      </c>
      <c r="Q1019" s="437">
        <v>0</v>
      </c>
      <c r="R1019" s="441">
        <v>0</v>
      </c>
      <c r="S1019" s="437">
        <v>0</v>
      </c>
      <c r="T1019" s="440">
        <v>0</v>
      </c>
      <c r="U1019" s="442">
        <v>0</v>
      </c>
      <c r="V1019" s="241"/>
      <c r="W1019" s="241">
        <f>O1019/N1019</f>
        <v>3181.8766140602584</v>
      </c>
      <c r="X1019" s="241"/>
    </row>
    <row r="1020" spans="1:31">
      <c r="A1020" s="427">
        <v>443</v>
      </c>
      <c r="B1020" s="438" t="s">
        <v>504</v>
      </c>
      <c r="C1020" s="437">
        <f>'часть 1'!L1031</f>
        <v>533399</v>
      </c>
      <c r="D1020" s="437">
        <v>0</v>
      </c>
      <c r="E1020" s="437">
        <v>0</v>
      </c>
      <c r="F1020" s="437">
        <v>0</v>
      </c>
      <c r="G1020" s="437">
        <v>0</v>
      </c>
      <c r="H1020" s="437">
        <v>0</v>
      </c>
      <c r="I1020" s="437">
        <v>0</v>
      </c>
      <c r="J1020" s="437">
        <v>0</v>
      </c>
      <c r="K1020" s="437">
        <v>0</v>
      </c>
      <c r="L1020" s="440">
        <v>0</v>
      </c>
      <c r="M1020" s="437">
        <v>0</v>
      </c>
      <c r="N1020" s="429">
        <v>211.87</v>
      </c>
      <c r="O1020" s="437">
        <v>533399</v>
      </c>
      <c r="P1020" s="441">
        <v>0</v>
      </c>
      <c r="Q1020" s="437">
        <v>0</v>
      </c>
      <c r="R1020" s="441">
        <v>0</v>
      </c>
      <c r="S1020" s="437">
        <v>0</v>
      </c>
      <c r="T1020" s="440">
        <v>0</v>
      </c>
      <c r="U1020" s="442">
        <v>0</v>
      </c>
      <c r="V1020" s="241"/>
      <c r="W1020" s="241">
        <f>O1020/N1020</f>
        <v>2517.5768159720583</v>
      </c>
      <c r="X1020" s="241"/>
    </row>
    <row r="1021" spans="1:31">
      <c r="A1021" s="166"/>
      <c r="B1021" s="182" t="s">
        <v>64</v>
      </c>
      <c r="C1021" s="177">
        <v>6928539</v>
      </c>
      <c r="D1021" s="177"/>
      <c r="E1021" s="177"/>
      <c r="F1021" s="177"/>
      <c r="G1021" s="177"/>
      <c r="H1021" s="177"/>
      <c r="I1021" s="177"/>
      <c r="J1021" s="177"/>
      <c r="K1021" s="177">
        <v>0</v>
      </c>
      <c r="L1021" s="178">
        <v>0</v>
      </c>
      <c r="M1021" s="177">
        <v>0</v>
      </c>
      <c r="N1021" s="177">
        <v>3103</v>
      </c>
      <c r="O1021" s="177">
        <v>6183896</v>
      </c>
      <c r="P1021" s="179">
        <v>0</v>
      </c>
      <c r="Q1021" s="177">
        <v>0</v>
      </c>
      <c r="R1021" s="177">
        <v>512.4</v>
      </c>
      <c r="S1021" s="177">
        <v>744643</v>
      </c>
      <c r="T1021" s="178">
        <v>0</v>
      </c>
      <c r="U1021" s="248">
        <v>0</v>
      </c>
      <c r="V1021" s="241"/>
      <c r="W1021" s="241"/>
      <c r="X1021" s="241"/>
    </row>
    <row r="1022" spans="1:31" ht="30">
      <c r="A1022" s="166"/>
      <c r="B1022" s="180" t="s">
        <v>115</v>
      </c>
      <c r="C1022" s="177">
        <f>C1023+C1024+C1025+C1026</f>
        <v>5819333</v>
      </c>
      <c r="D1022" s="177">
        <f t="shared" ref="D1022:U1022" si="136">D1023+D1024+D1025+D1026</f>
        <v>0</v>
      </c>
      <c r="E1022" s="177">
        <f t="shared" si="136"/>
        <v>0</v>
      </c>
      <c r="F1022" s="177">
        <f t="shared" si="136"/>
        <v>0</v>
      </c>
      <c r="G1022" s="177">
        <f t="shared" si="136"/>
        <v>0</v>
      </c>
      <c r="H1022" s="177">
        <f t="shared" si="136"/>
        <v>0</v>
      </c>
      <c r="I1022" s="177">
        <f t="shared" si="136"/>
        <v>0</v>
      </c>
      <c r="J1022" s="177">
        <f t="shared" si="136"/>
        <v>0</v>
      </c>
      <c r="K1022" s="177">
        <f t="shared" si="136"/>
        <v>0</v>
      </c>
      <c r="L1022" s="177">
        <f t="shared" si="136"/>
        <v>0</v>
      </c>
      <c r="M1022" s="177">
        <f t="shared" si="136"/>
        <v>0</v>
      </c>
      <c r="N1022" s="177">
        <f t="shared" si="136"/>
        <v>1818</v>
      </c>
      <c r="O1022" s="177">
        <f t="shared" si="136"/>
        <v>5819333</v>
      </c>
      <c r="P1022" s="177">
        <f t="shared" si="136"/>
        <v>0</v>
      </c>
      <c r="Q1022" s="177">
        <f t="shared" si="136"/>
        <v>0</v>
      </c>
      <c r="R1022" s="177">
        <f t="shared" si="136"/>
        <v>0</v>
      </c>
      <c r="S1022" s="177">
        <f t="shared" si="136"/>
        <v>0</v>
      </c>
      <c r="T1022" s="177">
        <f t="shared" si="136"/>
        <v>0</v>
      </c>
      <c r="U1022" s="177">
        <f t="shared" si="136"/>
        <v>0</v>
      </c>
      <c r="V1022" s="241"/>
      <c r="W1022" s="241"/>
      <c r="X1022" s="241"/>
      <c r="Y1022" s="20"/>
      <c r="Z1022" s="20"/>
    </row>
    <row r="1023" spans="1:31" ht="30">
      <c r="A1023" s="427">
        <v>444</v>
      </c>
      <c r="B1023" s="438" t="s">
        <v>612</v>
      </c>
      <c r="C1023" s="437">
        <v>1575182</v>
      </c>
      <c r="D1023" s="437">
        <v>0</v>
      </c>
      <c r="E1023" s="437">
        <v>0</v>
      </c>
      <c r="F1023" s="437">
        <v>0</v>
      </c>
      <c r="G1023" s="437">
        <v>0</v>
      </c>
      <c r="H1023" s="437">
        <v>0</v>
      </c>
      <c r="I1023" s="437">
        <v>0</v>
      </c>
      <c r="J1023" s="437">
        <v>0</v>
      </c>
      <c r="K1023" s="437">
        <v>0</v>
      </c>
      <c r="L1023" s="440">
        <v>0</v>
      </c>
      <c r="M1023" s="437">
        <v>0</v>
      </c>
      <c r="N1023" s="437">
        <v>493</v>
      </c>
      <c r="O1023" s="437">
        <v>1575182</v>
      </c>
      <c r="P1023" s="441">
        <v>0</v>
      </c>
      <c r="Q1023" s="437">
        <v>0</v>
      </c>
      <c r="R1023" s="441">
        <v>0</v>
      </c>
      <c r="S1023" s="437">
        <v>0</v>
      </c>
      <c r="T1023" s="440">
        <v>0</v>
      </c>
      <c r="U1023" s="442">
        <v>0</v>
      </c>
      <c r="V1023" s="241"/>
      <c r="W1023" s="241">
        <f>O1023/N1023</f>
        <v>3195.0953346855986</v>
      </c>
      <c r="X1023" s="241"/>
    </row>
    <row r="1024" spans="1:31" ht="30">
      <c r="A1024" s="427">
        <v>445</v>
      </c>
      <c r="B1024" s="438" t="s">
        <v>613</v>
      </c>
      <c r="C1024" s="437">
        <v>1455693</v>
      </c>
      <c r="D1024" s="437">
        <v>0</v>
      </c>
      <c r="E1024" s="437">
        <v>0</v>
      </c>
      <c r="F1024" s="437">
        <v>0</v>
      </c>
      <c r="G1024" s="437">
        <v>0</v>
      </c>
      <c r="H1024" s="437">
        <v>0</v>
      </c>
      <c r="I1024" s="437">
        <v>0</v>
      </c>
      <c r="J1024" s="437">
        <v>0</v>
      </c>
      <c r="K1024" s="437">
        <v>0</v>
      </c>
      <c r="L1024" s="440">
        <v>0</v>
      </c>
      <c r="M1024" s="437">
        <v>0</v>
      </c>
      <c r="N1024" s="437">
        <v>455</v>
      </c>
      <c r="O1024" s="437">
        <v>1455693</v>
      </c>
      <c r="P1024" s="441">
        <v>0</v>
      </c>
      <c r="Q1024" s="437">
        <v>0</v>
      </c>
      <c r="R1024" s="441">
        <v>0</v>
      </c>
      <c r="S1024" s="437">
        <v>0</v>
      </c>
      <c r="T1024" s="440">
        <v>0</v>
      </c>
      <c r="U1024" s="442">
        <v>0</v>
      </c>
      <c r="V1024" s="241"/>
      <c r="W1024" s="241">
        <f>O1024/N1024</f>
        <v>3199.3252747252745</v>
      </c>
      <c r="X1024" s="241"/>
    </row>
    <row r="1025" spans="1:35">
      <c r="A1025" s="427">
        <v>446</v>
      </c>
      <c r="B1025" s="438" t="s">
        <v>614</v>
      </c>
      <c r="C1025" s="437">
        <v>1394327</v>
      </c>
      <c r="D1025" s="437">
        <v>0</v>
      </c>
      <c r="E1025" s="437">
        <v>0</v>
      </c>
      <c r="F1025" s="437">
        <v>0</v>
      </c>
      <c r="G1025" s="437">
        <v>0</v>
      </c>
      <c r="H1025" s="437">
        <v>0</v>
      </c>
      <c r="I1025" s="437">
        <v>0</v>
      </c>
      <c r="J1025" s="437">
        <v>0</v>
      </c>
      <c r="K1025" s="437">
        <v>0</v>
      </c>
      <c r="L1025" s="440">
        <v>0</v>
      </c>
      <c r="M1025" s="437">
        <v>0</v>
      </c>
      <c r="N1025" s="437">
        <v>435</v>
      </c>
      <c r="O1025" s="437">
        <v>1394327</v>
      </c>
      <c r="P1025" s="441">
        <v>0</v>
      </c>
      <c r="Q1025" s="437">
        <v>0</v>
      </c>
      <c r="R1025" s="437">
        <v>0</v>
      </c>
      <c r="S1025" s="437">
        <v>0</v>
      </c>
      <c r="T1025" s="440">
        <v>0</v>
      </c>
      <c r="U1025" s="442">
        <v>0</v>
      </c>
      <c r="V1025" s="241"/>
      <c r="W1025" s="241">
        <f>O1025/N1025</f>
        <v>3205.3494252873561</v>
      </c>
      <c r="X1025" s="241"/>
      <c r="Y1025" s="20"/>
      <c r="Z1025" s="20"/>
    </row>
    <row r="1026" spans="1:35">
      <c r="A1026" s="427">
        <v>447</v>
      </c>
      <c r="B1026" s="438" t="s">
        <v>615</v>
      </c>
      <c r="C1026" s="437">
        <v>1394131</v>
      </c>
      <c r="D1026" s="437">
        <v>0</v>
      </c>
      <c r="E1026" s="437">
        <v>0</v>
      </c>
      <c r="F1026" s="437">
        <v>0</v>
      </c>
      <c r="G1026" s="437">
        <v>0</v>
      </c>
      <c r="H1026" s="437">
        <v>0</v>
      </c>
      <c r="I1026" s="437">
        <v>0</v>
      </c>
      <c r="J1026" s="437">
        <v>0</v>
      </c>
      <c r="K1026" s="437">
        <v>0</v>
      </c>
      <c r="L1026" s="440">
        <v>0</v>
      </c>
      <c r="M1026" s="437">
        <v>0</v>
      </c>
      <c r="N1026" s="437">
        <v>435</v>
      </c>
      <c r="O1026" s="437">
        <v>1394131</v>
      </c>
      <c r="P1026" s="441">
        <v>0</v>
      </c>
      <c r="Q1026" s="437">
        <v>0</v>
      </c>
      <c r="R1026" s="441">
        <v>0</v>
      </c>
      <c r="S1026" s="437">
        <v>0</v>
      </c>
      <c r="T1026" s="440">
        <v>0</v>
      </c>
      <c r="U1026" s="442">
        <v>0</v>
      </c>
      <c r="V1026" s="241"/>
      <c r="W1026" s="241">
        <f>O1026/N1026</f>
        <v>3204.8988505747125</v>
      </c>
      <c r="X1026" s="241"/>
    </row>
    <row r="1027" spans="1:35">
      <c r="A1027" s="166"/>
      <c r="B1027" s="182" t="s">
        <v>65</v>
      </c>
      <c r="C1027" s="177">
        <f>C1028+C1030</f>
        <v>3125223</v>
      </c>
      <c r="D1027" s="177">
        <f t="shared" ref="D1027:V1027" si="137">D1028+D1030</f>
        <v>0</v>
      </c>
      <c r="E1027" s="177">
        <f t="shared" si="137"/>
        <v>0</v>
      </c>
      <c r="F1027" s="177">
        <f t="shared" si="137"/>
        <v>0</v>
      </c>
      <c r="G1027" s="177">
        <f t="shared" si="137"/>
        <v>0</v>
      </c>
      <c r="H1027" s="177">
        <f t="shared" si="137"/>
        <v>0</v>
      </c>
      <c r="I1027" s="177">
        <f t="shared" si="137"/>
        <v>0</v>
      </c>
      <c r="J1027" s="177">
        <f t="shared" si="137"/>
        <v>0</v>
      </c>
      <c r="K1027" s="177">
        <f t="shared" si="137"/>
        <v>0</v>
      </c>
      <c r="L1027" s="177">
        <f t="shared" si="137"/>
        <v>0</v>
      </c>
      <c r="M1027" s="177">
        <f t="shared" si="137"/>
        <v>0</v>
      </c>
      <c r="N1027" s="177">
        <f t="shared" si="137"/>
        <v>977.7</v>
      </c>
      <c r="O1027" s="177">
        <f t="shared" si="137"/>
        <v>3125223</v>
      </c>
      <c r="P1027" s="177">
        <f t="shared" si="137"/>
        <v>0</v>
      </c>
      <c r="Q1027" s="177">
        <f t="shared" si="137"/>
        <v>0</v>
      </c>
      <c r="R1027" s="177">
        <f t="shared" si="137"/>
        <v>0</v>
      </c>
      <c r="S1027" s="177">
        <f t="shared" si="137"/>
        <v>0</v>
      </c>
      <c r="T1027" s="177">
        <f t="shared" si="137"/>
        <v>0</v>
      </c>
      <c r="U1027" s="177">
        <f t="shared" si="137"/>
        <v>0</v>
      </c>
      <c r="V1027" s="177">
        <f t="shared" si="137"/>
        <v>0</v>
      </c>
      <c r="W1027" s="241"/>
      <c r="X1027" s="241"/>
    </row>
    <row r="1028" spans="1:35" ht="30">
      <c r="A1028" s="166"/>
      <c r="B1028" s="180" t="s">
        <v>633</v>
      </c>
      <c r="C1028" s="177">
        <f>C1029</f>
        <v>1402855</v>
      </c>
      <c r="D1028" s="177">
        <f t="shared" ref="D1028:U1028" si="138">D1029</f>
        <v>0</v>
      </c>
      <c r="E1028" s="177">
        <f t="shared" si="138"/>
        <v>0</v>
      </c>
      <c r="F1028" s="177">
        <f t="shared" si="138"/>
        <v>0</v>
      </c>
      <c r="G1028" s="177">
        <f t="shared" si="138"/>
        <v>0</v>
      </c>
      <c r="H1028" s="177">
        <f t="shared" si="138"/>
        <v>0</v>
      </c>
      <c r="I1028" s="177">
        <f t="shared" si="138"/>
        <v>0</v>
      </c>
      <c r="J1028" s="177">
        <f t="shared" si="138"/>
        <v>0</v>
      </c>
      <c r="K1028" s="177">
        <f t="shared" si="138"/>
        <v>0</v>
      </c>
      <c r="L1028" s="177">
        <f t="shared" si="138"/>
        <v>0</v>
      </c>
      <c r="M1028" s="177">
        <f t="shared" si="138"/>
        <v>0</v>
      </c>
      <c r="N1028" s="177">
        <f t="shared" si="138"/>
        <v>438</v>
      </c>
      <c r="O1028" s="177">
        <f t="shared" si="138"/>
        <v>1402855</v>
      </c>
      <c r="P1028" s="177">
        <f t="shared" si="138"/>
        <v>0</v>
      </c>
      <c r="Q1028" s="177">
        <f t="shared" si="138"/>
        <v>0</v>
      </c>
      <c r="R1028" s="177">
        <f t="shared" si="138"/>
        <v>0</v>
      </c>
      <c r="S1028" s="177">
        <f t="shared" si="138"/>
        <v>0</v>
      </c>
      <c r="T1028" s="177">
        <f t="shared" si="138"/>
        <v>0</v>
      </c>
      <c r="U1028" s="177">
        <f t="shared" si="138"/>
        <v>0</v>
      </c>
      <c r="V1028" s="241"/>
      <c r="W1028" s="241"/>
      <c r="X1028" s="241"/>
    </row>
    <row r="1029" spans="1:35">
      <c r="A1029" s="166">
        <v>448</v>
      </c>
      <c r="B1029" s="180" t="s">
        <v>634</v>
      </c>
      <c r="C1029" s="177">
        <v>1402855</v>
      </c>
      <c r="D1029" s="177">
        <v>0</v>
      </c>
      <c r="E1029" s="177">
        <v>0</v>
      </c>
      <c r="F1029" s="177">
        <v>0</v>
      </c>
      <c r="G1029" s="177">
        <v>0</v>
      </c>
      <c r="H1029" s="177">
        <v>0</v>
      </c>
      <c r="I1029" s="177">
        <v>0</v>
      </c>
      <c r="J1029" s="177">
        <v>0</v>
      </c>
      <c r="K1029" s="177">
        <v>0</v>
      </c>
      <c r="L1029" s="178">
        <v>0</v>
      </c>
      <c r="M1029" s="177">
        <v>0</v>
      </c>
      <c r="N1029" s="177">
        <v>438</v>
      </c>
      <c r="O1029" s="177">
        <v>1402855</v>
      </c>
      <c r="P1029" s="179">
        <v>0</v>
      </c>
      <c r="Q1029" s="177">
        <v>0</v>
      </c>
      <c r="R1029" s="179">
        <v>0</v>
      </c>
      <c r="S1029" s="177">
        <v>0</v>
      </c>
      <c r="T1029" s="178">
        <v>0</v>
      </c>
      <c r="U1029" s="248">
        <v>0</v>
      </c>
      <c r="V1029" s="241"/>
      <c r="W1029" s="241">
        <f>O1029/N1029</f>
        <v>3202.8652968036531</v>
      </c>
      <c r="X1029" s="241"/>
    </row>
    <row r="1030" spans="1:35" ht="30">
      <c r="A1030" s="166"/>
      <c r="B1030" s="180" t="s">
        <v>635</v>
      </c>
      <c r="C1030" s="177">
        <f>C1031</f>
        <v>1722368</v>
      </c>
      <c r="D1030" s="177">
        <f t="shared" ref="D1030:U1030" si="139">D1031</f>
        <v>0</v>
      </c>
      <c r="E1030" s="177">
        <f t="shared" si="139"/>
        <v>0</v>
      </c>
      <c r="F1030" s="177">
        <f t="shared" si="139"/>
        <v>0</v>
      </c>
      <c r="G1030" s="177">
        <f t="shared" si="139"/>
        <v>0</v>
      </c>
      <c r="H1030" s="177">
        <f t="shared" si="139"/>
        <v>0</v>
      </c>
      <c r="I1030" s="177">
        <f t="shared" si="139"/>
        <v>0</v>
      </c>
      <c r="J1030" s="177">
        <f t="shared" si="139"/>
        <v>0</v>
      </c>
      <c r="K1030" s="177">
        <f t="shared" si="139"/>
        <v>0</v>
      </c>
      <c r="L1030" s="177">
        <f t="shared" si="139"/>
        <v>0</v>
      </c>
      <c r="M1030" s="177">
        <f t="shared" si="139"/>
        <v>0</v>
      </c>
      <c r="N1030" s="177">
        <f t="shared" si="139"/>
        <v>539.70000000000005</v>
      </c>
      <c r="O1030" s="177">
        <f t="shared" si="139"/>
        <v>1722368</v>
      </c>
      <c r="P1030" s="177">
        <f t="shared" si="139"/>
        <v>0</v>
      </c>
      <c r="Q1030" s="177">
        <f t="shared" si="139"/>
        <v>0</v>
      </c>
      <c r="R1030" s="177">
        <f t="shared" si="139"/>
        <v>0</v>
      </c>
      <c r="S1030" s="177">
        <f t="shared" si="139"/>
        <v>0</v>
      </c>
      <c r="T1030" s="177">
        <f t="shared" si="139"/>
        <v>0</v>
      </c>
      <c r="U1030" s="177">
        <f t="shared" si="139"/>
        <v>0</v>
      </c>
      <c r="V1030" s="241"/>
      <c r="W1030" s="241"/>
      <c r="X1030" s="241"/>
    </row>
    <row r="1031" spans="1:35">
      <c r="A1031" s="166">
        <v>449</v>
      </c>
      <c r="B1031" s="180" t="s">
        <v>636</v>
      </c>
      <c r="C1031" s="177">
        <v>1722368</v>
      </c>
      <c r="D1031" s="177">
        <v>0</v>
      </c>
      <c r="E1031" s="177">
        <v>0</v>
      </c>
      <c r="F1031" s="177">
        <v>0</v>
      </c>
      <c r="G1031" s="177">
        <v>0</v>
      </c>
      <c r="H1031" s="177">
        <v>0</v>
      </c>
      <c r="I1031" s="177">
        <v>0</v>
      </c>
      <c r="J1031" s="177">
        <v>0</v>
      </c>
      <c r="K1031" s="177">
        <v>0</v>
      </c>
      <c r="L1031" s="178">
        <v>0</v>
      </c>
      <c r="M1031" s="177">
        <v>0</v>
      </c>
      <c r="N1031" s="177">
        <v>539.70000000000005</v>
      </c>
      <c r="O1031" s="177">
        <v>1722368</v>
      </c>
      <c r="P1031" s="179">
        <v>0</v>
      </c>
      <c r="Q1031" s="177">
        <v>0</v>
      </c>
      <c r="R1031" s="179">
        <v>0</v>
      </c>
      <c r="S1031" s="177">
        <v>0</v>
      </c>
      <c r="T1031" s="178">
        <v>0</v>
      </c>
      <c r="U1031" s="248">
        <v>0</v>
      </c>
      <c r="V1031" s="241"/>
      <c r="W1031" s="241">
        <f>O1031/N1031</f>
        <v>3191.3433388919766</v>
      </c>
      <c r="X1031" s="241"/>
    </row>
    <row r="1032" spans="1:35">
      <c r="A1032" s="166"/>
      <c r="B1032" s="182" t="s">
        <v>66</v>
      </c>
      <c r="C1032" s="177">
        <f>C1033</f>
        <v>2792955</v>
      </c>
      <c r="D1032" s="177">
        <f t="shared" ref="D1032:V1032" si="140">D1033</f>
        <v>0</v>
      </c>
      <c r="E1032" s="177">
        <f t="shared" si="140"/>
        <v>0</v>
      </c>
      <c r="F1032" s="177">
        <f t="shared" si="140"/>
        <v>0</v>
      </c>
      <c r="G1032" s="177">
        <f t="shared" si="140"/>
        <v>0</v>
      </c>
      <c r="H1032" s="177">
        <f t="shared" si="140"/>
        <v>0</v>
      </c>
      <c r="I1032" s="177">
        <f t="shared" si="140"/>
        <v>0</v>
      </c>
      <c r="J1032" s="177">
        <f t="shared" si="140"/>
        <v>0</v>
      </c>
      <c r="K1032" s="177">
        <f t="shared" si="140"/>
        <v>0</v>
      </c>
      <c r="L1032" s="177">
        <f t="shared" si="140"/>
        <v>0</v>
      </c>
      <c r="M1032" s="177">
        <f t="shared" si="140"/>
        <v>0</v>
      </c>
      <c r="N1032" s="177">
        <f t="shared" si="140"/>
        <v>880</v>
      </c>
      <c r="O1032" s="177">
        <f t="shared" si="140"/>
        <v>2792955</v>
      </c>
      <c r="P1032" s="177">
        <f t="shared" si="140"/>
        <v>0</v>
      </c>
      <c r="Q1032" s="177">
        <f t="shared" si="140"/>
        <v>0</v>
      </c>
      <c r="R1032" s="177">
        <f t="shared" si="140"/>
        <v>0</v>
      </c>
      <c r="S1032" s="177">
        <f t="shared" si="140"/>
        <v>0</v>
      </c>
      <c r="T1032" s="177">
        <f t="shared" si="140"/>
        <v>0</v>
      </c>
      <c r="U1032" s="177">
        <f t="shared" si="140"/>
        <v>0</v>
      </c>
      <c r="V1032" s="177">
        <f t="shared" si="140"/>
        <v>0</v>
      </c>
      <c r="W1032" s="241"/>
      <c r="X1032" s="241"/>
    </row>
    <row r="1033" spans="1:35" ht="30">
      <c r="A1033" s="166"/>
      <c r="B1033" s="180" t="s">
        <v>114</v>
      </c>
      <c r="C1033" s="177">
        <f>C1034</f>
        <v>2792955</v>
      </c>
      <c r="D1033" s="177">
        <f t="shared" ref="D1033:U1033" si="141">D1034</f>
        <v>0</v>
      </c>
      <c r="E1033" s="177">
        <f t="shared" si="141"/>
        <v>0</v>
      </c>
      <c r="F1033" s="177">
        <f t="shared" si="141"/>
        <v>0</v>
      </c>
      <c r="G1033" s="177">
        <f t="shared" si="141"/>
        <v>0</v>
      </c>
      <c r="H1033" s="177">
        <f t="shared" si="141"/>
        <v>0</v>
      </c>
      <c r="I1033" s="177">
        <f t="shared" si="141"/>
        <v>0</v>
      </c>
      <c r="J1033" s="177">
        <f t="shared" si="141"/>
        <v>0</v>
      </c>
      <c r="K1033" s="177">
        <f t="shared" si="141"/>
        <v>0</v>
      </c>
      <c r="L1033" s="177">
        <f t="shared" si="141"/>
        <v>0</v>
      </c>
      <c r="M1033" s="177">
        <f t="shared" si="141"/>
        <v>0</v>
      </c>
      <c r="N1033" s="177">
        <f t="shared" si="141"/>
        <v>880</v>
      </c>
      <c r="O1033" s="177">
        <f t="shared" si="141"/>
        <v>2792955</v>
      </c>
      <c r="P1033" s="177">
        <f t="shared" si="141"/>
        <v>0</v>
      </c>
      <c r="Q1033" s="177">
        <f t="shared" si="141"/>
        <v>0</v>
      </c>
      <c r="R1033" s="177">
        <f t="shared" si="141"/>
        <v>0</v>
      </c>
      <c r="S1033" s="177">
        <f t="shared" si="141"/>
        <v>0</v>
      </c>
      <c r="T1033" s="177">
        <f t="shared" si="141"/>
        <v>0</v>
      </c>
      <c r="U1033" s="177">
        <f t="shared" si="141"/>
        <v>0</v>
      </c>
      <c r="V1033" s="241"/>
      <c r="W1033" s="241"/>
      <c r="X1033" s="241"/>
    </row>
    <row r="1034" spans="1:35" ht="15.75">
      <c r="A1034" s="427">
        <v>450</v>
      </c>
      <c r="B1034" s="311" t="s">
        <v>500</v>
      </c>
      <c r="C1034" s="437">
        <v>2792955</v>
      </c>
      <c r="D1034" s="437">
        <v>0</v>
      </c>
      <c r="E1034" s="437">
        <v>0</v>
      </c>
      <c r="F1034" s="437">
        <v>0</v>
      </c>
      <c r="G1034" s="437">
        <v>0</v>
      </c>
      <c r="H1034" s="437">
        <v>0</v>
      </c>
      <c r="I1034" s="437">
        <v>0</v>
      </c>
      <c r="J1034" s="437">
        <v>0</v>
      </c>
      <c r="K1034" s="437">
        <v>0</v>
      </c>
      <c r="L1034" s="440">
        <v>0</v>
      </c>
      <c r="M1034" s="437">
        <v>0</v>
      </c>
      <c r="N1034" s="437">
        <v>880</v>
      </c>
      <c r="O1034" s="437">
        <v>2792955</v>
      </c>
      <c r="P1034" s="441">
        <v>0</v>
      </c>
      <c r="Q1034" s="437">
        <v>0</v>
      </c>
      <c r="R1034" s="441">
        <v>0</v>
      </c>
      <c r="S1034" s="437">
        <v>0</v>
      </c>
      <c r="T1034" s="440">
        <v>0</v>
      </c>
      <c r="U1034" s="442">
        <v>0</v>
      </c>
      <c r="V1034" s="241"/>
      <c r="W1034" s="241">
        <f>O1034/N1034</f>
        <v>3173.8125</v>
      </c>
      <c r="X1034" s="241"/>
    </row>
    <row r="1035" spans="1:35" ht="15.75">
      <c r="A1035" s="427"/>
      <c r="B1035" s="311"/>
      <c r="C1035" s="437"/>
      <c r="D1035" s="437"/>
      <c r="E1035" s="437"/>
      <c r="F1035" s="437"/>
      <c r="G1035" s="437"/>
      <c r="H1035" s="437"/>
      <c r="I1035" s="437"/>
      <c r="J1035" s="437"/>
      <c r="K1035" s="437"/>
      <c r="L1035" s="440"/>
      <c r="M1035" s="437"/>
      <c r="N1035" s="437"/>
      <c r="O1035" s="437"/>
      <c r="P1035" s="441"/>
      <c r="Q1035" s="437"/>
      <c r="R1035" s="441"/>
      <c r="S1035" s="437"/>
      <c r="T1035" s="440"/>
      <c r="U1035" s="442"/>
      <c r="V1035" s="241"/>
      <c r="W1035" s="241"/>
      <c r="X1035" s="241"/>
    </row>
    <row r="1036" spans="1:35" ht="15.75">
      <c r="A1036" s="427"/>
      <c r="B1036" s="311"/>
      <c r="C1036" s="437"/>
      <c r="D1036" s="437"/>
      <c r="E1036" s="437"/>
      <c r="F1036" s="437"/>
      <c r="G1036" s="437"/>
      <c r="H1036" s="437"/>
      <c r="I1036" s="437"/>
      <c r="J1036" s="437"/>
      <c r="K1036" s="437"/>
      <c r="L1036" s="440"/>
      <c r="M1036" s="437"/>
      <c r="N1036" s="437"/>
      <c r="O1036" s="437"/>
      <c r="P1036" s="441"/>
      <c r="Q1036" s="437"/>
      <c r="R1036" s="441"/>
      <c r="S1036" s="437"/>
      <c r="T1036" s="440"/>
      <c r="U1036" s="442"/>
      <c r="V1036" s="241"/>
      <c r="W1036" s="241"/>
      <c r="X1036" s="241"/>
    </row>
    <row r="1037" spans="1:35">
      <c r="A1037" s="166"/>
      <c r="B1037" s="180" t="s">
        <v>207</v>
      </c>
      <c r="C1037" s="177">
        <f>C1038+C1039+C1040+C1041+C1042+C1043+C1044+C1045+C1046+C1047</f>
        <v>22164555</v>
      </c>
      <c r="D1037" s="177">
        <f t="shared" ref="D1037:V1037" si="142">D1038+D1039+D1040+D1041+D1042+D1043+D1044+D1045+D1046+D1047</f>
        <v>0</v>
      </c>
      <c r="E1037" s="177">
        <f t="shared" si="142"/>
        <v>0</v>
      </c>
      <c r="F1037" s="177">
        <f t="shared" si="142"/>
        <v>0</v>
      </c>
      <c r="G1037" s="177">
        <f t="shared" si="142"/>
        <v>0</v>
      </c>
      <c r="H1037" s="177">
        <f t="shared" si="142"/>
        <v>0</v>
      </c>
      <c r="I1037" s="177">
        <f t="shared" si="142"/>
        <v>0</v>
      </c>
      <c r="J1037" s="177">
        <f t="shared" si="142"/>
        <v>0</v>
      </c>
      <c r="K1037" s="177">
        <f t="shared" si="142"/>
        <v>0</v>
      </c>
      <c r="L1037" s="177">
        <f t="shared" si="142"/>
        <v>0</v>
      </c>
      <c r="M1037" s="177">
        <f t="shared" si="142"/>
        <v>0</v>
      </c>
      <c r="N1037" s="177">
        <f t="shared" si="142"/>
        <v>8790</v>
      </c>
      <c r="O1037" s="177">
        <f t="shared" si="142"/>
        <v>22164555</v>
      </c>
      <c r="P1037" s="177">
        <f t="shared" si="142"/>
        <v>0</v>
      </c>
      <c r="Q1037" s="177">
        <f t="shared" si="142"/>
        <v>0</v>
      </c>
      <c r="R1037" s="177">
        <f t="shared" si="142"/>
        <v>0</v>
      </c>
      <c r="S1037" s="177">
        <f t="shared" si="142"/>
        <v>0</v>
      </c>
      <c r="T1037" s="177">
        <f t="shared" si="142"/>
        <v>0</v>
      </c>
      <c r="U1037" s="177">
        <f t="shared" si="142"/>
        <v>0</v>
      </c>
      <c r="V1037" s="177">
        <f t="shared" si="142"/>
        <v>0</v>
      </c>
      <c r="W1037" s="177"/>
      <c r="X1037" s="177"/>
      <c r="Y1037" s="177"/>
      <c r="Z1037" s="177"/>
      <c r="AA1037" s="177"/>
      <c r="AB1037" s="177"/>
      <c r="AC1037" s="177"/>
      <c r="AD1037" s="177"/>
      <c r="AE1037" s="177"/>
      <c r="AF1037" s="177"/>
      <c r="AG1037" s="177"/>
      <c r="AH1037" s="177"/>
      <c r="AI1037" s="177"/>
    </row>
    <row r="1038" spans="1:35">
      <c r="A1038" s="427">
        <v>453</v>
      </c>
      <c r="B1038" s="447" t="s">
        <v>512</v>
      </c>
      <c r="C1038" s="437">
        <v>3034841</v>
      </c>
      <c r="D1038" s="437">
        <v>0</v>
      </c>
      <c r="E1038" s="437">
        <v>0</v>
      </c>
      <c r="F1038" s="437">
        <v>0</v>
      </c>
      <c r="G1038" s="437">
        <v>0</v>
      </c>
      <c r="H1038" s="437">
        <v>0</v>
      </c>
      <c r="I1038" s="437">
        <v>0</v>
      </c>
      <c r="J1038" s="437">
        <v>0</v>
      </c>
      <c r="K1038" s="437">
        <v>0</v>
      </c>
      <c r="L1038" s="440">
        <v>0</v>
      </c>
      <c r="M1038" s="437">
        <v>0</v>
      </c>
      <c r="N1038" s="448">
        <v>1206</v>
      </c>
      <c r="O1038" s="437">
        <v>3034841</v>
      </c>
      <c r="P1038" s="440">
        <v>0</v>
      </c>
      <c r="Q1038" s="437">
        <v>0</v>
      </c>
      <c r="R1038" s="441">
        <v>0</v>
      </c>
      <c r="S1038" s="437">
        <v>0</v>
      </c>
      <c r="T1038" s="440">
        <v>0</v>
      </c>
      <c r="U1038" s="442">
        <v>0</v>
      </c>
      <c r="V1038" s="241"/>
      <c r="W1038" s="241">
        <f>O1038/N1038</f>
        <v>2516.4519071310115</v>
      </c>
      <c r="X1038" s="241"/>
    </row>
    <row r="1039" spans="1:35">
      <c r="A1039" s="427">
        <v>454</v>
      </c>
      <c r="B1039" s="447" t="s">
        <v>513</v>
      </c>
      <c r="C1039" s="437">
        <v>925522</v>
      </c>
      <c r="D1039" s="437">
        <v>0</v>
      </c>
      <c r="E1039" s="437">
        <v>0</v>
      </c>
      <c r="F1039" s="437">
        <v>0</v>
      </c>
      <c r="G1039" s="437">
        <v>0</v>
      </c>
      <c r="H1039" s="437">
        <v>0</v>
      </c>
      <c r="I1039" s="437">
        <v>0</v>
      </c>
      <c r="J1039" s="437">
        <v>0</v>
      </c>
      <c r="K1039" s="437">
        <v>0</v>
      </c>
      <c r="L1039" s="440">
        <v>0</v>
      </c>
      <c r="M1039" s="437">
        <v>0</v>
      </c>
      <c r="N1039" s="448">
        <v>358</v>
      </c>
      <c r="O1039" s="437">
        <v>925522</v>
      </c>
      <c r="P1039" s="440">
        <v>0</v>
      </c>
      <c r="Q1039" s="437">
        <v>0</v>
      </c>
      <c r="R1039" s="441">
        <v>0</v>
      </c>
      <c r="S1039" s="437">
        <v>0</v>
      </c>
      <c r="T1039" s="440">
        <v>0</v>
      </c>
      <c r="U1039" s="442">
        <v>0</v>
      </c>
      <c r="V1039" s="241"/>
      <c r="W1039" s="241">
        <f t="shared" ref="W1039:W1047" si="143">O1039/N1039</f>
        <v>2585.2569832402237</v>
      </c>
      <c r="X1039" s="241"/>
    </row>
    <row r="1040" spans="1:35">
      <c r="A1040" s="427">
        <v>455</v>
      </c>
      <c r="B1040" s="447" t="s">
        <v>514</v>
      </c>
      <c r="C1040" s="437">
        <v>1823451</v>
      </c>
      <c r="D1040" s="437">
        <v>0</v>
      </c>
      <c r="E1040" s="437">
        <v>0</v>
      </c>
      <c r="F1040" s="437">
        <v>0</v>
      </c>
      <c r="G1040" s="437">
        <v>0</v>
      </c>
      <c r="H1040" s="437">
        <v>0</v>
      </c>
      <c r="I1040" s="437">
        <v>0</v>
      </c>
      <c r="J1040" s="437">
        <v>0</v>
      </c>
      <c r="K1040" s="437">
        <v>0</v>
      </c>
      <c r="L1040" s="440">
        <v>0</v>
      </c>
      <c r="M1040" s="437">
        <v>0</v>
      </c>
      <c r="N1040" s="437">
        <v>719</v>
      </c>
      <c r="O1040" s="437">
        <v>1823451</v>
      </c>
      <c r="P1040" s="440">
        <v>0</v>
      </c>
      <c r="Q1040" s="437">
        <v>0</v>
      </c>
      <c r="R1040" s="441">
        <v>0</v>
      </c>
      <c r="S1040" s="437">
        <v>0</v>
      </c>
      <c r="T1040" s="440">
        <v>0</v>
      </c>
      <c r="U1040" s="442">
        <v>0</v>
      </c>
      <c r="V1040" s="241"/>
      <c r="W1040" s="241">
        <f t="shared" si="143"/>
        <v>2536.0931849791377</v>
      </c>
      <c r="X1040" s="241"/>
    </row>
    <row r="1041" spans="1:35">
      <c r="A1041" s="427">
        <v>456</v>
      </c>
      <c r="B1041" s="447" t="s">
        <v>515</v>
      </c>
      <c r="C1041" s="437">
        <v>3802042</v>
      </c>
      <c r="D1041" s="437">
        <v>0</v>
      </c>
      <c r="E1041" s="437">
        <v>0</v>
      </c>
      <c r="F1041" s="437">
        <v>0</v>
      </c>
      <c r="G1041" s="437">
        <v>0</v>
      </c>
      <c r="H1041" s="437">
        <v>0</v>
      </c>
      <c r="I1041" s="437">
        <v>0</v>
      </c>
      <c r="J1041" s="437">
        <v>0</v>
      </c>
      <c r="K1041" s="437">
        <v>0</v>
      </c>
      <c r="L1041" s="440">
        <v>0</v>
      </c>
      <c r="M1041" s="437">
        <v>0</v>
      </c>
      <c r="N1041" s="448">
        <v>1514</v>
      </c>
      <c r="O1041" s="437">
        <v>3802042</v>
      </c>
      <c r="P1041" s="440">
        <v>0</v>
      </c>
      <c r="Q1041" s="437">
        <v>0</v>
      </c>
      <c r="R1041" s="441">
        <v>0</v>
      </c>
      <c r="S1041" s="437">
        <v>0</v>
      </c>
      <c r="T1041" s="440">
        <v>0</v>
      </c>
      <c r="U1041" s="442">
        <v>0</v>
      </c>
      <c r="V1041" s="241"/>
      <c r="W1041" s="241">
        <f t="shared" si="143"/>
        <v>2511.2562747688244</v>
      </c>
      <c r="X1041" s="241"/>
    </row>
    <row r="1042" spans="1:35">
      <c r="A1042" s="427">
        <v>457</v>
      </c>
      <c r="B1042" s="447" t="s">
        <v>516</v>
      </c>
      <c r="C1042" s="437">
        <v>2887804</v>
      </c>
      <c r="D1042" s="437">
        <v>0</v>
      </c>
      <c r="E1042" s="437">
        <v>0</v>
      </c>
      <c r="F1042" s="437">
        <v>0</v>
      </c>
      <c r="G1042" s="437">
        <v>0</v>
      </c>
      <c r="H1042" s="437">
        <v>0</v>
      </c>
      <c r="I1042" s="437">
        <v>0</v>
      </c>
      <c r="J1042" s="437">
        <v>0</v>
      </c>
      <c r="K1042" s="437">
        <v>0</v>
      </c>
      <c r="L1042" s="440">
        <v>0</v>
      </c>
      <c r="M1042" s="437">
        <v>0</v>
      </c>
      <c r="N1042" s="448">
        <v>1147</v>
      </c>
      <c r="O1042" s="437">
        <v>2887804</v>
      </c>
      <c r="P1042" s="440">
        <v>0</v>
      </c>
      <c r="Q1042" s="437">
        <v>0</v>
      </c>
      <c r="R1042" s="441">
        <v>0</v>
      </c>
      <c r="S1042" s="437">
        <v>0</v>
      </c>
      <c r="T1042" s="440">
        <v>0</v>
      </c>
      <c r="U1042" s="442">
        <v>0</v>
      </c>
      <c r="V1042" s="241"/>
      <c r="W1042" s="241">
        <f t="shared" si="143"/>
        <v>2517.7018308631214</v>
      </c>
      <c r="X1042" s="241"/>
    </row>
    <row r="1043" spans="1:35">
      <c r="A1043" s="427">
        <v>458</v>
      </c>
      <c r="B1043" s="447" t="s">
        <v>517</v>
      </c>
      <c r="C1043" s="437">
        <v>928016</v>
      </c>
      <c r="D1043" s="437">
        <v>0</v>
      </c>
      <c r="E1043" s="437">
        <v>0</v>
      </c>
      <c r="F1043" s="437">
        <v>0</v>
      </c>
      <c r="G1043" s="437">
        <v>0</v>
      </c>
      <c r="H1043" s="437">
        <v>0</v>
      </c>
      <c r="I1043" s="437">
        <v>0</v>
      </c>
      <c r="J1043" s="437">
        <v>0</v>
      </c>
      <c r="K1043" s="437">
        <v>0</v>
      </c>
      <c r="L1043" s="440">
        <v>0</v>
      </c>
      <c r="M1043" s="437">
        <v>0</v>
      </c>
      <c r="N1043" s="448">
        <v>359</v>
      </c>
      <c r="O1043" s="437">
        <v>928016</v>
      </c>
      <c r="P1043" s="440">
        <v>0</v>
      </c>
      <c r="Q1043" s="437">
        <v>0</v>
      </c>
      <c r="R1043" s="441">
        <v>0</v>
      </c>
      <c r="S1043" s="437">
        <v>0</v>
      </c>
      <c r="T1043" s="440">
        <v>0</v>
      </c>
      <c r="U1043" s="442">
        <v>0</v>
      </c>
      <c r="V1043" s="241"/>
      <c r="W1043" s="241">
        <f t="shared" si="143"/>
        <v>2585.0027855153203</v>
      </c>
      <c r="X1043" s="241"/>
    </row>
    <row r="1044" spans="1:35">
      <c r="A1044" s="427">
        <v>459</v>
      </c>
      <c r="B1044" s="447" t="s">
        <v>518</v>
      </c>
      <c r="C1044" s="437">
        <v>935370</v>
      </c>
      <c r="D1044" s="437">
        <v>0</v>
      </c>
      <c r="E1044" s="437">
        <v>0</v>
      </c>
      <c r="F1044" s="437">
        <v>0</v>
      </c>
      <c r="G1044" s="437">
        <v>0</v>
      </c>
      <c r="H1044" s="437">
        <v>0</v>
      </c>
      <c r="I1044" s="437">
        <v>0</v>
      </c>
      <c r="J1044" s="437">
        <v>0</v>
      </c>
      <c r="K1044" s="437">
        <v>0</v>
      </c>
      <c r="L1044" s="440">
        <v>0</v>
      </c>
      <c r="M1044" s="437">
        <v>0</v>
      </c>
      <c r="N1044" s="448">
        <v>362</v>
      </c>
      <c r="O1044" s="437">
        <v>935370</v>
      </c>
      <c r="P1044" s="440">
        <v>0</v>
      </c>
      <c r="Q1044" s="437">
        <v>0</v>
      </c>
      <c r="R1044" s="441">
        <v>0</v>
      </c>
      <c r="S1044" s="437">
        <v>0</v>
      </c>
      <c r="T1044" s="440">
        <v>0</v>
      </c>
      <c r="U1044" s="442">
        <v>0</v>
      </c>
      <c r="V1044" s="241"/>
      <c r="W1044" s="241">
        <f t="shared" si="143"/>
        <v>2583.8950276243095</v>
      </c>
      <c r="X1044" s="241"/>
    </row>
    <row r="1045" spans="1:35">
      <c r="A1045" s="427"/>
      <c r="B1045" s="447" t="s">
        <v>519</v>
      </c>
      <c r="C1045" s="437">
        <v>3352678</v>
      </c>
      <c r="D1045" s="437">
        <v>0</v>
      </c>
      <c r="E1045" s="437">
        <v>0</v>
      </c>
      <c r="F1045" s="437">
        <v>0</v>
      </c>
      <c r="G1045" s="437">
        <v>0</v>
      </c>
      <c r="H1045" s="437">
        <v>0</v>
      </c>
      <c r="I1045" s="437">
        <v>0</v>
      </c>
      <c r="J1045" s="437">
        <v>0</v>
      </c>
      <c r="K1045" s="437">
        <v>0</v>
      </c>
      <c r="L1045" s="440">
        <v>0</v>
      </c>
      <c r="M1045" s="437">
        <v>0</v>
      </c>
      <c r="N1045" s="448">
        <v>1341</v>
      </c>
      <c r="O1045" s="437">
        <v>3352678</v>
      </c>
      <c r="P1045" s="440">
        <v>0</v>
      </c>
      <c r="Q1045" s="437">
        <v>0</v>
      </c>
      <c r="R1045" s="441">
        <v>0</v>
      </c>
      <c r="S1045" s="437">
        <v>0</v>
      </c>
      <c r="T1045" s="440">
        <v>0</v>
      </c>
      <c r="U1045" s="442">
        <v>0</v>
      </c>
      <c r="V1045" s="241"/>
      <c r="W1045" s="241">
        <f t="shared" si="143"/>
        <v>2500.132736763609</v>
      </c>
      <c r="X1045" s="241"/>
    </row>
    <row r="1046" spans="1:35">
      <c r="A1046" s="427"/>
      <c r="B1046" s="447" t="s">
        <v>520</v>
      </c>
      <c r="C1046" s="437">
        <v>2535669</v>
      </c>
      <c r="D1046" s="437">
        <v>0</v>
      </c>
      <c r="E1046" s="437">
        <v>0</v>
      </c>
      <c r="F1046" s="437">
        <v>0</v>
      </c>
      <c r="G1046" s="437">
        <v>0</v>
      </c>
      <c r="H1046" s="437">
        <v>0</v>
      </c>
      <c r="I1046" s="437">
        <v>0</v>
      </c>
      <c r="J1046" s="437">
        <v>0</v>
      </c>
      <c r="K1046" s="437">
        <v>0</v>
      </c>
      <c r="L1046" s="440">
        <v>0</v>
      </c>
      <c r="M1046" s="437">
        <v>0</v>
      </c>
      <c r="N1046" s="448">
        <v>1012</v>
      </c>
      <c r="O1046" s="437">
        <v>2535669</v>
      </c>
      <c r="P1046" s="440">
        <v>0</v>
      </c>
      <c r="Q1046" s="437">
        <v>0</v>
      </c>
      <c r="R1046" s="441">
        <v>0</v>
      </c>
      <c r="S1046" s="437">
        <v>0</v>
      </c>
      <c r="T1046" s="440">
        <v>0</v>
      </c>
      <c r="U1046" s="442">
        <v>0</v>
      </c>
      <c r="V1046" s="241"/>
      <c r="W1046" s="241">
        <f t="shared" si="143"/>
        <v>2505.6017786561265</v>
      </c>
      <c r="X1046" s="241"/>
    </row>
    <row r="1047" spans="1:35">
      <c r="A1047" s="427"/>
      <c r="B1047" s="447" t="s">
        <v>521</v>
      </c>
      <c r="C1047" s="437">
        <v>1939162</v>
      </c>
      <c r="D1047" s="437">
        <v>0</v>
      </c>
      <c r="E1047" s="437">
        <v>0</v>
      </c>
      <c r="F1047" s="437">
        <v>0</v>
      </c>
      <c r="G1047" s="437">
        <v>0</v>
      </c>
      <c r="H1047" s="437">
        <v>0</v>
      </c>
      <c r="I1047" s="437">
        <v>0</v>
      </c>
      <c r="J1047" s="437">
        <v>0</v>
      </c>
      <c r="K1047" s="437">
        <v>0</v>
      </c>
      <c r="L1047" s="440">
        <v>0</v>
      </c>
      <c r="M1047" s="437">
        <v>0</v>
      </c>
      <c r="N1047" s="448">
        <v>772</v>
      </c>
      <c r="O1047" s="437">
        <v>1939162</v>
      </c>
      <c r="P1047" s="440">
        <v>0</v>
      </c>
      <c r="Q1047" s="437">
        <v>0</v>
      </c>
      <c r="R1047" s="441">
        <v>0</v>
      </c>
      <c r="S1047" s="437">
        <v>0</v>
      </c>
      <c r="T1047" s="440">
        <v>0</v>
      </c>
      <c r="U1047" s="442">
        <v>0</v>
      </c>
      <c r="V1047" s="241"/>
      <c r="W1047" s="241">
        <f t="shared" si="143"/>
        <v>2511.8678756476684</v>
      </c>
      <c r="X1047" s="241"/>
    </row>
    <row r="1048" spans="1:35">
      <c r="A1048" s="427"/>
      <c r="B1048" s="481"/>
      <c r="C1048" s="437"/>
      <c r="D1048" s="437"/>
      <c r="E1048" s="437"/>
      <c r="F1048" s="437"/>
      <c r="G1048" s="437"/>
      <c r="H1048" s="437"/>
      <c r="I1048" s="437"/>
      <c r="J1048" s="437"/>
      <c r="K1048" s="437"/>
      <c r="L1048" s="440"/>
      <c r="M1048" s="437"/>
      <c r="N1048" s="448"/>
      <c r="O1048" s="437"/>
      <c r="P1048" s="440"/>
      <c r="Q1048" s="437"/>
      <c r="R1048" s="441"/>
      <c r="S1048" s="437"/>
      <c r="T1048" s="440"/>
      <c r="U1048" s="442"/>
      <c r="V1048" s="241"/>
      <c r="W1048" s="241"/>
      <c r="X1048" s="241"/>
    </row>
    <row r="1049" spans="1:35">
      <c r="A1049" s="166"/>
      <c r="B1049" s="182" t="s">
        <v>67</v>
      </c>
      <c r="C1049" s="177">
        <v>2507155.0699999998</v>
      </c>
      <c r="D1049" s="177"/>
      <c r="E1049" s="177"/>
      <c r="F1049" s="177"/>
      <c r="G1049" s="177"/>
      <c r="H1049" s="177"/>
      <c r="I1049" s="177"/>
      <c r="J1049" s="177"/>
      <c r="K1049" s="177">
        <v>0</v>
      </c>
      <c r="L1049" s="178">
        <v>0</v>
      </c>
      <c r="M1049" s="177">
        <v>0</v>
      </c>
      <c r="N1049" s="177">
        <v>1630.2</v>
      </c>
      <c r="O1049" s="177">
        <v>2507155.0699999998</v>
      </c>
      <c r="P1049" s="178">
        <v>0</v>
      </c>
      <c r="Q1049" s="177">
        <v>0</v>
      </c>
      <c r="R1049" s="179">
        <v>0</v>
      </c>
      <c r="S1049" s="177">
        <v>0</v>
      </c>
      <c r="T1049" s="178">
        <v>0</v>
      </c>
      <c r="U1049" s="248">
        <v>0</v>
      </c>
      <c r="V1049" s="241"/>
      <c r="W1049" s="241"/>
      <c r="X1049" s="241"/>
    </row>
    <row r="1050" spans="1:35" ht="30">
      <c r="A1050" s="166"/>
      <c r="B1050" s="180" t="s">
        <v>90</v>
      </c>
      <c r="C1050" s="177">
        <v>728197.07</v>
      </c>
      <c r="D1050" s="177"/>
      <c r="E1050" s="177"/>
      <c r="F1050" s="177"/>
      <c r="G1050" s="177"/>
      <c r="H1050" s="177"/>
      <c r="I1050" s="177"/>
      <c r="J1050" s="177"/>
      <c r="K1050" s="177">
        <v>0</v>
      </c>
      <c r="L1050" s="178">
        <v>0</v>
      </c>
      <c r="M1050" s="177">
        <v>0</v>
      </c>
      <c r="N1050" s="177">
        <v>731.2</v>
      </c>
      <c r="O1050" s="177">
        <v>728197.07</v>
      </c>
      <c r="P1050" s="178">
        <v>0</v>
      </c>
      <c r="Q1050" s="177">
        <v>0</v>
      </c>
      <c r="R1050" s="179">
        <v>0</v>
      </c>
      <c r="S1050" s="177">
        <v>0</v>
      </c>
      <c r="T1050" s="178">
        <v>0</v>
      </c>
      <c r="U1050" s="248">
        <v>0</v>
      </c>
      <c r="V1050" s="241"/>
      <c r="W1050" s="241"/>
      <c r="X1050" s="241"/>
    </row>
    <row r="1051" spans="1:35" s="18" customFormat="1">
      <c r="A1051" s="166">
        <v>464</v>
      </c>
      <c r="B1051" s="206" t="s">
        <v>429</v>
      </c>
      <c r="C1051" s="177">
        <v>728197.07</v>
      </c>
      <c r="D1051" s="177"/>
      <c r="E1051" s="177"/>
      <c r="F1051" s="177"/>
      <c r="G1051" s="177"/>
      <c r="H1051" s="177"/>
      <c r="I1051" s="177"/>
      <c r="J1051" s="177"/>
      <c r="K1051" s="177">
        <v>0</v>
      </c>
      <c r="L1051" s="178">
        <v>0</v>
      </c>
      <c r="M1051" s="177">
        <v>0</v>
      </c>
      <c r="N1051" s="177">
        <v>731.2</v>
      </c>
      <c r="O1051" s="177">
        <v>728197.07</v>
      </c>
      <c r="P1051" s="178">
        <v>0</v>
      </c>
      <c r="Q1051" s="177">
        <v>0</v>
      </c>
      <c r="R1051" s="179">
        <v>0</v>
      </c>
      <c r="S1051" s="177">
        <v>0</v>
      </c>
      <c r="T1051" s="178">
        <v>0</v>
      </c>
      <c r="U1051" s="248">
        <v>0</v>
      </c>
      <c r="V1051" s="241"/>
      <c r="W1051" s="241"/>
      <c r="X1051" s="241"/>
    </row>
    <row r="1052" spans="1:35" ht="38.450000000000003" customHeight="1">
      <c r="A1052" s="427"/>
      <c r="B1052" s="438" t="s">
        <v>127</v>
      </c>
      <c r="C1052" s="437">
        <v>0</v>
      </c>
      <c r="D1052" s="437">
        <v>0</v>
      </c>
      <c r="E1052" s="437">
        <v>0</v>
      </c>
      <c r="F1052" s="437">
        <v>0</v>
      </c>
      <c r="G1052" s="437">
        <v>0</v>
      </c>
      <c r="H1052" s="437">
        <v>0</v>
      </c>
      <c r="I1052" s="437">
        <v>0</v>
      </c>
      <c r="J1052" s="437">
        <v>0</v>
      </c>
      <c r="K1052" s="437">
        <v>0</v>
      </c>
      <c r="L1052" s="440">
        <v>0</v>
      </c>
      <c r="M1052" s="437">
        <v>0</v>
      </c>
      <c r="N1052" s="437">
        <v>0</v>
      </c>
      <c r="O1052" s="437">
        <v>0</v>
      </c>
      <c r="P1052" s="440">
        <v>0</v>
      </c>
      <c r="Q1052" s="437">
        <v>0</v>
      </c>
      <c r="R1052" s="441">
        <v>0</v>
      </c>
      <c r="S1052" s="437">
        <v>0</v>
      </c>
      <c r="T1052" s="440">
        <v>0</v>
      </c>
      <c r="U1052" s="442">
        <v>0</v>
      </c>
      <c r="V1052" s="241"/>
      <c r="W1052" s="241"/>
      <c r="X1052" s="241"/>
    </row>
    <row r="1053" spans="1:35" ht="18.75" customHeight="1">
      <c r="A1053" s="410"/>
      <c r="B1053" s="449" t="s">
        <v>89</v>
      </c>
      <c r="C1053" s="450">
        <f>SUM(C1054:C1221)</f>
        <v>336230870.63</v>
      </c>
      <c r="D1053" s="450"/>
      <c r="E1053" s="450"/>
      <c r="F1053" s="450"/>
      <c r="G1053" s="450"/>
      <c r="H1053" s="450"/>
      <c r="I1053" s="450"/>
      <c r="J1053" s="450"/>
      <c r="K1053" s="450" t="e">
        <f>SUM(K1054:K1221)</f>
        <v>#REF!</v>
      </c>
      <c r="L1053" s="451">
        <v>45</v>
      </c>
      <c r="M1053" s="450">
        <f t="shared" ref="M1053:S1053" si="144">SUM(M1054:M1221)</f>
        <v>84665172</v>
      </c>
      <c r="N1053" s="450">
        <f t="shared" si="144"/>
        <v>64824.649999999994</v>
      </c>
      <c r="O1053" s="450">
        <f t="shared" si="144"/>
        <v>127943364.07000001</v>
      </c>
      <c r="P1053" s="450">
        <f t="shared" si="144"/>
        <v>682</v>
      </c>
      <c r="Q1053" s="450">
        <f t="shared" si="144"/>
        <v>662518</v>
      </c>
      <c r="R1053" s="450">
        <f t="shared" si="144"/>
        <v>29106.850000000002</v>
      </c>
      <c r="S1053" s="450">
        <f t="shared" si="144"/>
        <v>38255949.950000003</v>
      </c>
      <c r="T1053" s="451">
        <v>0</v>
      </c>
      <c r="U1053" s="452">
        <v>0</v>
      </c>
      <c r="V1053" s="380"/>
      <c r="W1053" s="380"/>
      <c r="X1053" s="380"/>
      <c r="Y1053" s="381"/>
      <c r="Z1053" s="381"/>
      <c r="AA1053" s="381"/>
      <c r="AB1053" s="381"/>
      <c r="AC1053" s="381"/>
      <c r="AD1053" s="381"/>
      <c r="AE1053" s="381"/>
      <c r="AF1053" s="381"/>
      <c r="AG1053" s="381"/>
      <c r="AH1053" s="381"/>
      <c r="AI1053" s="381"/>
    </row>
    <row r="1054" spans="1:35" customFormat="1">
      <c r="A1054" s="166">
        <v>1</v>
      </c>
      <c r="B1054" s="163" t="s">
        <v>324</v>
      </c>
      <c r="C1054" s="164">
        <v>5982216</v>
      </c>
      <c r="D1054" s="164"/>
      <c r="E1054" s="164"/>
      <c r="F1054" s="164"/>
      <c r="G1054" s="164"/>
      <c r="H1054" s="164"/>
      <c r="I1054" s="164"/>
      <c r="J1054" s="164"/>
      <c r="K1054" s="164">
        <v>0</v>
      </c>
      <c r="L1054" s="162">
        <v>0</v>
      </c>
      <c r="M1054" s="164">
        <v>0</v>
      </c>
      <c r="N1054" s="164">
        <v>0</v>
      </c>
      <c r="O1054" s="164">
        <v>0</v>
      </c>
      <c r="P1054" s="162">
        <v>0</v>
      </c>
      <c r="Q1054" s="164">
        <v>0</v>
      </c>
      <c r="R1054" s="167">
        <v>4158.84</v>
      </c>
      <c r="S1054" s="164">
        <v>5982216</v>
      </c>
      <c r="T1054" s="165">
        <v>0</v>
      </c>
      <c r="U1054" s="246">
        <v>0</v>
      </c>
      <c r="V1054" s="241" t="e">
        <f>C1054-'часть 1'!#REF!</f>
        <v>#REF!</v>
      </c>
      <c r="W1054" s="241"/>
      <c r="X1054" s="241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254"/>
    </row>
    <row r="1055" spans="1:35" customFormat="1">
      <c r="A1055" s="166">
        <v>2</v>
      </c>
      <c r="B1055" s="163" t="s">
        <v>325</v>
      </c>
      <c r="C1055" s="164">
        <v>9379653</v>
      </c>
      <c r="D1055" s="164"/>
      <c r="E1055" s="164"/>
      <c r="F1055" s="164"/>
      <c r="G1055" s="164"/>
      <c r="H1055" s="164"/>
      <c r="I1055" s="164"/>
      <c r="J1055" s="164"/>
      <c r="K1055" s="164">
        <v>0</v>
      </c>
      <c r="L1055" s="162">
        <v>5</v>
      </c>
      <c r="M1055" s="164">
        <v>9379653</v>
      </c>
      <c r="N1055" s="164">
        <v>0</v>
      </c>
      <c r="O1055" s="164">
        <v>0</v>
      </c>
      <c r="P1055" s="162">
        <v>0</v>
      </c>
      <c r="Q1055" s="164">
        <v>0</v>
      </c>
      <c r="R1055" s="165">
        <v>0</v>
      </c>
      <c r="S1055" s="164">
        <v>0</v>
      </c>
      <c r="T1055" s="165">
        <v>0</v>
      </c>
      <c r="U1055" s="246">
        <v>0</v>
      </c>
      <c r="V1055" s="241" t="e">
        <f>C1055-'часть 1'!#REF!</f>
        <v>#REF!</v>
      </c>
      <c r="W1055" s="241"/>
      <c r="X1055" s="241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254"/>
    </row>
    <row r="1056" spans="1:35" customFormat="1">
      <c r="A1056" s="166">
        <v>3</v>
      </c>
      <c r="B1056" s="163" t="s">
        <v>321</v>
      </c>
      <c r="C1056" s="164">
        <v>3763756</v>
      </c>
      <c r="D1056" s="164"/>
      <c r="E1056" s="164"/>
      <c r="F1056" s="164"/>
      <c r="G1056" s="164"/>
      <c r="H1056" s="164"/>
      <c r="I1056" s="164"/>
      <c r="J1056" s="164"/>
      <c r="K1056" s="164">
        <v>0</v>
      </c>
      <c r="L1056" s="162">
        <v>2</v>
      </c>
      <c r="M1056" s="164">
        <v>3763756</v>
      </c>
      <c r="N1056" s="164">
        <v>0</v>
      </c>
      <c r="O1056" s="164">
        <v>0</v>
      </c>
      <c r="P1056" s="162">
        <v>0</v>
      </c>
      <c r="Q1056" s="164">
        <v>0</v>
      </c>
      <c r="R1056" s="168">
        <v>0</v>
      </c>
      <c r="S1056" s="164">
        <v>0</v>
      </c>
      <c r="T1056" s="165">
        <v>0</v>
      </c>
      <c r="U1056" s="246">
        <v>0</v>
      </c>
      <c r="V1056" s="241" t="e">
        <f>C1056-'часть 1'!#REF!</f>
        <v>#REF!</v>
      </c>
      <c r="W1056" s="241"/>
      <c r="X1056" s="241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254"/>
    </row>
    <row r="1057" spans="1:35" customFormat="1">
      <c r="A1057" s="166">
        <v>4</v>
      </c>
      <c r="B1057" s="163" t="s">
        <v>346</v>
      </c>
      <c r="C1057" s="164">
        <v>1095812</v>
      </c>
      <c r="D1057" s="164"/>
      <c r="E1057" s="164"/>
      <c r="F1057" s="164"/>
      <c r="G1057" s="164"/>
      <c r="H1057" s="164"/>
      <c r="I1057" s="164"/>
      <c r="J1057" s="164"/>
      <c r="K1057" s="164">
        <v>1095812</v>
      </c>
      <c r="L1057" s="162">
        <v>0</v>
      </c>
      <c r="M1057" s="164">
        <v>0</v>
      </c>
      <c r="N1057" s="164">
        <v>0</v>
      </c>
      <c r="O1057" s="164">
        <v>0</v>
      </c>
      <c r="P1057" s="162">
        <v>0</v>
      </c>
      <c r="Q1057" s="164">
        <v>0</v>
      </c>
      <c r="R1057" s="168">
        <v>0</v>
      </c>
      <c r="S1057" s="164">
        <v>0</v>
      </c>
      <c r="T1057" s="165">
        <v>0</v>
      </c>
      <c r="U1057" s="246">
        <v>0</v>
      </c>
      <c r="V1057" s="241" t="e">
        <f>C1057-'часть 1'!#REF!</f>
        <v>#REF!</v>
      </c>
      <c r="W1057" s="241"/>
      <c r="X1057" s="241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254"/>
    </row>
    <row r="1058" spans="1:35" customFormat="1">
      <c r="A1058" s="166">
        <v>5</v>
      </c>
      <c r="B1058" s="163" t="s">
        <v>322</v>
      </c>
      <c r="C1058" s="164">
        <v>5619141</v>
      </c>
      <c r="D1058" s="164"/>
      <c r="E1058" s="164"/>
      <c r="F1058" s="164"/>
      <c r="G1058" s="164"/>
      <c r="H1058" s="164"/>
      <c r="I1058" s="164"/>
      <c r="J1058" s="164"/>
      <c r="K1058" s="164">
        <v>0</v>
      </c>
      <c r="L1058" s="162">
        <v>3</v>
      </c>
      <c r="M1058" s="164">
        <v>5619141</v>
      </c>
      <c r="N1058" s="164">
        <v>0</v>
      </c>
      <c r="O1058" s="164">
        <v>0</v>
      </c>
      <c r="P1058" s="162">
        <v>0</v>
      </c>
      <c r="Q1058" s="164">
        <v>0</v>
      </c>
      <c r="R1058" s="168">
        <v>0</v>
      </c>
      <c r="S1058" s="164">
        <v>0</v>
      </c>
      <c r="T1058" s="165">
        <v>0</v>
      </c>
      <c r="U1058" s="246">
        <v>0</v>
      </c>
      <c r="V1058" s="241" t="e">
        <f>C1058-'часть 1'!#REF!</f>
        <v>#REF!</v>
      </c>
      <c r="W1058" s="241"/>
      <c r="X1058" s="241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254"/>
    </row>
    <row r="1059" spans="1:35" customFormat="1">
      <c r="A1059" s="166">
        <v>6</v>
      </c>
      <c r="B1059" s="163" t="s">
        <v>320</v>
      </c>
      <c r="C1059" s="164">
        <v>3748388</v>
      </c>
      <c r="D1059" s="164"/>
      <c r="E1059" s="164"/>
      <c r="F1059" s="164"/>
      <c r="G1059" s="164"/>
      <c r="H1059" s="164"/>
      <c r="I1059" s="164"/>
      <c r="J1059" s="164"/>
      <c r="K1059" s="164">
        <v>0</v>
      </c>
      <c r="L1059" s="162">
        <v>2</v>
      </c>
      <c r="M1059" s="164">
        <v>3748388</v>
      </c>
      <c r="N1059" s="164">
        <v>0</v>
      </c>
      <c r="O1059" s="164">
        <v>0</v>
      </c>
      <c r="P1059" s="162">
        <v>0</v>
      </c>
      <c r="Q1059" s="164">
        <v>0</v>
      </c>
      <c r="R1059" s="165">
        <v>0</v>
      </c>
      <c r="S1059" s="164">
        <v>0</v>
      </c>
      <c r="T1059" s="165">
        <v>0</v>
      </c>
      <c r="U1059" s="246">
        <v>0</v>
      </c>
      <c r="V1059" s="241" t="e">
        <f>C1059-'часть 1'!#REF!</f>
        <v>#REF!</v>
      </c>
      <c r="W1059" s="241"/>
      <c r="X1059" s="241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254"/>
    </row>
    <row r="1060" spans="1:35" customFormat="1">
      <c r="A1060" s="166">
        <v>7</v>
      </c>
      <c r="B1060" s="163" t="s">
        <v>327</v>
      </c>
      <c r="C1060" s="164">
        <v>15157748</v>
      </c>
      <c r="D1060" s="164"/>
      <c r="E1060" s="164"/>
      <c r="F1060" s="164"/>
      <c r="G1060" s="164"/>
      <c r="H1060" s="164"/>
      <c r="I1060" s="164"/>
      <c r="J1060" s="164"/>
      <c r="K1060" s="164">
        <v>0</v>
      </c>
      <c r="L1060" s="162">
        <v>8</v>
      </c>
      <c r="M1060" s="164">
        <f>C1060</f>
        <v>15157748</v>
      </c>
      <c r="N1060" s="164">
        <v>0</v>
      </c>
      <c r="O1060" s="164">
        <v>0</v>
      </c>
      <c r="P1060" s="162">
        <v>0</v>
      </c>
      <c r="Q1060" s="164">
        <v>0</v>
      </c>
      <c r="R1060" s="165">
        <v>0</v>
      </c>
      <c r="S1060" s="164">
        <v>0</v>
      </c>
      <c r="T1060" s="165">
        <v>0</v>
      </c>
      <c r="U1060" s="246">
        <v>0</v>
      </c>
      <c r="V1060" s="241" t="e">
        <f>C1060-'часть 1'!#REF!</f>
        <v>#REF!</v>
      </c>
      <c r="W1060" s="241"/>
      <c r="X1060" s="241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254"/>
    </row>
    <row r="1061" spans="1:35" customFormat="1">
      <c r="A1061" s="166">
        <v>8</v>
      </c>
      <c r="B1061" s="163" t="s">
        <v>323</v>
      </c>
      <c r="C1061" s="164">
        <v>1030213</v>
      </c>
      <c r="D1061" s="164"/>
      <c r="E1061" s="164"/>
      <c r="F1061" s="164"/>
      <c r="G1061" s="164"/>
      <c r="H1061" s="164"/>
      <c r="I1061" s="164"/>
      <c r="J1061" s="164"/>
      <c r="K1061" s="164">
        <v>0</v>
      </c>
      <c r="L1061" s="162">
        <v>0</v>
      </c>
      <c r="M1061" s="164">
        <v>0</v>
      </c>
      <c r="N1061" s="164">
        <v>513.79999999999995</v>
      </c>
      <c r="O1061" s="167">
        <f>C1061</f>
        <v>1030213</v>
      </c>
      <c r="P1061" s="162">
        <v>0</v>
      </c>
      <c r="Q1061" s="164">
        <v>0</v>
      </c>
      <c r="R1061" s="168">
        <v>0</v>
      </c>
      <c r="S1061" s="164">
        <v>0</v>
      </c>
      <c r="T1061" s="165">
        <v>0</v>
      </c>
      <c r="U1061" s="246">
        <v>0</v>
      </c>
      <c r="V1061" s="241" t="e">
        <f>C1061-'часть 1'!#REF!</f>
        <v>#REF!</v>
      </c>
      <c r="W1061" s="241"/>
      <c r="X1061" s="241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254"/>
    </row>
    <row r="1062" spans="1:35" customFormat="1">
      <c r="A1062" s="166">
        <v>9</v>
      </c>
      <c r="B1062" s="163" t="s">
        <v>319</v>
      </c>
      <c r="C1062" s="164">
        <v>530465</v>
      </c>
      <c r="D1062" s="164"/>
      <c r="E1062" s="164"/>
      <c r="F1062" s="164"/>
      <c r="G1062" s="164"/>
      <c r="H1062" s="164"/>
      <c r="I1062" s="164"/>
      <c r="J1062" s="164"/>
      <c r="K1062" s="164" t="e">
        <f>#REF!</f>
        <v>#REF!</v>
      </c>
      <c r="L1062" s="162">
        <v>0</v>
      </c>
      <c r="M1062" s="164">
        <v>0</v>
      </c>
      <c r="N1062" s="167">
        <v>0</v>
      </c>
      <c r="O1062" s="164">
        <v>0</v>
      </c>
      <c r="P1062" s="162">
        <v>0</v>
      </c>
      <c r="Q1062" s="164">
        <v>0</v>
      </c>
      <c r="R1062" s="168">
        <v>0</v>
      </c>
      <c r="S1062" s="164">
        <v>0</v>
      </c>
      <c r="T1062" s="165">
        <v>0</v>
      </c>
      <c r="U1062" s="246">
        <v>0</v>
      </c>
      <c r="V1062" s="241" t="e">
        <f>C1062-'часть 1'!#REF!</f>
        <v>#REF!</v>
      </c>
      <c r="W1062" s="241"/>
      <c r="X1062" s="241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254"/>
    </row>
    <row r="1063" spans="1:35" customFormat="1">
      <c r="A1063" s="166">
        <v>10</v>
      </c>
      <c r="B1063" s="163" t="s">
        <v>326</v>
      </c>
      <c r="C1063" s="164">
        <v>1983854</v>
      </c>
      <c r="D1063" s="164"/>
      <c r="E1063" s="164"/>
      <c r="F1063" s="164"/>
      <c r="G1063" s="164"/>
      <c r="H1063" s="164"/>
      <c r="I1063" s="164"/>
      <c r="J1063" s="164"/>
      <c r="K1063" s="164">
        <v>0</v>
      </c>
      <c r="L1063" s="162">
        <v>0</v>
      </c>
      <c r="M1063" s="164">
        <v>0</v>
      </c>
      <c r="N1063" s="164">
        <v>1000</v>
      </c>
      <c r="O1063" s="164">
        <v>1983854</v>
      </c>
      <c r="P1063" s="162">
        <v>0</v>
      </c>
      <c r="Q1063" s="164">
        <v>0</v>
      </c>
      <c r="R1063" s="165">
        <v>0</v>
      </c>
      <c r="S1063" s="164">
        <v>0</v>
      </c>
      <c r="T1063" s="165">
        <v>0</v>
      </c>
      <c r="U1063" s="246">
        <v>0</v>
      </c>
      <c r="V1063" s="241" t="e">
        <f>C1063-'часть 1'!#REF!</f>
        <v>#REF!</v>
      </c>
      <c r="W1063" s="241"/>
      <c r="X1063" s="241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254"/>
    </row>
    <row r="1064" spans="1:35" customFormat="1">
      <c r="A1064" s="166">
        <v>11</v>
      </c>
      <c r="B1064" s="163" t="s">
        <v>388</v>
      </c>
      <c r="C1064" s="164">
        <v>1206304</v>
      </c>
      <c r="D1064" s="164"/>
      <c r="E1064" s="164"/>
      <c r="F1064" s="164"/>
      <c r="G1064" s="164"/>
      <c r="H1064" s="164"/>
      <c r="I1064" s="164"/>
      <c r="J1064" s="164"/>
      <c r="K1064" s="164">
        <v>0</v>
      </c>
      <c r="L1064" s="162">
        <v>0</v>
      </c>
      <c r="M1064" s="164">
        <v>0</v>
      </c>
      <c r="N1064" s="164">
        <v>576</v>
      </c>
      <c r="O1064" s="164">
        <v>1206304</v>
      </c>
      <c r="P1064" s="162">
        <v>0</v>
      </c>
      <c r="Q1064" s="164">
        <v>0</v>
      </c>
      <c r="R1064" s="165">
        <v>0</v>
      </c>
      <c r="S1064" s="164">
        <v>0</v>
      </c>
      <c r="T1064" s="165">
        <v>0</v>
      </c>
      <c r="U1064" s="246">
        <v>0</v>
      </c>
      <c r="V1064" s="241" t="e">
        <f>C1064-'часть 1'!#REF!</f>
        <v>#REF!</v>
      </c>
      <c r="W1064" s="241"/>
      <c r="X1064" s="241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254"/>
    </row>
    <row r="1065" spans="1:35" customFormat="1" ht="30">
      <c r="A1065" s="166">
        <v>12</v>
      </c>
      <c r="B1065" s="163" t="s">
        <v>419</v>
      </c>
      <c r="C1065" s="164">
        <v>402530.2</v>
      </c>
      <c r="D1065" s="164"/>
      <c r="E1065" s="164"/>
      <c r="F1065" s="164"/>
      <c r="G1065" s="164"/>
      <c r="H1065" s="164"/>
      <c r="I1065" s="164"/>
      <c r="J1065" s="164"/>
      <c r="K1065" s="164">
        <v>402530.2</v>
      </c>
      <c r="L1065" s="162">
        <v>0</v>
      </c>
      <c r="M1065" s="164">
        <v>0</v>
      </c>
      <c r="N1065" s="164">
        <v>0</v>
      </c>
      <c r="O1065" s="164">
        <v>0</v>
      </c>
      <c r="P1065" s="162">
        <v>0</v>
      </c>
      <c r="Q1065" s="164">
        <v>0</v>
      </c>
      <c r="R1065" s="165">
        <v>0</v>
      </c>
      <c r="S1065" s="164">
        <v>0</v>
      </c>
      <c r="T1065" s="165">
        <v>0</v>
      </c>
      <c r="U1065" s="246">
        <v>0</v>
      </c>
      <c r="V1065" s="241" t="e">
        <f>C1065-'часть 1'!#REF!</f>
        <v>#REF!</v>
      </c>
      <c r="W1065" s="241"/>
      <c r="X1065" s="241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254"/>
    </row>
    <row r="1066" spans="1:35" customFormat="1">
      <c r="A1066" s="166">
        <v>13</v>
      </c>
      <c r="B1066" s="163" t="s">
        <v>387</v>
      </c>
      <c r="C1066" s="164">
        <v>2861497</v>
      </c>
      <c r="D1066" s="164"/>
      <c r="E1066" s="164"/>
      <c r="F1066" s="164"/>
      <c r="G1066" s="164"/>
      <c r="H1066" s="164"/>
      <c r="I1066" s="164"/>
      <c r="J1066" s="164"/>
      <c r="K1066" s="164">
        <v>0</v>
      </c>
      <c r="L1066" s="162">
        <v>0</v>
      </c>
      <c r="M1066" s="164">
        <v>0</v>
      </c>
      <c r="N1066" s="164">
        <v>1450</v>
      </c>
      <c r="O1066" s="164">
        <v>2861497</v>
      </c>
      <c r="P1066" s="162">
        <v>0</v>
      </c>
      <c r="Q1066" s="164">
        <v>0</v>
      </c>
      <c r="R1066" s="165">
        <v>0</v>
      </c>
      <c r="S1066" s="164">
        <v>0</v>
      </c>
      <c r="T1066" s="165">
        <v>0</v>
      </c>
      <c r="U1066" s="246">
        <v>0</v>
      </c>
      <c r="V1066" s="241" t="e">
        <f>C1066-'часть 1'!#REF!</f>
        <v>#REF!</v>
      </c>
      <c r="W1066" s="241"/>
      <c r="X1066" s="241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254"/>
    </row>
    <row r="1067" spans="1:35" customFormat="1">
      <c r="A1067" s="166">
        <v>14</v>
      </c>
      <c r="B1067" s="163" t="s">
        <v>334</v>
      </c>
      <c r="C1067" s="164">
        <v>1535065.47</v>
      </c>
      <c r="D1067" s="164"/>
      <c r="E1067" s="164"/>
      <c r="F1067" s="164"/>
      <c r="G1067" s="164"/>
      <c r="H1067" s="164"/>
      <c r="I1067" s="164"/>
      <c r="J1067" s="164"/>
      <c r="K1067" s="164">
        <v>0</v>
      </c>
      <c r="L1067" s="162">
        <v>0</v>
      </c>
      <c r="M1067" s="164">
        <v>0</v>
      </c>
      <c r="N1067" s="164">
        <v>0</v>
      </c>
      <c r="O1067" s="164">
        <v>0</v>
      </c>
      <c r="P1067" s="162">
        <v>0</v>
      </c>
      <c r="Q1067" s="164">
        <v>0</v>
      </c>
      <c r="R1067" s="164">
        <v>1641</v>
      </c>
      <c r="S1067" s="164">
        <v>1535065.47</v>
      </c>
      <c r="T1067" s="165">
        <v>0</v>
      </c>
      <c r="U1067" s="246">
        <v>0</v>
      </c>
      <c r="V1067" s="241" t="e">
        <f>C1067-'часть 1'!#REF!</f>
        <v>#REF!</v>
      </c>
      <c r="W1067" s="241"/>
      <c r="X1067" s="241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254"/>
    </row>
    <row r="1068" spans="1:35" customFormat="1">
      <c r="A1068" s="166">
        <v>15</v>
      </c>
      <c r="B1068" s="163" t="s">
        <v>330</v>
      </c>
      <c r="C1068" s="164">
        <v>930534</v>
      </c>
      <c r="D1068" s="164"/>
      <c r="E1068" s="164"/>
      <c r="F1068" s="164"/>
      <c r="G1068" s="164"/>
      <c r="H1068" s="164"/>
      <c r="I1068" s="164"/>
      <c r="J1068" s="164"/>
      <c r="K1068" s="164">
        <v>930534</v>
      </c>
      <c r="L1068" s="162">
        <v>0</v>
      </c>
      <c r="M1068" s="164">
        <v>0</v>
      </c>
      <c r="N1068" s="164">
        <v>0</v>
      </c>
      <c r="O1068" s="164">
        <v>0</v>
      </c>
      <c r="P1068" s="162">
        <v>0</v>
      </c>
      <c r="Q1068" s="164">
        <v>0</v>
      </c>
      <c r="R1068" s="168">
        <v>0</v>
      </c>
      <c r="S1068" s="164">
        <v>0</v>
      </c>
      <c r="T1068" s="165">
        <v>0</v>
      </c>
      <c r="U1068" s="246">
        <v>0</v>
      </c>
      <c r="V1068" s="241" t="e">
        <f>C1068-'часть 1'!#REF!</f>
        <v>#REF!</v>
      </c>
      <c r="W1068" s="241"/>
      <c r="X1068" s="241"/>
      <c r="Y1068" s="3"/>
      <c r="Z1068" s="9"/>
      <c r="AA1068" s="9"/>
      <c r="AB1068" s="9"/>
      <c r="AC1068" s="9"/>
      <c r="AD1068" s="9"/>
      <c r="AE1068" s="9"/>
      <c r="AF1068" s="9"/>
      <c r="AG1068" s="9"/>
      <c r="AH1068" s="9"/>
      <c r="AI1068" s="254"/>
    </row>
    <row r="1069" spans="1:35" customFormat="1">
      <c r="A1069" s="166">
        <v>16</v>
      </c>
      <c r="B1069" s="163" t="s">
        <v>328</v>
      </c>
      <c r="C1069" s="164">
        <v>662518</v>
      </c>
      <c r="D1069" s="164"/>
      <c r="E1069" s="164"/>
      <c r="F1069" s="164"/>
      <c r="G1069" s="164"/>
      <c r="H1069" s="164"/>
      <c r="I1069" s="164"/>
      <c r="J1069" s="164"/>
      <c r="K1069" s="164">
        <v>0</v>
      </c>
      <c r="L1069" s="162">
        <v>0</v>
      </c>
      <c r="M1069" s="164">
        <v>0</v>
      </c>
      <c r="N1069" s="164">
        <v>0</v>
      </c>
      <c r="O1069" s="164">
        <v>0</v>
      </c>
      <c r="P1069" s="164">
        <v>682</v>
      </c>
      <c r="Q1069" s="164">
        <f>C1069</f>
        <v>662518</v>
      </c>
      <c r="R1069" s="165">
        <v>0</v>
      </c>
      <c r="S1069" s="164">
        <v>0</v>
      </c>
      <c r="T1069" s="165">
        <v>0</v>
      </c>
      <c r="U1069" s="246">
        <v>0</v>
      </c>
      <c r="V1069" s="241">
        <f>C1069-'часть 1'!L1082</f>
        <v>662518</v>
      </c>
      <c r="W1069" s="241"/>
      <c r="X1069" s="241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254"/>
    </row>
    <row r="1070" spans="1:35" customFormat="1">
      <c r="A1070" s="166">
        <v>17</v>
      </c>
      <c r="B1070" s="163" t="s">
        <v>333</v>
      </c>
      <c r="C1070" s="164">
        <v>2346663</v>
      </c>
      <c r="D1070" s="164"/>
      <c r="E1070" s="164"/>
      <c r="F1070" s="164"/>
      <c r="G1070" s="164"/>
      <c r="H1070" s="164"/>
      <c r="I1070" s="164"/>
      <c r="J1070" s="164"/>
      <c r="K1070" s="164">
        <v>2346663</v>
      </c>
      <c r="L1070" s="162">
        <v>0</v>
      </c>
      <c r="M1070" s="164">
        <v>0</v>
      </c>
      <c r="N1070" s="167">
        <v>0</v>
      </c>
      <c r="O1070" s="164">
        <v>0</v>
      </c>
      <c r="P1070" s="162">
        <v>0</v>
      </c>
      <c r="Q1070" s="164">
        <v>0</v>
      </c>
      <c r="R1070" s="168">
        <v>0</v>
      </c>
      <c r="S1070" s="164">
        <v>0</v>
      </c>
      <c r="T1070" s="165">
        <v>0</v>
      </c>
      <c r="U1070" s="246">
        <v>0</v>
      </c>
      <c r="V1070" s="241" t="e">
        <f>C1070-'часть 1'!#REF!</f>
        <v>#REF!</v>
      </c>
      <c r="W1070" s="241"/>
      <c r="X1070" s="241"/>
      <c r="Y1070" s="9"/>
      <c r="Z1070" s="9"/>
      <c r="AA1070" s="9"/>
      <c r="AB1070" s="9"/>
      <c r="AC1070" s="9"/>
      <c r="AD1070" s="9"/>
      <c r="AE1070" s="12"/>
      <c r="AF1070" s="9"/>
      <c r="AG1070" s="9"/>
      <c r="AH1070" s="9"/>
      <c r="AI1070" s="254"/>
    </row>
    <row r="1071" spans="1:35" customFormat="1">
      <c r="A1071" s="166">
        <v>18</v>
      </c>
      <c r="B1071" s="163" t="s">
        <v>331</v>
      </c>
      <c r="C1071" s="164">
        <v>727019</v>
      </c>
      <c r="D1071" s="164"/>
      <c r="E1071" s="164"/>
      <c r="F1071" s="164"/>
      <c r="G1071" s="164"/>
      <c r="H1071" s="164"/>
      <c r="I1071" s="164"/>
      <c r="J1071" s="164"/>
      <c r="K1071" s="164">
        <v>727019</v>
      </c>
      <c r="L1071" s="162">
        <v>0</v>
      </c>
      <c r="M1071" s="164">
        <v>0</v>
      </c>
      <c r="N1071" s="164">
        <v>0</v>
      </c>
      <c r="O1071" s="164">
        <v>0</v>
      </c>
      <c r="P1071" s="162">
        <v>0</v>
      </c>
      <c r="Q1071" s="164">
        <v>0</v>
      </c>
      <c r="R1071" s="168">
        <v>0</v>
      </c>
      <c r="S1071" s="164">
        <v>0</v>
      </c>
      <c r="T1071" s="165">
        <v>0</v>
      </c>
      <c r="U1071" s="246">
        <v>0</v>
      </c>
      <c r="V1071" s="241" t="e">
        <f>C1071-'часть 1'!#REF!</f>
        <v>#REF!</v>
      </c>
      <c r="W1071" s="241"/>
      <c r="X1071" s="241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254"/>
    </row>
    <row r="1072" spans="1:35" customFormat="1">
      <c r="A1072" s="166">
        <v>19</v>
      </c>
      <c r="B1072" s="163" t="s">
        <v>329</v>
      </c>
      <c r="C1072" s="164">
        <v>538121</v>
      </c>
      <c r="D1072" s="164"/>
      <c r="E1072" s="164"/>
      <c r="F1072" s="164"/>
      <c r="G1072" s="164"/>
      <c r="H1072" s="164"/>
      <c r="I1072" s="164"/>
      <c r="J1072" s="164"/>
      <c r="K1072" s="164">
        <v>538121</v>
      </c>
      <c r="L1072" s="162">
        <v>0</v>
      </c>
      <c r="M1072" s="164">
        <v>0</v>
      </c>
      <c r="N1072" s="164">
        <v>0</v>
      </c>
      <c r="O1072" s="164">
        <v>0</v>
      </c>
      <c r="P1072" s="162">
        <v>0</v>
      </c>
      <c r="Q1072" s="164">
        <v>0</v>
      </c>
      <c r="R1072" s="165">
        <v>0</v>
      </c>
      <c r="S1072" s="164">
        <v>0</v>
      </c>
      <c r="T1072" s="165">
        <v>0</v>
      </c>
      <c r="U1072" s="246">
        <v>0</v>
      </c>
      <c r="V1072" s="241" t="e">
        <f>C1072-'часть 1'!#REF!</f>
        <v>#REF!</v>
      </c>
      <c r="W1072" s="241"/>
      <c r="X1072" s="241"/>
      <c r="Y1072" s="3"/>
      <c r="Z1072" s="9"/>
      <c r="AA1072" s="9"/>
      <c r="AB1072" s="9"/>
      <c r="AC1072" s="9"/>
      <c r="AD1072" s="9"/>
      <c r="AE1072" s="9"/>
      <c r="AF1072" s="9"/>
      <c r="AG1072" s="9"/>
      <c r="AH1072" s="9"/>
      <c r="AI1072" s="254"/>
    </row>
    <row r="1073" spans="1:49" customFormat="1">
      <c r="A1073" s="166">
        <v>20</v>
      </c>
      <c r="B1073" s="163" t="s">
        <v>332</v>
      </c>
      <c r="C1073" s="164">
        <v>1756852</v>
      </c>
      <c r="D1073" s="164"/>
      <c r="E1073" s="164"/>
      <c r="F1073" s="164"/>
      <c r="G1073" s="164"/>
      <c r="H1073" s="164"/>
      <c r="I1073" s="164"/>
      <c r="J1073" s="164"/>
      <c r="K1073" s="164">
        <v>0</v>
      </c>
      <c r="L1073" s="162">
        <v>0</v>
      </c>
      <c r="M1073" s="164">
        <v>0</v>
      </c>
      <c r="N1073" s="164">
        <v>891</v>
      </c>
      <c r="O1073" s="164">
        <v>1756852</v>
      </c>
      <c r="P1073" s="162">
        <v>0</v>
      </c>
      <c r="Q1073" s="164">
        <v>0</v>
      </c>
      <c r="R1073" s="165">
        <v>0</v>
      </c>
      <c r="S1073" s="164">
        <v>0</v>
      </c>
      <c r="T1073" s="165">
        <v>0</v>
      </c>
      <c r="U1073" s="246">
        <v>0</v>
      </c>
      <c r="V1073" s="241" t="e">
        <f>C1073-'часть 1'!#REF!</f>
        <v>#REF!</v>
      </c>
      <c r="W1073" s="241"/>
      <c r="X1073" s="241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254"/>
    </row>
    <row r="1074" spans="1:49" customFormat="1">
      <c r="A1074" s="166">
        <v>21</v>
      </c>
      <c r="B1074" s="163" t="s">
        <v>316</v>
      </c>
      <c r="C1074" s="164">
        <v>676398.28</v>
      </c>
      <c r="D1074" s="164"/>
      <c r="E1074" s="164"/>
      <c r="F1074" s="164"/>
      <c r="G1074" s="164"/>
      <c r="H1074" s="164"/>
      <c r="I1074" s="164"/>
      <c r="J1074" s="164"/>
      <c r="K1074" s="164">
        <v>0</v>
      </c>
      <c r="L1074" s="162">
        <v>0</v>
      </c>
      <c r="M1074" s="164">
        <v>0</v>
      </c>
      <c r="N1074" s="164">
        <v>0</v>
      </c>
      <c r="O1074" s="164">
        <v>0</v>
      </c>
      <c r="P1074" s="162">
        <v>0</v>
      </c>
      <c r="Q1074" s="164">
        <v>0</v>
      </c>
      <c r="R1074" s="164">
        <v>1444</v>
      </c>
      <c r="S1074" s="164">
        <v>676398.28</v>
      </c>
      <c r="T1074" s="165">
        <v>0</v>
      </c>
      <c r="U1074" s="246">
        <v>0</v>
      </c>
      <c r="V1074" s="241" t="e">
        <f>C1074-'часть 1'!#REF!</f>
        <v>#REF!</v>
      </c>
      <c r="W1074" s="241"/>
      <c r="X1074" s="241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254"/>
    </row>
    <row r="1075" spans="1:49" customFormat="1">
      <c r="A1075" s="166">
        <v>22</v>
      </c>
      <c r="B1075" s="163" t="s">
        <v>313</v>
      </c>
      <c r="C1075" s="164">
        <v>766539</v>
      </c>
      <c r="D1075" s="164"/>
      <c r="E1075" s="164"/>
      <c r="F1075" s="164"/>
      <c r="G1075" s="164"/>
      <c r="H1075" s="164"/>
      <c r="I1075" s="164"/>
      <c r="J1075" s="164"/>
      <c r="K1075" s="164">
        <v>0</v>
      </c>
      <c r="L1075" s="162">
        <v>0</v>
      </c>
      <c r="M1075" s="164">
        <v>0</v>
      </c>
      <c r="N1075" s="164">
        <v>378.5</v>
      </c>
      <c r="O1075" s="164">
        <v>766539</v>
      </c>
      <c r="P1075" s="162">
        <v>0</v>
      </c>
      <c r="Q1075" s="164">
        <v>0</v>
      </c>
      <c r="R1075" s="165">
        <v>0</v>
      </c>
      <c r="S1075" s="164">
        <v>0</v>
      </c>
      <c r="T1075" s="165">
        <v>0</v>
      </c>
      <c r="U1075" s="246">
        <v>0</v>
      </c>
      <c r="V1075" s="241">
        <f>C1075-'часть 1'!L1083</f>
        <v>766539</v>
      </c>
      <c r="W1075" s="241"/>
      <c r="X1075" s="241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254"/>
    </row>
    <row r="1076" spans="1:49" customFormat="1">
      <c r="A1076" s="166">
        <v>23</v>
      </c>
      <c r="B1076" s="163" t="s">
        <v>312</v>
      </c>
      <c r="C1076" s="164">
        <v>1186114</v>
      </c>
      <c r="D1076" s="164"/>
      <c r="E1076" s="164"/>
      <c r="F1076" s="164"/>
      <c r="G1076" s="164"/>
      <c r="H1076" s="164"/>
      <c r="I1076" s="164"/>
      <c r="J1076" s="164"/>
      <c r="K1076" s="164">
        <v>0</v>
      </c>
      <c r="L1076" s="162">
        <v>0</v>
      </c>
      <c r="M1076" s="164">
        <v>0</v>
      </c>
      <c r="N1076" s="164">
        <v>586.29999999999995</v>
      </c>
      <c r="O1076" s="164">
        <v>1186114</v>
      </c>
      <c r="P1076" s="162">
        <v>0</v>
      </c>
      <c r="Q1076" s="164">
        <v>0</v>
      </c>
      <c r="R1076" s="165">
        <v>0</v>
      </c>
      <c r="S1076" s="164">
        <v>0</v>
      </c>
      <c r="T1076" s="165">
        <v>0</v>
      </c>
      <c r="U1076" s="246">
        <v>0</v>
      </c>
      <c r="V1076" s="241">
        <f>C1076-'часть 1'!L1084</f>
        <v>1186114</v>
      </c>
      <c r="W1076" s="241"/>
      <c r="X1076" s="241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254"/>
    </row>
    <row r="1077" spans="1:49" customFormat="1">
      <c r="A1077" s="166">
        <v>24</v>
      </c>
      <c r="B1077" s="163" t="s">
        <v>311</v>
      </c>
      <c r="C1077" s="164">
        <v>178272.59</v>
      </c>
      <c r="D1077" s="164"/>
      <c r="E1077" s="164"/>
      <c r="F1077" s="164"/>
      <c r="G1077" s="164"/>
      <c r="H1077" s="164"/>
      <c r="I1077" s="164"/>
      <c r="J1077" s="164"/>
      <c r="K1077" s="164">
        <v>178272.59</v>
      </c>
      <c r="L1077" s="162">
        <v>0</v>
      </c>
      <c r="M1077" s="164">
        <v>0</v>
      </c>
      <c r="N1077" s="167">
        <v>0</v>
      </c>
      <c r="O1077" s="164">
        <v>0</v>
      </c>
      <c r="P1077" s="162">
        <v>0</v>
      </c>
      <c r="Q1077" s="164">
        <v>0</v>
      </c>
      <c r="R1077" s="168">
        <v>0</v>
      </c>
      <c r="S1077" s="164">
        <v>0</v>
      </c>
      <c r="T1077" s="165">
        <v>0</v>
      </c>
      <c r="U1077" s="246">
        <v>0</v>
      </c>
      <c r="V1077" s="241">
        <f>C1077-'часть 1'!L1085</f>
        <v>-604161103.17000008</v>
      </c>
      <c r="W1077" s="241"/>
      <c r="X1077" s="241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254"/>
    </row>
    <row r="1078" spans="1:49" customFormat="1">
      <c r="A1078" s="166">
        <v>25</v>
      </c>
      <c r="B1078" s="163" t="s">
        <v>315</v>
      </c>
      <c r="C1078" s="164">
        <v>1087116</v>
      </c>
      <c r="D1078" s="164"/>
      <c r="E1078" s="164"/>
      <c r="F1078" s="164"/>
      <c r="G1078" s="164"/>
      <c r="H1078" s="164"/>
      <c r="I1078" s="164"/>
      <c r="J1078" s="164"/>
      <c r="K1078" s="164" t="e">
        <f>#REF!</f>
        <v>#REF!</v>
      </c>
      <c r="L1078" s="162">
        <v>0</v>
      </c>
      <c r="M1078" s="164">
        <v>0</v>
      </c>
      <c r="N1078" s="164">
        <v>0</v>
      </c>
      <c r="O1078" s="164">
        <v>0</v>
      </c>
      <c r="P1078" s="162">
        <v>0</v>
      </c>
      <c r="Q1078" s="164">
        <v>0</v>
      </c>
      <c r="R1078" s="165">
        <v>0</v>
      </c>
      <c r="S1078" s="164">
        <v>0</v>
      </c>
      <c r="T1078" s="165">
        <v>0</v>
      </c>
      <c r="U1078" s="246">
        <v>0</v>
      </c>
      <c r="V1078" s="241">
        <f>C1078-'часть 1'!L1086</f>
        <v>-335143754.63</v>
      </c>
      <c r="W1078" s="241"/>
      <c r="X1078" s="241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254"/>
    </row>
    <row r="1079" spans="1:49" customFormat="1">
      <c r="A1079" s="166">
        <v>26</v>
      </c>
      <c r="B1079" s="163" t="s">
        <v>351</v>
      </c>
      <c r="C1079" s="164">
        <v>1411363</v>
      </c>
      <c r="D1079" s="164"/>
      <c r="E1079" s="164"/>
      <c r="F1079" s="164"/>
      <c r="G1079" s="164"/>
      <c r="H1079" s="164"/>
      <c r="I1079" s="164"/>
      <c r="J1079" s="164"/>
      <c r="K1079" s="164">
        <v>0</v>
      </c>
      <c r="L1079" s="162">
        <v>0</v>
      </c>
      <c r="M1079" s="164">
        <v>0</v>
      </c>
      <c r="N1079" s="164">
        <v>702</v>
      </c>
      <c r="O1079" s="164">
        <v>1411363</v>
      </c>
      <c r="P1079" s="162">
        <v>0</v>
      </c>
      <c r="Q1079" s="164">
        <v>0</v>
      </c>
      <c r="R1079" s="165">
        <v>0</v>
      </c>
      <c r="S1079" s="164">
        <v>0</v>
      </c>
      <c r="T1079" s="165">
        <v>0</v>
      </c>
      <c r="U1079" s="246">
        <v>0</v>
      </c>
      <c r="V1079" s="241">
        <f>C1079-'часть 1'!L1087</f>
        <v>-4570853</v>
      </c>
      <c r="W1079" s="241"/>
      <c r="X1079" s="241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254"/>
    </row>
    <row r="1080" spans="1:49" customFormat="1">
      <c r="A1080" s="166">
        <v>27</v>
      </c>
      <c r="B1080" s="163" t="s">
        <v>314</v>
      </c>
      <c r="C1080" s="164">
        <v>1136666</v>
      </c>
      <c r="D1080" s="164"/>
      <c r="E1080" s="164"/>
      <c r="F1080" s="164"/>
      <c r="G1080" s="164"/>
      <c r="H1080" s="164"/>
      <c r="I1080" s="164"/>
      <c r="J1080" s="164"/>
      <c r="K1080" s="164">
        <v>0</v>
      </c>
      <c r="L1080" s="162">
        <v>0</v>
      </c>
      <c r="M1080" s="164">
        <v>0</v>
      </c>
      <c r="N1080" s="164">
        <v>552</v>
      </c>
      <c r="O1080" s="164">
        <v>1136666</v>
      </c>
      <c r="P1080" s="162">
        <v>0</v>
      </c>
      <c r="Q1080" s="164">
        <v>0</v>
      </c>
      <c r="R1080" s="168">
        <v>0</v>
      </c>
      <c r="S1080" s="164">
        <v>0</v>
      </c>
      <c r="T1080" s="165">
        <v>0</v>
      </c>
      <c r="U1080" s="246">
        <v>0</v>
      </c>
      <c r="V1080" s="241">
        <f>C1080-'часть 1'!L1088</f>
        <v>-8242987</v>
      </c>
      <c r="W1080" s="241"/>
      <c r="X1080" s="241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254"/>
    </row>
    <row r="1081" spans="1:49" customFormat="1">
      <c r="A1081" s="166">
        <v>28</v>
      </c>
      <c r="B1081" s="163" t="s">
        <v>369</v>
      </c>
      <c r="C1081" s="164">
        <v>1385674</v>
      </c>
      <c r="D1081" s="164"/>
      <c r="E1081" s="164"/>
      <c r="F1081" s="164"/>
      <c r="G1081" s="164"/>
      <c r="H1081" s="164"/>
      <c r="I1081" s="164"/>
      <c r="J1081" s="164"/>
      <c r="K1081" s="164">
        <v>1385674</v>
      </c>
      <c r="L1081" s="162">
        <v>0</v>
      </c>
      <c r="M1081" s="164">
        <v>0</v>
      </c>
      <c r="N1081" s="164">
        <v>0</v>
      </c>
      <c r="O1081" s="164">
        <v>0</v>
      </c>
      <c r="P1081" s="162">
        <v>0</v>
      </c>
      <c r="Q1081" s="164">
        <v>0</v>
      </c>
      <c r="R1081" s="165">
        <v>0</v>
      </c>
      <c r="S1081" s="164">
        <v>0</v>
      </c>
      <c r="T1081" s="165">
        <v>0</v>
      </c>
      <c r="U1081" s="246">
        <v>0</v>
      </c>
      <c r="V1081" s="241">
        <f>C1081-'часть 1'!L1089</f>
        <v>-2378082</v>
      </c>
      <c r="W1081" s="241"/>
      <c r="X1081" s="241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254"/>
    </row>
    <row r="1082" spans="1:49" customFormat="1">
      <c r="A1082" s="166">
        <v>29</v>
      </c>
      <c r="B1082" s="163" t="s">
        <v>370</v>
      </c>
      <c r="C1082" s="164">
        <v>4619990</v>
      </c>
      <c r="D1082" s="164"/>
      <c r="E1082" s="164"/>
      <c r="F1082" s="164"/>
      <c r="G1082" s="164"/>
      <c r="H1082" s="164"/>
      <c r="I1082" s="164"/>
      <c r="J1082" s="164"/>
      <c r="K1082" s="164">
        <v>0</v>
      </c>
      <c r="L1082" s="162">
        <v>0</v>
      </c>
      <c r="M1082" s="164">
        <v>0</v>
      </c>
      <c r="N1082" s="164">
        <v>2319</v>
      </c>
      <c r="O1082" s="164">
        <v>4619990</v>
      </c>
      <c r="P1082" s="162">
        <v>0</v>
      </c>
      <c r="Q1082" s="164">
        <v>0</v>
      </c>
      <c r="R1082" s="168">
        <v>0</v>
      </c>
      <c r="S1082" s="164">
        <v>0</v>
      </c>
      <c r="T1082" s="165">
        <v>0</v>
      </c>
      <c r="U1082" s="246">
        <v>0</v>
      </c>
      <c r="V1082" s="241">
        <f>C1082-'часть 1'!L1090</f>
        <v>3524178</v>
      </c>
      <c r="W1082" s="241"/>
      <c r="X1082" s="241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254"/>
    </row>
    <row r="1083" spans="1:49" customFormat="1">
      <c r="A1083" s="166">
        <v>30</v>
      </c>
      <c r="B1083" s="163" t="s">
        <v>373</v>
      </c>
      <c r="C1083" s="164">
        <v>1865304</v>
      </c>
      <c r="D1083" s="164"/>
      <c r="E1083" s="164"/>
      <c r="F1083" s="164"/>
      <c r="G1083" s="164"/>
      <c r="H1083" s="164"/>
      <c r="I1083" s="164"/>
      <c r="J1083" s="164"/>
      <c r="K1083" s="164">
        <v>0</v>
      </c>
      <c r="L1083" s="162">
        <v>0</v>
      </c>
      <c r="M1083" s="164">
        <v>0</v>
      </c>
      <c r="N1083" s="164">
        <v>924</v>
      </c>
      <c r="O1083" s="164">
        <v>1865304</v>
      </c>
      <c r="P1083" s="162">
        <v>0</v>
      </c>
      <c r="Q1083" s="164">
        <v>0</v>
      </c>
      <c r="R1083" s="165">
        <v>0</v>
      </c>
      <c r="S1083" s="164">
        <v>0</v>
      </c>
      <c r="T1083" s="165">
        <v>0</v>
      </c>
      <c r="U1083" s="246">
        <v>0</v>
      </c>
      <c r="V1083" s="241">
        <f>C1083-'часть 1'!L1091</f>
        <v>-3753837</v>
      </c>
      <c r="W1083" s="241"/>
      <c r="X1083" s="241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254"/>
    </row>
    <row r="1084" spans="1:49" customFormat="1">
      <c r="A1084" s="166">
        <v>31</v>
      </c>
      <c r="B1084" s="163" t="s">
        <v>381</v>
      </c>
      <c r="C1084" s="164">
        <v>1870910</v>
      </c>
      <c r="D1084" s="164"/>
      <c r="E1084" s="164"/>
      <c r="F1084" s="164"/>
      <c r="G1084" s="164"/>
      <c r="H1084" s="164"/>
      <c r="I1084" s="164"/>
      <c r="J1084" s="164"/>
      <c r="K1084" s="164">
        <v>0</v>
      </c>
      <c r="L1084" s="162">
        <v>0</v>
      </c>
      <c r="M1084" s="164">
        <v>0</v>
      </c>
      <c r="N1084" s="164">
        <v>946.3</v>
      </c>
      <c r="O1084" s="164">
        <v>1870910</v>
      </c>
      <c r="P1084" s="162">
        <v>0</v>
      </c>
      <c r="Q1084" s="164">
        <v>0</v>
      </c>
      <c r="R1084" s="165">
        <v>0</v>
      </c>
      <c r="S1084" s="164">
        <v>0</v>
      </c>
      <c r="T1084" s="165">
        <v>0</v>
      </c>
      <c r="U1084" s="246">
        <v>0</v>
      </c>
      <c r="V1084" s="241">
        <f>C1084-'часть 1'!L1092</f>
        <v>-1877478</v>
      </c>
      <c r="W1084" s="241"/>
      <c r="X1084" s="241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254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</row>
    <row r="1085" spans="1:49" customFormat="1">
      <c r="A1085" s="166">
        <v>32</v>
      </c>
      <c r="B1085" s="163" t="s">
        <v>382</v>
      </c>
      <c r="C1085" s="164">
        <v>1533757</v>
      </c>
      <c r="D1085" s="164"/>
      <c r="E1085" s="164"/>
      <c r="F1085" s="164"/>
      <c r="G1085" s="164"/>
      <c r="H1085" s="164"/>
      <c r="I1085" s="164"/>
      <c r="J1085" s="164"/>
      <c r="K1085" s="164">
        <v>0</v>
      </c>
      <c r="L1085" s="162">
        <v>0</v>
      </c>
      <c r="M1085" s="164">
        <v>0</v>
      </c>
      <c r="N1085" s="164">
        <v>772.9</v>
      </c>
      <c r="O1085" s="164">
        <v>1533757</v>
      </c>
      <c r="P1085" s="162">
        <v>0</v>
      </c>
      <c r="Q1085" s="164">
        <v>0</v>
      </c>
      <c r="R1085" s="165">
        <v>0</v>
      </c>
      <c r="S1085" s="164">
        <v>0</v>
      </c>
      <c r="T1085" s="165">
        <v>0</v>
      </c>
      <c r="U1085" s="246">
        <v>0</v>
      </c>
      <c r="V1085" s="241">
        <f>C1085-'часть 1'!L1093</f>
        <v>-13623991</v>
      </c>
      <c r="W1085" s="241"/>
      <c r="X1085" s="241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254"/>
    </row>
    <row r="1086" spans="1:49">
      <c r="A1086" s="162">
        <v>33</v>
      </c>
      <c r="B1086" s="163" t="s">
        <v>371</v>
      </c>
      <c r="C1086" s="164">
        <v>939858</v>
      </c>
      <c r="D1086" s="164"/>
      <c r="E1086" s="164"/>
      <c r="F1086" s="164"/>
      <c r="G1086" s="164"/>
      <c r="H1086" s="164"/>
      <c r="I1086" s="164"/>
      <c r="J1086" s="164"/>
      <c r="K1086" s="164">
        <v>939858</v>
      </c>
      <c r="L1086" s="162">
        <v>0</v>
      </c>
      <c r="M1086" s="164">
        <v>0</v>
      </c>
      <c r="N1086" s="164">
        <v>0</v>
      </c>
      <c r="O1086" s="164">
        <v>0</v>
      </c>
      <c r="P1086" s="162">
        <v>0</v>
      </c>
      <c r="Q1086" s="164">
        <v>0</v>
      </c>
      <c r="R1086" s="168">
        <v>0</v>
      </c>
      <c r="S1086" s="164">
        <v>0</v>
      </c>
      <c r="T1086" s="165">
        <v>0</v>
      </c>
      <c r="U1086" s="246">
        <v>0</v>
      </c>
      <c r="V1086" s="241">
        <f>C1086-'часть 1'!L1094</f>
        <v>-90355</v>
      </c>
      <c r="W1086" s="241"/>
      <c r="X1086" s="241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254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</row>
    <row r="1087" spans="1:49" customFormat="1">
      <c r="A1087" s="166">
        <v>34</v>
      </c>
      <c r="B1087" s="163" t="s">
        <v>377</v>
      </c>
      <c r="C1087" s="164">
        <v>2368392</v>
      </c>
      <c r="D1087" s="164"/>
      <c r="E1087" s="164"/>
      <c r="F1087" s="164"/>
      <c r="G1087" s="164"/>
      <c r="H1087" s="164"/>
      <c r="I1087" s="164"/>
      <c r="J1087" s="164"/>
      <c r="K1087" s="164">
        <v>0</v>
      </c>
      <c r="L1087" s="162">
        <v>0</v>
      </c>
      <c r="M1087" s="164">
        <v>0</v>
      </c>
      <c r="N1087" s="164">
        <v>1200</v>
      </c>
      <c r="O1087" s="167">
        <v>2368392</v>
      </c>
      <c r="P1087" s="162">
        <v>0</v>
      </c>
      <c r="Q1087" s="164">
        <v>0</v>
      </c>
      <c r="R1087" s="165">
        <v>0</v>
      </c>
      <c r="S1087" s="164">
        <v>0</v>
      </c>
      <c r="T1087" s="165">
        <v>0</v>
      </c>
      <c r="U1087" s="246">
        <v>0</v>
      </c>
      <c r="V1087" s="241">
        <f>C1087-'часть 1'!L1095</f>
        <v>1837927</v>
      </c>
      <c r="W1087" s="241"/>
      <c r="X1087" s="241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254"/>
    </row>
    <row r="1088" spans="1:49" customFormat="1">
      <c r="A1088" s="166">
        <v>35</v>
      </c>
      <c r="B1088" s="163" t="s">
        <v>378</v>
      </c>
      <c r="C1088" s="164">
        <v>2433930.91</v>
      </c>
      <c r="D1088" s="164"/>
      <c r="E1088" s="164"/>
      <c r="F1088" s="164"/>
      <c r="G1088" s="164"/>
      <c r="H1088" s="164"/>
      <c r="I1088" s="164"/>
      <c r="J1088" s="164"/>
      <c r="K1088" s="164">
        <v>1478520.9100000001</v>
      </c>
      <c r="L1088" s="162">
        <v>0</v>
      </c>
      <c r="M1088" s="164">
        <v>0</v>
      </c>
      <c r="N1088" s="164">
        <v>526.79999999999995</v>
      </c>
      <c r="O1088" s="164">
        <v>955410</v>
      </c>
      <c r="P1088" s="162">
        <v>0</v>
      </c>
      <c r="Q1088" s="164">
        <v>0</v>
      </c>
      <c r="R1088" s="168">
        <v>0</v>
      </c>
      <c r="S1088" s="164">
        <v>0</v>
      </c>
      <c r="T1088" s="165">
        <v>0</v>
      </c>
      <c r="U1088" s="246">
        <v>0</v>
      </c>
      <c r="V1088" s="241">
        <f>C1088-'часть 1'!L1096</f>
        <v>450076.91000000015</v>
      </c>
      <c r="W1088" s="241"/>
      <c r="X1088" s="241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254"/>
    </row>
    <row r="1089" spans="1:35" customFormat="1">
      <c r="A1089" s="166">
        <v>36</v>
      </c>
      <c r="B1089" s="163" t="s">
        <v>383</v>
      </c>
      <c r="C1089" s="164">
        <v>1721850</v>
      </c>
      <c r="D1089" s="164"/>
      <c r="E1089" s="164"/>
      <c r="F1089" s="164"/>
      <c r="G1089" s="164"/>
      <c r="H1089" s="164"/>
      <c r="I1089" s="164"/>
      <c r="J1089" s="164"/>
      <c r="K1089" s="164">
        <v>0</v>
      </c>
      <c r="L1089" s="162">
        <v>0</v>
      </c>
      <c r="M1089" s="164">
        <v>0</v>
      </c>
      <c r="N1089" s="164">
        <v>868.68</v>
      </c>
      <c r="O1089" s="164">
        <v>1721850</v>
      </c>
      <c r="P1089" s="162">
        <v>0</v>
      </c>
      <c r="Q1089" s="164">
        <v>0</v>
      </c>
      <c r="R1089" s="165">
        <v>0</v>
      </c>
      <c r="S1089" s="164">
        <v>0</v>
      </c>
      <c r="T1089" s="165">
        <v>0</v>
      </c>
      <c r="U1089" s="246">
        <v>0</v>
      </c>
      <c r="V1089" s="241">
        <f>C1089-'часть 1'!L1097</f>
        <v>515546</v>
      </c>
      <c r="W1089" s="241"/>
      <c r="X1089" s="241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254"/>
    </row>
    <row r="1090" spans="1:35" customFormat="1">
      <c r="A1090" s="166">
        <v>37</v>
      </c>
      <c r="B1090" s="163" t="s">
        <v>368</v>
      </c>
      <c r="C1090" s="164">
        <v>814117</v>
      </c>
      <c r="D1090" s="164"/>
      <c r="E1090" s="164"/>
      <c r="F1090" s="164"/>
      <c r="G1090" s="164"/>
      <c r="H1090" s="164"/>
      <c r="I1090" s="164"/>
      <c r="J1090" s="164"/>
      <c r="K1090" s="164">
        <v>814117</v>
      </c>
      <c r="L1090" s="162">
        <v>0</v>
      </c>
      <c r="M1090" s="164">
        <v>0</v>
      </c>
      <c r="N1090" s="164">
        <v>0</v>
      </c>
      <c r="O1090" s="164">
        <v>0</v>
      </c>
      <c r="P1090" s="162">
        <v>0</v>
      </c>
      <c r="Q1090" s="164">
        <v>0</v>
      </c>
      <c r="R1090" s="165">
        <v>0</v>
      </c>
      <c r="S1090" s="164">
        <v>0</v>
      </c>
      <c r="T1090" s="165">
        <v>0</v>
      </c>
      <c r="U1090" s="246">
        <v>0</v>
      </c>
      <c r="V1090" s="241">
        <f>C1090-'часть 1'!L1098</f>
        <v>411586.8</v>
      </c>
      <c r="W1090" s="241"/>
      <c r="X1090" s="241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254"/>
    </row>
    <row r="1091" spans="1:35" customFormat="1">
      <c r="A1091" s="166">
        <v>38</v>
      </c>
      <c r="B1091" s="163" t="s">
        <v>375</v>
      </c>
      <c r="C1091" s="164">
        <v>3045081</v>
      </c>
      <c r="D1091" s="164"/>
      <c r="E1091" s="164"/>
      <c r="F1091" s="164"/>
      <c r="G1091" s="164"/>
      <c r="H1091" s="164"/>
      <c r="I1091" s="164"/>
      <c r="J1091" s="164"/>
      <c r="K1091" s="164">
        <v>0</v>
      </c>
      <c r="L1091" s="162">
        <v>0</v>
      </c>
      <c r="M1091" s="164">
        <v>0</v>
      </c>
      <c r="N1091" s="164">
        <v>0</v>
      </c>
      <c r="O1091" s="164">
        <v>0</v>
      </c>
      <c r="P1091" s="162">
        <v>0</v>
      </c>
      <c r="Q1091" s="164">
        <v>0</v>
      </c>
      <c r="R1091" s="164">
        <v>2108</v>
      </c>
      <c r="S1091" s="164">
        <v>3045081</v>
      </c>
      <c r="T1091" s="165">
        <v>0</v>
      </c>
      <c r="U1091" s="246">
        <v>0</v>
      </c>
      <c r="V1091" s="241">
        <f>C1091-'часть 1'!L1099</f>
        <v>183584</v>
      </c>
      <c r="W1091" s="241"/>
      <c r="X1091" s="241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254"/>
    </row>
    <row r="1092" spans="1:35" customFormat="1">
      <c r="A1092" s="166">
        <v>39</v>
      </c>
      <c r="B1092" s="163" t="s">
        <v>380</v>
      </c>
      <c r="C1092" s="164">
        <v>2244806</v>
      </c>
      <c r="D1092" s="164"/>
      <c r="E1092" s="164"/>
      <c r="F1092" s="164"/>
      <c r="G1092" s="164"/>
      <c r="H1092" s="164"/>
      <c r="I1092" s="164"/>
      <c r="J1092" s="164"/>
      <c r="K1092" s="164">
        <v>0</v>
      </c>
      <c r="L1092" s="162">
        <v>0</v>
      </c>
      <c r="M1092" s="164">
        <v>0</v>
      </c>
      <c r="N1092" s="167">
        <v>1120</v>
      </c>
      <c r="O1092" s="164">
        <v>2244806</v>
      </c>
      <c r="P1092" s="162">
        <v>0</v>
      </c>
      <c r="Q1092" s="164">
        <v>0</v>
      </c>
      <c r="R1092" s="168">
        <v>0</v>
      </c>
      <c r="S1092" s="164">
        <v>0</v>
      </c>
      <c r="T1092" s="165">
        <v>0</v>
      </c>
      <c r="U1092" s="246">
        <v>0</v>
      </c>
      <c r="V1092" s="241">
        <f>C1092-'часть 1'!L1100</f>
        <v>709740.53</v>
      </c>
      <c r="W1092" s="241"/>
      <c r="X1092" s="241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254"/>
    </row>
    <row r="1093" spans="1:35" customFormat="1">
      <c r="A1093" s="166">
        <v>40</v>
      </c>
      <c r="B1093" s="163" t="s">
        <v>374</v>
      </c>
      <c r="C1093" s="164">
        <v>1361273</v>
      </c>
      <c r="D1093" s="164"/>
      <c r="E1093" s="164"/>
      <c r="F1093" s="164"/>
      <c r="G1093" s="164"/>
      <c r="H1093" s="164"/>
      <c r="I1093" s="164"/>
      <c r="J1093" s="164"/>
      <c r="K1093" s="164">
        <v>347471</v>
      </c>
      <c r="L1093" s="162">
        <v>0</v>
      </c>
      <c r="M1093" s="164">
        <v>0</v>
      </c>
      <c r="N1093" s="164">
        <v>0</v>
      </c>
      <c r="O1093" s="164">
        <v>0</v>
      </c>
      <c r="P1093" s="162">
        <v>0</v>
      </c>
      <c r="Q1093" s="164">
        <v>0</v>
      </c>
      <c r="R1093" s="164">
        <v>1105</v>
      </c>
      <c r="S1093" s="164">
        <v>1013802</v>
      </c>
      <c r="T1093" s="165">
        <v>0</v>
      </c>
      <c r="U1093" s="246">
        <v>0</v>
      </c>
      <c r="V1093" s="241">
        <f>C1093-'часть 1'!L1101</f>
        <v>430739</v>
      </c>
      <c r="W1093" s="241"/>
      <c r="X1093" s="241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254"/>
    </row>
    <row r="1094" spans="1:35" customFormat="1">
      <c r="A1094" s="166">
        <v>41</v>
      </c>
      <c r="B1094" s="163" t="s">
        <v>376</v>
      </c>
      <c r="C1094" s="164">
        <v>2421596</v>
      </c>
      <c r="D1094" s="164"/>
      <c r="E1094" s="164"/>
      <c r="F1094" s="164"/>
      <c r="G1094" s="164"/>
      <c r="H1094" s="164"/>
      <c r="I1094" s="164"/>
      <c r="J1094" s="164"/>
      <c r="K1094" s="164">
        <v>0</v>
      </c>
      <c r="L1094" s="162">
        <v>0</v>
      </c>
      <c r="M1094" s="164">
        <v>0</v>
      </c>
      <c r="N1094" s="164">
        <v>1230.72</v>
      </c>
      <c r="O1094" s="167">
        <v>2421596</v>
      </c>
      <c r="P1094" s="162">
        <v>0</v>
      </c>
      <c r="Q1094" s="164">
        <v>0</v>
      </c>
      <c r="R1094" s="165">
        <v>0</v>
      </c>
      <c r="S1094" s="164">
        <v>0</v>
      </c>
      <c r="T1094" s="165">
        <v>0</v>
      </c>
      <c r="U1094" s="246">
        <v>0</v>
      </c>
      <c r="V1094" s="241">
        <f>C1094-'часть 1'!L1102</f>
        <v>1759078</v>
      </c>
      <c r="W1094" s="241"/>
      <c r="X1094" s="241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254"/>
    </row>
    <row r="1095" spans="1:35" customFormat="1">
      <c r="A1095" s="166">
        <v>42</v>
      </c>
      <c r="B1095" s="163" t="s">
        <v>379</v>
      </c>
      <c r="C1095" s="164">
        <v>2056315</v>
      </c>
      <c r="D1095" s="164"/>
      <c r="E1095" s="164"/>
      <c r="F1095" s="164"/>
      <c r="G1095" s="164"/>
      <c r="H1095" s="164"/>
      <c r="I1095" s="164"/>
      <c r="J1095" s="164"/>
      <c r="K1095" s="164">
        <v>0</v>
      </c>
      <c r="L1095" s="162">
        <v>0</v>
      </c>
      <c r="M1095" s="164">
        <v>0</v>
      </c>
      <c r="N1095" s="164">
        <v>978</v>
      </c>
      <c r="O1095" s="164">
        <v>2056315</v>
      </c>
      <c r="P1095" s="162">
        <v>0</v>
      </c>
      <c r="Q1095" s="164">
        <v>0</v>
      </c>
      <c r="R1095" s="168">
        <v>0</v>
      </c>
      <c r="S1095" s="164">
        <v>0</v>
      </c>
      <c r="T1095" s="165">
        <v>0</v>
      </c>
      <c r="U1095" s="246">
        <v>0</v>
      </c>
      <c r="V1095" s="241">
        <f>C1095-'часть 1'!L1103</f>
        <v>-290348</v>
      </c>
      <c r="W1095" s="241"/>
      <c r="X1095" s="241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254"/>
    </row>
    <row r="1096" spans="1:35" customFormat="1">
      <c r="A1096" s="166">
        <v>43</v>
      </c>
      <c r="B1096" s="163" t="s">
        <v>372</v>
      </c>
      <c r="C1096" s="164">
        <v>9473593</v>
      </c>
      <c r="D1096" s="164"/>
      <c r="E1096" s="164"/>
      <c r="F1096" s="164"/>
      <c r="G1096" s="164"/>
      <c r="H1096" s="164"/>
      <c r="I1096" s="164"/>
      <c r="J1096" s="164"/>
      <c r="K1096" s="164">
        <v>0</v>
      </c>
      <c r="L1096" s="162">
        <v>5</v>
      </c>
      <c r="M1096" s="164">
        <v>9473593</v>
      </c>
      <c r="N1096" s="164">
        <v>0</v>
      </c>
      <c r="O1096" s="164">
        <v>0</v>
      </c>
      <c r="P1096" s="162">
        <v>0</v>
      </c>
      <c r="Q1096" s="164">
        <v>0</v>
      </c>
      <c r="R1096" s="165">
        <v>0</v>
      </c>
      <c r="S1096" s="164">
        <v>0</v>
      </c>
      <c r="T1096" s="165">
        <v>0</v>
      </c>
      <c r="U1096" s="246">
        <v>0</v>
      </c>
      <c r="V1096" s="241">
        <f>C1096-'часть 1'!L1104</f>
        <v>8746574</v>
      </c>
      <c r="W1096" s="241"/>
      <c r="X1096" s="241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254"/>
    </row>
    <row r="1097" spans="1:35" customFormat="1">
      <c r="A1097" s="166">
        <v>44</v>
      </c>
      <c r="B1097" s="163" t="s">
        <v>344</v>
      </c>
      <c r="C1097" s="164">
        <v>4441828</v>
      </c>
      <c r="D1097" s="164"/>
      <c r="E1097" s="164"/>
      <c r="F1097" s="164"/>
      <c r="G1097" s="164"/>
      <c r="H1097" s="164"/>
      <c r="I1097" s="164"/>
      <c r="J1097" s="164"/>
      <c r="K1097" s="164">
        <v>0</v>
      </c>
      <c r="L1097" s="162">
        <v>0</v>
      </c>
      <c r="M1097" s="164">
        <v>0</v>
      </c>
      <c r="N1097" s="164">
        <v>0</v>
      </c>
      <c r="O1097" s="164">
        <v>0</v>
      </c>
      <c r="P1097" s="162">
        <v>0</v>
      </c>
      <c r="Q1097" s="164">
        <v>0</v>
      </c>
      <c r="R1097" s="164">
        <v>3081.4</v>
      </c>
      <c r="S1097" s="164">
        <v>4441828</v>
      </c>
      <c r="T1097" s="165">
        <v>0</v>
      </c>
      <c r="U1097" s="246">
        <v>0</v>
      </c>
      <c r="V1097" s="241">
        <f>C1097-'часть 1'!L1105</f>
        <v>3903707</v>
      </c>
      <c r="W1097" s="241"/>
      <c r="X1097" s="241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254"/>
    </row>
    <row r="1098" spans="1:35" customFormat="1">
      <c r="A1098" s="166">
        <v>45</v>
      </c>
      <c r="B1098" s="163" t="s">
        <v>348</v>
      </c>
      <c r="C1098" s="164">
        <v>3051089</v>
      </c>
      <c r="D1098" s="164"/>
      <c r="E1098" s="164"/>
      <c r="F1098" s="164"/>
      <c r="G1098" s="164"/>
      <c r="H1098" s="164"/>
      <c r="I1098" s="164"/>
      <c r="J1098" s="164"/>
      <c r="K1098" s="164">
        <v>0</v>
      </c>
      <c r="L1098" s="162">
        <v>0</v>
      </c>
      <c r="M1098" s="164">
        <v>0</v>
      </c>
      <c r="N1098" s="164">
        <v>1549</v>
      </c>
      <c r="O1098" s="164">
        <v>3051089</v>
      </c>
      <c r="P1098" s="162">
        <v>0</v>
      </c>
      <c r="Q1098" s="164">
        <v>0</v>
      </c>
      <c r="R1098" s="165">
        <v>0</v>
      </c>
      <c r="S1098" s="164">
        <v>0</v>
      </c>
      <c r="T1098" s="165">
        <v>0</v>
      </c>
      <c r="U1098" s="246">
        <v>0</v>
      </c>
      <c r="V1098" s="241">
        <f>C1098-'часть 1'!L1106</f>
        <v>1294237</v>
      </c>
      <c r="W1098" s="241"/>
      <c r="X1098" s="241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254"/>
    </row>
    <row r="1099" spans="1:35" customFormat="1">
      <c r="A1099" s="166">
        <v>46</v>
      </c>
      <c r="B1099" s="163" t="s">
        <v>386</v>
      </c>
      <c r="C1099" s="164">
        <v>869749</v>
      </c>
      <c r="D1099" s="164"/>
      <c r="E1099" s="164"/>
      <c r="F1099" s="164"/>
      <c r="G1099" s="164"/>
      <c r="H1099" s="164"/>
      <c r="I1099" s="164"/>
      <c r="J1099" s="164"/>
      <c r="K1099" s="164">
        <v>0</v>
      </c>
      <c r="L1099" s="162">
        <v>0</v>
      </c>
      <c r="M1099" s="164">
        <v>0</v>
      </c>
      <c r="N1099" s="164">
        <v>431.5</v>
      </c>
      <c r="O1099" s="164">
        <f>C1099</f>
        <v>869749</v>
      </c>
      <c r="P1099" s="162">
        <v>0</v>
      </c>
      <c r="Q1099" s="164">
        <v>0</v>
      </c>
      <c r="R1099" s="165">
        <v>0</v>
      </c>
      <c r="S1099" s="164">
        <v>0</v>
      </c>
      <c r="T1099" s="165">
        <v>0</v>
      </c>
      <c r="U1099" s="246">
        <v>0</v>
      </c>
      <c r="V1099" s="241">
        <f>C1099-'часть 1'!L1107</f>
        <v>193350.71999999997</v>
      </c>
      <c r="W1099" s="241"/>
      <c r="X1099" s="241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254"/>
    </row>
    <row r="1100" spans="1:35" customFormat="1">
      <c r="A1100" s="166">
        <v>47</v>
      </c>
      <c r="B1100" s="163" t="s">
        <v>461</v>
      </c>
      <c r="C1100" s="164">
        <v>869880</v>
      </c>
      <c r="D1100" s="164"/>
      <c r="E1100" s="164"/>
      <c r="F1100" s="164"/>
      <c r="G1100" s="164"/>
      <c r="H1100" s="164"/>
      <c r="I1100" s="164"/>
      <c r="J1100" s="164"/>
      <c r="K1100" s="164">
        <v>0</v>
      </c>
      <c r="L1100" s="162">
        <v>0</v>
      </c>
      <c r="M1100" s="164">
        <v>0</v>
      </c>
      <c r="N1100" s="164">
        <v>431.5</v>
      </c>
      <c r="O1100" s="167">
        <f>C1100</f>
        <v>869880</v>
      </c>
      <c r="P1100" s="162">
        <v>0</v>
      </c>
      <c r="Q1100" s="164">
        <v>0</v>
      </c>
      <c r="R1100" s="168">
        <v>0</v>
      </c>
      <c r="S1100" s="164">
        <v>0</v>
      </c>
      <c r="T1100" s="165">
        <v>0</v>
      </c>
      <c r="U1100" s="246">
        <v>0</v>
      </c>
      <c r="V1100" s="241">
        <f>C1100-'часть 1'!L1108</f>
        <v>103341</v>
      </c>
      <c r="W1100" s="241"/>
      <c r="X1100" s="241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254"/>
    </row>
    <row r="1101" spans="1:35" customFormat="1" ht="30">
      <c r="A1101" s="166">
        <v>48</v>
      </c>
      <c r="B1101" s="163" t="s">
        <v>462</v>
      </c>
      <c r="C1101" s="164">
        <v>172302</v>
      </c>
      <c r="D1101" s="164"/>
      <c r="E1101" s="164"/>
      <c r="F1101" s="164"/>
      <c r="G1101" s="164"/>
      <c r="H1101" s="164"/>
      <c r="I1101" s="164"/>
      <c r="J1101" s="164"/>
      <c r="K1101" s="164">
        <v>172302</v>
      </c>
      <c r="L1101" s="162">
        <v>0</v>
      </c>
      <c r="M1101" s="164">
        <v>0</v>
      </c>
      <c r="N1101" s="164">
        <v>0</v>
      </c>
      <c r="O1101" s="164">
        <v>0</v>
      </c>
      <c r="P1101" s="162">
        <v>0</v>
      </c>
      <c r="Q1101" s="164">
        <v>0</v>
      </c>
      <c r="R1101" s="165">
        <v>0</v>
      </c>
      <c r="S1101" s="164">
        <v>0</v>
      </c>
      <c r="T1101" s="165">
        <v>0</v>
      </c>
      <c r="U1101" s="246">
        <v>0</v>
      </c>
      <c r="V1101" s="241">
        <f>C1101-'часть 1'!L1109</f>
        <v>-1013812</v>
      </c>
      <c r="W1101" s="241"/>
      <c r="X1101" s="241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254"/>
    </row>
    <row r="1102" spans="1:35" customFormat="1">
      <c r="A1102" s="166">
        <v>49</v>
      </c>
      <c r="B1102" s="163" t="s">
        <v>389</v>
      </c>
      <c r="C1102" s="164">
        <v>3706393</v>
      </c>
      <c r="D1102" s="164"/>
      <c r="E1102" s="164"/>
      <c r="F1102" s="164"/>
      <c r="G1102" s="164"/>
      <c r="H1102" s="164"/>
      <c r="I1102" s="164"/>
      <c r="J1102" s="164"/>
      <c r="K1102" s="164" t="e">
        <f>#REF!</f>
        <v>#REF!</v>
      </c>
      <c r="L1102" s="162">
        <v>0</v>
      </c>
      <c r="M1102" s="164">
        <v>0</v>
      </c>
      <c r="N1102" s="164">
        <v>0</v>
      </c>
      <c r="O1102" s="164">
        <v>0</v>
      </c>
      <c r="P1102" s="162">
        <v>0</v>
      </c>
      <c r="Q1102" s="164">
        <v>0</v>
      </c>
      <c r="R1102" s="165">
        <v>0</v>
      </c>
      <c r="S1102" s="164">
        <v>0</v>
      </c>
      <c r="T1102" s="165">
        <v>0</v>
      </c>
      <c r="U1102" s="246">
        <v>0</v>
      </c>
      <c r="V1102" s="241">
        <f>C1102-'часть 1'!L1110</f>
        <v>3528120.41</v>
      </c>
      <c r="W1102" s="241"/>
      <c r="X1102" s="241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254"/>
    </row>
    <row r="1103" spans="1:35" customFormat="1">
      <c r="A1103" s="166">
        <v>50</v>
      </c>
      <c r="B1103" s="163" t="s">
        <v>317</v>
      </c>
      <c r="C1103" s="164">
        <v>698585</v>
      </c>
      <c r="D1103" s="164"/>
      <c r="E1103" s="164"/>
      <c r="F1103" s="164"/>
      <c r="G1103" s="164"/>
      <c r="H1103" s="164"/>
      <c r="I1103" s="164"/>
      <c r="J1103" s="164"/>
      <c r="K1103" s="164">
        <v>698585</v>
      </c>
      <c r="L1103" s="162">
        <v>0</v>
      </c>
      <c r="M1103" s="164">
        <v>0</v>
      </c>
      <c r="N1103" s="167">
        <v>0</v>
      </c>
      <c r="O1103" s="164">
        <v>0</v>
      </c>
      <c r="P1103" s="162">
        <v>0</v>
      </c>
      <c r="Q1103" s="164">
        <v>0</v>
      </c>
      <c r="R1103" s="168">
        <v>0</v>
      </c>
      <c r="S1103" s="164">
        <v>0</v>
      </c>
      <c r="T1103" s="165">
        <v>0</v>
      </c>
      <c r="U1103" s="246">
        <v>0</v>
      </c>
      <c r="V1103" s="241">
        <f>C1103-'часть 1'!L1111</f>
        <v>-388531</v>
      </c>
      <c r="W1103" s="241"/>
      <c r="X1103" s="241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254"/>
    </row>
    <row r="1104" spans="1:35" customFormat="1">
      <c r="A1104" s="166">
        <v>51</v>
      </c>
      <c r="B1104" s="163" t="s">
        <v>384</v>
      </c>
      <c r="C1104" s="164">
        <v>951740</v>
      </c>
      <c r="D1104" s="164"/>
      <c r="E1104" s="164"/>
      <c r="F1104" s="164"/>
      <c r="G1104" s="164"/>
      <c r="H1104" s="164"/>
      <c r="I1104" s="164"/>
      <c r="J1104" s="164"/>
      <c r="K1104" s="164">
        <v>0</v>
      </c>
      <c r="L1104" s="162">
        <v>0</v>
      </c>
      <c r="M1104" s="164">
        <v>0</v>
      </c>
      <c r="N1104" s="164">
        <v>471.1</v>
      </c>
      <c r="O1104" s="164">
        <v>951740</v>
      </c>
      <c r="P1104" s="162">
        <v>0</v>
      </c>
      <c r="Q1104" s="164">
        <v>0</v>
      </c>
      <c r="R1104" s="165">
        <v>0</v>
      </c>
      <c r="S1104" s="164">
        <v>0</v>
      </c>
      <c r="T1104" s="165">
        <v>0</v>
      </c>
      <c r="U1104" s="246">
        <v>0</v>
      </c>
      <c r="V1104" s="241">
        <f>C1104-'часть 1'!L1112</f>
        <v>-459623</v>
      </c>
      <c r="W1104" s="241"/>
      <c r="X1104" s="241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254"/>
    </row>
    <row r="1105" spans="1:38">
      <c r="A1105" s="166">
        <v>52</v>
      </c>
      <c r="B1105" s="163" t="s">
        <v>247</v>
      </c>
      <c r="C1105" s="164">
        <v>2056139</v>
      </c>
      <c r="D1105" s="164"/>
      <c r="E1105" s="164"/>
      <c r="F1105" s="164"/>
      <c r="G1105" s="164"/>
      <c r="H1105" s="164"/>
      <c r="I1105" s="164"/>
      <c r="J1105" s="164"/>
      <c r="K1105" s="164">
        <v>0</v>
      </c>
      <c r="L1105" s="162">
        <v>0</v>
      </c>
      <c r="M1105" s="164">
        <v>0</v>
      </c>
      <c r="N1105" s="164">
        <v>1020</v>
      </c>
      <c r="O1105" s="164">
        <v>2056139</v>
      </c>
      <c r="P1105" s="162">
        <v>0</v>
      </c>
      <c r="Q1105" s="164">
        <v>0</v>
      </c>
      <c r="R1105" s="168">
        <v>0</v>
      </c>
      <c r="S1105" s="164">
        <v>0</v>
      </c>
      <c r="T1105" s="165">
        <v>0</v>
      </c>
      <c r="U1105" s="246">
        <v>0</v>
      </c>
      <c r="V1105" s="241">
        <f>C1105-'часть 1'!L1113</f>
        <v>919473</v>
      </c>
      <c r="W1105" s="241"/>
      <c r="X1105" s="241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254"/>
    </row>
    <row r="1106" spans="1:38">
      <c r="A1106" s="166">
        <v>53</v>
      </c>
      <c r="B1106" s="163" t="s">
        <v>274</v>
      </c>
      <c r="C1106" s="164">
        <v>1321356</v>
      </c>
      <c r="D1106" s="164"/>
      <c r="E1106" s="164"/>
      <c r="F1106" s="164"/>
      <c r="G1106" s="164"/>
      <c r="H1106" s="164"/>
      <c r="I1106" s="164"/>
      <c r="J1106" s="164"/>
      <c r="K1106" s="164">
        <v>0</v>
      </c>
      <c r="L1106" s="162">
        <v>0</v>
      </c>
      <c r="M1106" s="164">
        <v>0</v>
      </c>
      <c r="N1106" s="164">
        <v>662</v>
      </c>
      <c r="O1106" s="167">
        <v>1321356</v>
      </c>
      <c r="P1106" s="162">
        <v>0</v>
      </c>
      <c r="Q1106" s="164">
        <v>0</v>
      </c>
      <c r="R1106" s="165">
        <v>0</v>
      </c>
      <c r="S1106" s="164">
        <v>0</v>
      </c>
      <c r="T1106" s="165">
        <v>0</v>
      </c>
      <c r="U1106" s="246">
        <v>0</v>
      </c>
      <c r="V1106" s="241">
        <f>C1106-'часть 1'!L1114</f>
        <v>-64318</v>
      </c>
      <c r="W1106" s="241"/>
      <c r="X1106" s="241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254"/>
    </row>
    <row r="1107" spans="1:38" ht="30">
      <c r="A1107" s="166">
        <v>54</v>
      </c>
      <c r="B1107" s="163" t="s">
        <v>338</v>
      </c>
      <c r="C1107" s="164">
        <v>1679278</v>
      </c>
      <c r="D1107" s="164"/>
      <c r="E1107" s="164"/>
      <c r="F1107" s="164"/>
      <c r="G1107" s="164"/>
      <c r="H1107" s="164"/>
      <c r="I1107" s="164"/>
      <c r="J1107" s="164"/>
      <c r="K1107" s="164">
        <v>355519</v>
      </c>
      <c r="L1107" s="162">
        <v>0</v>
      </c>
      <c r="M1107" s="164">
        <v>0</v>
      </c>
      <c r="N1107" s="164">
        <v>663.3</v>
      </c>
      <c r="O1107" s="164">
        <v>1323759</v>
      </c>
      <c r="P1107" s="162">
        <v>0</v>
      </c>
      <c r="Q1107" s="164">
        <v>0</v>
      </c>
      <c r="R1107" s="165">
        <v>0</v>
      </c>
      <c r="S1107" s="164">
        <v>0</v>
      </c>
      <c r="T1107" s="165">
        <v>0</v>
      </c>
      <c r="U1107" s="246">
        <v>0</v>
      </c>
      <c r="V1107" s="241">
        <f>C1107-'часть 1'!L1115</f>
        <v>-2940712</v>
      </c>
      <c r="W1107" s="241"/>
      <c r="X1107" s="241"/>
      <c r="Y1107" s="9"/>
      <c r="Z1107" s="9"/>
      <c r="AA1107" s="9"/>
      <c r="AB1107" s="9"/>
      <c r="AC1107" s="9"/>
      <c r="AD1107" s="9"/>
      <c r="AE1107" s="9"/>
      <c r="AF1107" s="9"/>
      <c r="AG1107" s="3"/>
      <c r="AH1107" s="9"/>
      <c r="AI1107" s="254"/>
    </row>
    <row r="1108" spans="1:38" s="8" customFormat="1">
      <c r="A1108" s="166">
        <v>55</v>
      </c>
      <c r="B1108" s="163" t="s">
        <v>272</v>
      </c>
      <c r="C1108" s="164">
        <v>1100896</v>
      </c>
      <c r="D1108" s="164"/>
      <c r="E1108" s="164"/>
      <c r="F1108" s="164"/>
      <c r="G1108" s="164"/>
      <c r="H1108" s="164"/>
      <c r="I1108" s="164"/>
      <c r="J1108" s="164"/>
      <c r="K1108" s="164">
        <v>0</v>
      </c>
      <c r="L1108" s="162">
        <v>0</v>
      </c>
      <c r="M1108" s="164">
        <v>0</v>
      </c>
      <c r="N1108" s="164">
        <v>549</v>
      </c>
      <c r="O1108" s="167">
        <v>1100896</v>
      </c>
      <c r="P1108" s="162">
        <v>0</v>
      </c>
      <c r="Q1108" s="164">
        <v>0</v>
      </c>
      <c r="R1108" s="165">
        <v>0</v>
      </c>
      <c r="S1108" s="164">
        <v>0</v>
      </c>
      <c r="T1108" s="165">
        <v>0</v>
      </c>
      <c r="U1108" s="246">
        <v>0</v>
      </c>
      <c r="V1108" s="241">
        <f>C1108-'часть 1'!L1116</f>
        <v>-764408</v>
      </c>
      <c r="W1108" s="241"/>
      <c r="X1108" s="241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254"/>
    </row>
    <row r="1109" spans="1:38" ht="30">
      <c r="A1109" s="166">
        <v>56</v>
      </c>
      <c r="B1109" s="163" t="s">
        <v>337</v>
      </c>
      <c r="C1109" s="164">
        <v>1729707</v>
      </c>
      <c r="D1109" s="164"/>
      <c r="E1109" s="164"/>
      <c r="F1109" s="164"/>
      <c r="G1109" s="164"/>
      <c r="H1109" s="164"/>
      <c r="I1109" s="164"/>
      <c r="J1109" s="164"/>
      <c r="K1109" s="164">
        <v>630140</v>
      </c>
      <c r="L1109" s="162">
        <v>0</v>
      </c>
      <c r="M1109" s="164">
        <v>0</v>
      </c>
      <c r="N1109" s="164">
        <v>0</v>
      </c>
      <c r="O1109" s="164">
        <v>0</v>
      </c>
      <c r="P1109" s="162">
        <v>0</v>
      </c>
      <c r="Q1109" s="164">
        <v>0</v>
      </c>
      <c r="R1109" s="164">
        <v>760.3</v>
      </c>
      <c r="S1109" s="164">
        <v>1099567</v>
      </c>
      <c r="T1109" s="165">
        <v>0</v>
      </c>
      <c r="U1109" s="246">
        <v>0</v>
      </c>
      <c r="V1109" s="241">
        <f>C1109-'часть 1'!L1117</f>
        <v>-141203</v>
      </c>
      <c r="W1109" s="241"/>
      <c r="X1109" s="241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254"/>
    </row>
    <row r="1110" spans="1:38" customFormat="1">
      <c r="A1110" s="166">
        <v>57</v>
      </c>
      <c r="B1110" s="163" t="s">
        <v>257</v>
      </c>
      <c r="C1110" s="164">
        <v>451222.57</v>
      </c>
      <c r="D1110" s="164"/>
      <c r="E1110" s="164"/>
      <c r="F1110" s="164"/>
      <c r="G1110" s="164"/>
      <c r="H1110" s="164"/>
      <c r="I1110" s="164"/>
      <c r="J1110" s="164"/>
      <c r="K1110" s="164">
        <v>451222.57</v>
      </c>
      <c r="L1110" s="162">
        <v>0</v>
      </c>
      <c r="M1110" s="164">
        <v>0</v>
      </c>
      <c r="N1110" s="164">
        <v>0</v>
      </c>
      <c r="O1110" s="164">
        <v>0</v>
      </c>
      <c r="P1110" s="162">
        <v>0</v>
      </c>
      <c r="Q1110" s="164">
        <v>0</v>
      </c>
      <c r="R1110" s="165">
        <v>0</v>
      </c>
      <c r="S1110" s="164">
        <v>0</v>
      </c>
      <c r="T1110" s="165">
        <v>0</v>
      </c>
      <c r="U1110" s="246">
        <v>0</v>
      </c>
      <c r="V1110" s="241">
        <f>C1110-'часть 1'!L1118</f>
        <v>-1082534.43</v>
      </c>
      <c r="W1110" s="241"/>
      <c r="X1110" s="241"/>
      <c r="Y1110" s="9"/>
      <c r="Z1110" s="9"/>
      <c r="AA1110" s="3"/>
      <c r="AB1110" s="9"/>
      <c r="AC1110" s="9"/>
      <c r="AD1110" s="9"/>
      <c r="AE1110" s="9"/>
      <c r="AF1110" s="9"/>
      <c r="AG1110" s="9"/>
      <c r="AH1110" s="9"/>
      <c r="AI1110" s="254"/>
    </row>
    <row r="1111" spans="1:38" ht="30">
      <c r="A1111" s="166">
        <v>58</v>
      </c>
      <c r="B1111" s="163" t="s">
        <v>307</v>
      </c>
      <c r="C1111" s="164">
        <v>703675.57</v>
      </c>
      <c r="D1111" s="164"/>
      <c r="E1111" s="164"/>
      <c r="F1111" s="164"/>
      <c r="G1111" s="164"/>
      <c r="H1111" s="164"/>
      <c r="I1111" s="164"/>
      <c r="J1111" s="164"/>
      <c r="K1111" s="164">
        <v>0</v>
      </c>
      <c r="L1111" s="162">
        <v>0</v>
      </c>
      <c r="M1111" s="164">
        <v>0</v>
      </c>
      <c r="N1111" s="164">
        <v>378</v>
      </c>
      <c r="O1111" s="164">
        <v>703675.57</v>
      </c>
      <c r="P1111" s="162">
        <v>0</v>
      </c>
      <c r="Q1111" s="164">
        <v>0</v>
      </c>
      <c r="R1111" s="165">
        <v>0</v>
      </c>
      <c r="S1111" s="164">
        <v>0</v>
      </c>
      <c r="T1111" s="165">
        <v>0</v>
      </c>
      <c r="U1111" s="246">
        <v>0</v>
      </c>
      <c r="V1111" s="241">
        <f>C1111-'часть 1'!L1119</f>
        <v>-236182.43000000005</v>
      </c>
      <c r="W1111" s="241"/>
      <c r="X1111" s="241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254"/>
    </row>
    <row r="1112" spans="1:38">
      <c r="A1112" s="166">
        <v>59</v>
      </c>
      <c r="B1112" s="163" t="s">
        <v>268</v>
      </c>
      <c r="C1112" s="164">
        <v>1053533.22</v>
      </c>
      <c r="D1112" s="164"/>
      <c r="E1112" s="164"/>
      <c r="F1112" s="164"/>
      <c r="G1112" s="164"/>
      <c r="H1112" s="164"/>
      <c r="I1112" s="164"/>
      <c r="J1112" s="164"/>
      <c r="K1112" s="164">
        <v>1053533.22</v>
      </c>
      <c r="L1112" s="162">
        <v>0</v>
      </c>
      <c r="M1112" s="164">
        <v>0</v>
      </c>
      <c r="N1112" s="164">
        <v>0</v>
      </c>
      <c r="O1112" s="164">
        <v>0</v>
      </c>
      <c r="P1112" s="162">
        <v>0</v>
      </c>
      <c r="Q1112" s="164">
        <v>0</v>
      </c>
      <c r="R1112" s="165">
        <v>0</v>
      </c>
      <c r="S1112" s="164">
        <v>0</v>
      </c>
      <c r="T1112" s="165">
        <v>0</v>
      </c>
      <c r="U1112" s="246">
        <v>0</v>
      </c>
      <c r="V1112" s="241">
        <f>C1112-'часть 1'!L1120</f>
        <v>-1314858.78</v>
      </c>
      <c r="W1112" s="241"/>
      <c r="X1112" s="241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254"/>
      <c r="AJ1112" s="8"/>
      <c r="AK1112" s="8"/>
      <c r="AL1112" s="8"/>
    </row>
    <row r="1113" spans="1:38">
      <c r="A1113" s="166">
        <v>60</v>
      </c>
      <c r="B1113" s="163" t="s">
        <v>246</v>
      </c>
      <c r="C1113" s="164">
        <v>1253738</v>
      </c>
      <c r="D1113" s="164"/>
      <c r="E1113" s="164"/>
      <c r="F1113" s="164"/>
      <c r="G1113" s="164"/>
      <c r="H1113" s="164"/>
      <c r="I1113" s="164"/>
      <c r="J1113" s="164"/>
      <c r="K1113" s="164">
        <v>0</v>
      </c>
      <c r="L1113" s="162">
        <v>0</v>
      </c>
      <c r="M1113" s="164">
        <v>0</v>
      </c>
      <c r="N1113" s="164">
        <v>622</v>
      </c>
      <c r="O1113" s="164">
        <v>1253738</v>
      </c>
      <c r="P1113" s="162">
        <v>0</v>
      </c>
      <c r="Q1113" s="164">
        <v>0</v>
      </c>
      <c r="R1113" s="168">
        <v>0</v>
      </c>
      <c r="S1113" s="164">
        <v>0</v>
      </c>
      <c r="T1113" s="165">
        <v>0</v>
      </c>
      <c r="U1113" s="246">
        <v>0</v>
      </c>
      <c r="V1113" s="241">
        <f>C1113-'часть 1'!L1121</f>
        <v>-1180192.9100000001</v>
      </c>
      <c r="W1113" s="241"/>
      <c r="X1113" s="241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254"/>
    </row>
    <row r="1114" spans="1:38" s="8" customFormat="1">
      <c r="A1114" s="166">
        <v>61</v>
      </c>
      <c r="B1114" s="163" t="s">
        <v>470</v>
      </c>
      <c r="C1114" s="164">
        <v>1870046</v>
      </c>
      <c r="D1114" s="164"/>
      <c r="E1114" s="164"/>
      <c r="F1114" s="164"/>
      <c r="G1114" s="164"/>
      <c r="H1114" s="164"/>
      <c r="I1114" s="164"/>
      <c r="J1114" s="164"/>
      <c r="K1114" s="164">
        <v>0</v>
      </c>
      <c r="L1114" s="162">
        <v>1</v>
      </c>
      <c r="M1114" s="164">
        <v>1870046</v>
      </c>
      <c r="N1114" s="164">
        <v>0</v>
      </c>
      <c r="O1114" s="164">
        <v>0</v>
      </c>
      <c r="P1114" s="162">
        <v>0</v>
      </c>
      <c r="Q1114" s="164">
        <v>0</v>
      </c>
      <c r="R1114" s="165">
        <v>0</v>
      </c>
      <c r="S1114" s="164">
        <v>0</v>
      </c>
      <c r="T1114" s="165">
        <v>0</v>
      </c>
      <c r="U1114" s="246">
        <v>0</v>
      </c>
      <c r="V1114" s="241">
        <f>C1114-'часть 1'!L1122</f>
        <v>148196</v>
      </c>
      <c r="W1114" s="241"/>
      <c r="X1114" s="241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254"/>
      <c r="AJ1114" s="1"/>
      <c r="AK1114" s="1"/>
      <c r="AL1114" s="1"/>
    </row>
    <row r="1115" spans="1:38">
      <c r="A1115" s="166">
        <v>62</v>
      </c>
      <c r="B1115" s="163" t="s">
        <v>350</v>
      </c>
      <c r="C1115" s="164">
        <v>3720676</v>
      </c>
      <c r="D1115" s="164"/>
      <c r="E1115" s="164"/>
      <c r="F1115" s="164"/>
      <c r="G1115" s="164"/>
      <c r="H1115" s="164"/>
      <c r="I1115" s="164"/>
      <c r="J1115" s="164"/>
      <c r="K1115" s="164">
        <v>0</v>
      </c>
      <c r="L1115" s="162">
        <v>2</v>
      </c>
      <c r="M1115" s="164">
        <v>3720676</v>
      </c>
      <c r="N1115" s="164">
        <v>0</v>
      </c>
      <c r="O1115" s="164">
        <v>0</v>
      </c>
      <c r="P1115" s="162">
        <v>0</v>
      </c>
      <c r="Q1115" s="164">
        <v>0</v>
      </c>
      <c r="R1115" s="165">
        <v>0</v>
      </c>
      <c r="S1115" s="164">
        <v>0</v>
      </c>
      <c r="T1115" s="165">
        <v>0</v>
      </c>
      <c r="U1115" s="246">
        <v>0</v>
      </c>
      <c r="V1115" s="241">
        <f>C1115-'часть 1'!L1123</f>
        <v>2906559</v>
      </c>
      <c r="W1115" s="241"/>
      <c r="X1115" s="241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254"/>
    </row>
    <row r="1116" spans="1:38">
      <c r="A1116" s="166">
        <v>63</v>
      </c>
      <c r="B1116" s="163" t="s">
        <v>251</v>
      </c>
      <c r="C1116" s="164">
        <v>3687908</v>
      </c>
      <c r="D1116" s="164"/>
      <c r="E1116" s="164"/>
      <c r="F1116" s="164"/>
      <c r="G1116" s="164"/>
      <c r="H1116" s="164"/>
      <c r="I1116" s="164"/>
      <c r="J1116" s="164"/>
      <c r="K1116" s="164">
        <v>3687908</v>
      </c>
      <c r="L1116" s="162">
        <v>0</v>
      </c>
      <c r="M1116" s="164">
        <v>0</v>
      </c>
      <c r="N1116" s="164">
        <v>0</v>
      </c>
      <c r="O1116" s="164">
        <v>0</v>
      </c>
      <c r="P1116" s="162">
        <v>0</v>
      </c>
      <c r="Q1116" s="164">
        <v>0</v>
      </c>
      <c r="R1116" s="168">
        <v>0</v>
      </c>
      <c r="S1116" s="164">
        <v>0</v>
      </c>
      <c r="T1116" s="165">
        <v>0</v>
      </c>
      <c r="U1116" s="246">
        <v>0</v>
      </c>
      <c r="V1116" s="241">
        <f>C1116-'часть 1'!L1124</f>
        <v>642827</v>
      </c>
      <c r="W1116" s="241"/>
      <c r="X1116" s="241"/>
      <c r="Y1116" s="9"/>
      <c r="Z1116" s="9"/>
      <c r="AA1116" s="9"/>
      <c r="AB1116" s="9"/>
      <c r="AC1116" s="9"/>
      <c r="AD1116" s="9"/>
      <c r="AE1116" s="49"/>
      <c r="AF1116" s="9"/>
      <c r="AG1116" s="9"/>
      <c r="AH1116" s="9"/>
      <c r="AI1116" s="254"/>
    </row>
    <row r="1117" spans="1:38">
      <c r="A1117" s="166">
        <v>64</v>
      </c>
      <c r="B1117" s="163" t="s">
        <v>226</v>
      </c>
      <c r="C1117" s="164">
        <v>1760967.35</v>
      </c>
      <c r="D1117" s="164"/>
      <c r="E1117" s="164"/>
      <c r="F1117" s="164"/>
      <c r="G1117" s="164"/>
      <c r="H1117" s="164"/>
      <c r="I1117" s="164"/>
      <c r="J1117" s="164"/>
      <c r="K1117" s="164">
        <v>0</v>
      </c>
      <c r="L1117" s="162">
        <v>0</v>
      </c>
      <c r="M1117" s="164">
        <v>0</v>
      </c>
      <c r="N1117" s="164">
        <v>881</v>
      </c>
      <c r="O1117" s="164">
        <v>1760967.35</v>
      </c>
      <c r="P1117" s="162">
        <v>0</v>
      </c>
      <c r="Q1117" s="164">
        <v>0</v>
      </c>
      <c r="R1117" s="168">
        <v>0</v>
      </c>
      <c r="S1117" s="164">
        <v>0</v>
      </c>
      <c r="T1117" s="165">
        <v>0</v>
      </c>
      <c r="U1117" s="246">
        <v>0</v>
      </c>
      <c r="V1117" s="241">
        <f>C1117-'часть 1'!L1125</f>
        <v>-483838.64999999991</v>
      </c>
      <c r="W1117" s="241"/>
      <c r="X1117" s="241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254"/>
    </row>
    <row r="1118" spans="1:38">
      <c r="A1118" s="166">
        <v>65</v>
      </c>
      <c r="B1118" s="163" t="s">
        <v>271</v>
      </c>
      <c r="C1118" s="164">
        <v>881947</v>
      </c>
      <c r="D1118" s="164"/>
      <c r="E1118" s="164"/>
      <c r="F1118" s="164"/>
      <c r="G1118" s="164"/>
      <c r="H1118" s="164"/>
      <c r="I1118" s="164"/>
      <c r="J1118" s="164"/>
      <c r="K1118" s="164">
        <v>881947</v>
      </c>
      <c r="L1118" s="162">
        <v>0</v>
      </c>
      <c r="M1118" s="164">
        <v>0</v>
      </c>
      <c r="N1118" s="164">
        <v>0</v>
      </c>
      <c r="O1118" s="164">
        <v>0</v>
      </c>
      <c r="P1118" s="162">
        <v>0</v>
      </c>
      <c r="Q1118" s="164">
        <v>0</v>
      </c>
      <c r="R1118" s="165">
        <v>0</v>
      </c>
      <c r="S1118" s="164">
        <v>0</v>
      </c>
      <c r="T1118" s="165">
        <v>0</v>
      </c>
      <c r="U1118" s="246">
        <v>0</v>
      </c>
      <c r="V1118" s="241">
        <f>C1118-'часть 1'!L1126</f>
        <v>-479326</v>
      </c>
      <c r="W1118" s="241"/>
      <c r="X1118" s="241"/>
      <c r="Y1118" s="3"/>
      <c r="Z1118" s="9"/>
      <c r="AA1118" s="9"/>
      <c r="AB1118" s="9"/>
      <c r="AC1118" s="9"/>
      <c r="AD1118" s="9"/>
      <c r="AE1118" s="9"/>
      <c r="AF1118" s="9"/>
      <c r="AG1118" s="9"/>
      <c r="AH1118" s="9"/>
      <c r="AI1118" s="254"/>
    </row>
    <row r="1119" spans="1:38">
      <c r="A1119" s="166">
        <v>66</v>
      </c>
      <c r="B1119" s="163" t="s">
        <v>287</v>
      </c>
      <c r="C1119" s="164">
        <v>517739</v>
      </c>
      <c r="D1119" s="164"/>
      <c r="E1119" s="164"/>
      <c r="F1119" s="164"/>
      <c r="G1119" s="164"/>
      <c r="H1119" s="164"/>
      <c r="I1119" s="164"/>
      <c r="J1119" s="164"/>
      <c r="K1119" s="164">
        <v>0</v>
      </c>
      <c r="L1119" s="162">
        <v>0</v>
      </c>
      <c r="M1119" s="164">
        <v>0</v>
      </c>
      <c r="N1119" s="164">
        <v>252</v>
      </c>
      <c r="O1119" s="167">
        <v>517739</v>
      </c>
      <c r="P1119" s="162">
        <v>0</v>
      </c>
      <c r="Q1119" s="164">
        <v>0</v>
      </c>
      <c r="R1119" s="165">
        <v>0</v>
      </c>
      <c r="S1119" s="164">
        <v>0</v>
      </c>
      <c r="T1119" s="165">
        <v>0</v>
      </c>
      <c r="U1119" s="246">
        <v>0</v>
      </c>
      <c r="V1119" s="241">
        <f>C1119-'часть 1'!L1127</f>
        <v>-1903857</v>
      </c>
      <c r="W1119" s="241"/>
      <c r="X1119" s="241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254"/>
    </row>
    <row r="1120" spans="1:38">
      <c r="A1120" s="166">
        <v>67</v>
      </c>
      <c r="B1120" s="163" t="s">
        <v>289</v>
      </c>
      <c r="C1120" s="164">
        <v>1728895</v>
      </c>
      <c r="D1120" s="164"/>
      <c r="E1120" s="164"/>
      <c r="F1120" s="164"/>
      <c r="G1120" s="164"/>
      <c r="H1120" s="164"/>
      <c r="I1120" s="164"/>
      <c r="J1120" s="164"/>
      <c r="K1120" s="164">
        <v>0</v>
      </c>
      <c r="L1120" s="162">
        <v>0</v>
      </c>
      <c r="M1120" s="164">
        <v>0</v>
      </c>
      <c r="N1120" s="164">
        <v>873.06</v>
      </c>
      <c r="O1120" s="164">
        <v>1728895</v>
      </c>
      <c r="P1120" s="169">
        <v>0</v>
      </c>
      <c r="Q1120" s="164">
        <v>0</v>
      </c>
      <c r="R1120" s="168">
        <v>0</v>
      </c>
      <c r="S1120" s="164">
        <v>0</v>
      </c>
      <c r="T1120" s="165">
        <v>0</v>
      </c>
      <c r="U1120" s="246">
        <v>0</v>
      </c>
      <c r="V1120" s="241">
        <f>C1120-'часть 1'!L1128</f>
        <v>-327420</v>
      </c>
      <c r="W1120" s="241"/>
      <c r="X1120" s="241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254"/>
    </row>
    <row r="1121" spans="1:35">
      <c r="A1121" s="166">
        <v>68</v>
      </c>
      <c r="B1121" s="163" t="s">
        <v>259</v>
      </c>
      <c r="C1121" s="164">
        <v>682529</v>
      </c>
      <c r="D1121" s="164"/>
      <c r="E1121" s="164"/>
      <c r="F1121" s="164"/>
      <c r="G1121" s="164"/>
      <c r="H1121" s="164"/>
      <c r="I1121" s="164"/>
      <c r="J1121" s="164"/>
      <c r="K1121" s="164">
        <v>0</v>
      </c>
      <c r="L1121" s="162">
        <v>0</v>
      </c>
      <c r="M1121" s="164">
        <v>0</v>
      </c>
      <c r="N1121" s="164">
        <v>335.6</v>
      </c>
      <c r="O1121" s="164">
        <v>682529</v>
      </c>
      <c r="P1121" s="162">
        <v>0</v>
      </c>
      <c r="Q1121" s="164">
        <v>0</v>
      </c>
      <c r="R1121" s="165">
        <v>0</v>
      </c>
      <c r="S1121" s="164">
        <v>0</v>
      </c>
      <c r="T1121" s="165">
        <v>0</v>
      </c>
      <c r="U1121" s="246">
        <v>0</v>
      </c>
      <c r="V1121" s="241">
        <f>C1121-'часть 1'!L1129</f>
        <v>-8791064</v>
      </c>
      <c r="W1121" s="241"/>
      <c r="X1121" s="241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254"/>
    </row>
    <row r="1122" spans="1:35">
      <c r="A1122" s="166">
        <v>69</v>
      </c>
      <c r="B1122" s="163" t="s">
        <v>291</v>
      </c>
      <c r="C1122" s="164">
        <v>582157</v>
      </c>
      <c r="D1122" s="164"/>
      <c r="E1122" s="164"/>
      <c r="F1122" s="164"/>
      <c r="G1122" s="164"/>
      <c r="H1122" s="164"/>
      <c r="I1122" s="164"/>
      <c r="J1122" s="164"/>
      <c r="K1122" s="164">
        <v>0</v>
      </c>
      <c r="L1122" s="162">
        <v>0</v>
      </c>
      <c r="M1122" s="164">
        <v>0</v>
      </c>
      <c r="N1122" s="164">
        <v>285</v>
      </c>
      <c r="O1122" s="164">
        <v>582157</v>
      </c>
      <c r="P1122" s="162">
        <v>0</v>
      </c>
      <c r="Q1122" s="164">
        <v>0</v>
      </c>
      <c r="R1122" s="168">
        <v>0</v>
      </c>
      <c r="S1122" s="164">
        <v>0</v>
      </c>
      <c r="T1122" s="165">
        <v>0</v>
      </c>
      <c r="U1122" s="246">
        <v>0</v>
      </c>
      <c r="V1122" s="241">
        <f>C1122-'часть 1'!L1130</f>
        <v>-3859671</v>
      </c>
      <c r="W1122" s="241"/>
      <c r="X1122" s="241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254"/>
    </row>
    <row r="1123" spans="1:35">
      <c r="A1123" s="166">
        <v>70</v>
      </c>
      <c r="B1123" s="163" t="s">
        <v>224</v>
      </c>
      <c r="C1123" s="164">
        <v>701704</v>
      </c>
      <c r="D1123" s="164"/>
      <c r="E1123" s="164"/>
      <c r="F1123" s="164"/>
      <c r="G1123" s="164"/>
      <c r="H1123" s="164"/>
      <c r="I1123" s="164"/>
      <c r="J1123" s="164"/>
      <c r="K1123" s="164">
        <v>701704</v>
      </c>
      <c r="L1123" s="162">
        <v>0</v>
      </c>
      <c r="M1123" s="164">
        <v>0</v>
      </c>
      <c r="N1123" s="167">
        <v>0</v>
      </c>
      <c r="O1123" s="164">
        <v>0</v>
      </c>
      <c r="P1123" s="162">
        <v>0</v>
      </c>
      <c r="Q1123" s="164">
        <v>0</v>
      </c>
      <c r="R1123" s="168">
        <v>0</v>
      </c>
      <c r="S1123" s="164">
        <v>0</v>
      </c>
      <c r="T1123" s="165">
        <v>0</v>
      </c>
      <c r="U1123" s="246">
        <v>0</v>
      </c>
      <c r="V1123" s="241">
        <f>C1123-'часть 1'!L1131</f>
        <v>-2349385</v>
      </c>
      <c r="W1123" s="241"/>
      <c r="X1123" s="241"/>
      <c r="Y1123" s="3"/>
      <c r="Z1123" s="9"/>
      <c r="AA1123" s="9"/>
      <c r="AB1123" s="9"/>
      <c r="AC1123" s="9"/>
      <c r="AD1123" s="9"/>
      <c r="AE1123" s="9"/>
      <c r="AF1123" s="9"/>
      <c r="AG1123" s="9"/>
      <c r="AH1123" s="9"/>
      <c r="AI1123" s="254"/>
    </row>
    <row r="1124" spans="1:35">
      <c r="A1124" s="166">
        <v>71</v>
      </c>
      <c r="B1124" s="163" t="s">
        <v>261</v>
      </c>
      <c r="C1124" s="164">
        <v>1969149</v>
      </c>
      <c r="D1124" s="164"/>
      <c r="E1124" s="164"/>
      <c r="F1124" s="164"/>
      <c r="G1124" s="164"/>
      <c r="H1124" s="164"/>
      <c r="I1124" s="164"/>
      <c r="J1124" s="164"/>
      <c r="K1124" s="164">
        <v>0</v>
      </c>
      <c r="L1124" s="162">
        <v>0</v>
      </c>
      <c r="M1124" s="164">
        <v>0</v>
      </c>
      <c r="N1124" s="164">
        <v>995.8</v>
      </c>
      <c r="O1124" s="164">
        <v>1969149</v>
      </c>
      <c r="P1124" s="162">
        <v>0</v>
      </c>
      <c r="Q1124" s="164">
        <v>0</v>
      </c>
      <c r="R1124" s="165">
        <v>0</v>
      </c>
      <c r="S1124" s="164">
        <v>0</v>
      </c>
      <c r="T1124" s="165">
        <v>0</v>
      </c>
      <c r="U1124" s="246">
        <v>0</v>
      </c>
      <c r="V1124" s="241">
        <f>C1124-'часть 1'!L1132</f>
        <v>1099400</v>
      </c>
      <c r="W1124" s="241"/>
      <c r="X1124" s="241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254"/>
    </row>
    <row r="1125" spans="1:35">
      <c r="A1125" s="166">
        <v>72</v>
      </c>
      <c r="B1125" s="163" t="s">
        <v>239</v>
      </c>
      <c r="C1125" s="164">
        <v>1023088</v>
      </c>
      <c r="D1125" s="164"/>
      <c r="E1125" s="164"/>
      <c r="F1125" s="164"/>
      <c r="G1125" s="164"/>
      <c r="H1125" s="164"/>
      <c r="I1125" s="164"/>
      <c r="J1125" s="164"/>
      <c r="K1125" s="164">
        <v>0</v>
      </c>
      <c r="L1125" s="162">
        <v>0</v>
      </c>
      <c r="M1125" s="164">
        <v>0</v>
      </c>
      <c r="N1125" s="164">
        <v>0</v>
      </c>
      <c r="O1125" s="164">
        <v>0</v>
      </c>
      <c r="P1125" s="162">
        <v>0</v>
      </c>
      <c r="Q1125" s="164">
        <v>0</v>
      </c>
      <c r="R1125" s="164">
        <v>694</v>
      </c>
      <c r="S1125" s="167">
        <v>1023088</v>
      </c>
      <c r="T1125" s="165">
        <v>0</v>
      </c>
      <c r="U1125" s="246">
        <v>0</v>
      </c>
      <c r="V1125" s="241">
        <f>C1125-'часть 1'!L1133</f>
        <v>153208</v>
      </c>
      <c r="W1125" s="241"/>
      <c r="X1125" s="241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254"/>
    </row>
    <row r="1126" spans="1:35">
      <c r="A1126" s="166">
        <v>73</v>
      </c>
      <c r="B1126" s="163" t="s">
        <v>336</v>
      </c>
      <c r="C1126" s="164">
        <v>3334570</v>
      </c>
      <c r="D1126" s="164"/>
      <c r="E1126" s="164"/>
      <c r="F1126" s="164"/>
      <c r="G1126" s="164"/>
      <c r="H1126" s="164"/>
      <c r="I1126" s="164"/>
      <c r="J1126" s="164"/>
      <c r="K1126" s="164" t="e">
        <f>#REF!</f>
        <v>#REF!</v>
      </c>
      <c r="L1126" s="162">
        <v>0</v>
      </c>
      <c r="M1126" s="164">
        <v>0</v>
      </c>
      <c r="N1126" s="167">
        <v>0</v>
      </c>
      <c r="O1126" s="164">
        <v>0</v>
      </c>
      <c r="P1126" s="162">
        <v>0</v>
      </c>
      <c r="Q1126" s="164">
        <v>0</v>
      </c>
      <c r="R1126" s="165">
        <v>0</v>
      </c>
      <c r="S1126" s="164">
        <v>0</v>
      </c>
      <c r="T1126" s="165">
        <v>0</v>
      </c>
      <c r="U1126" s="246">
        <v>0</v>
      </c>
      <c r="V1126" s="241">
        <f>C1126-'часть 1'!L1134</f>
        <v>3162268</v>
      </c>
      <c r="W1126" s="241"/>
      <c r="X1126" s="241"/>
      <c r="Y1126" s="9"/>
      <c r="Z1126" s="9"/>
      <c r="AA1126" s="9"/>
      <c r="AB1126" s="9"/>
      <c r="AC1126" s="9"/>
      <c r="AD1126" s="9"/>
      <c r="AE1126" s="12"/>
      <c r="AF1126" s="9"/>
      <c r="AG1126" s="9"/>
      <c r="AH1126" s="9"/>
      <c r="AI1126" s="254"/>
    </row>
    <row r="1127" spans="1:35">
      <c r="A1127" s="166">
        <v>74</v>
      </c>
      <c r="B1127" s="163" t="s">
        <v>306</v>
      </c>
      <c r="C1127" s="164">
        <v>1127374.33</v>
      </c>
      <c r="D1127" s="164"/>
      <c r="E1127" s="164"/>
      <c r="F1127" s="164"/>
      <c r="G1127" s="164"/>
      <c r="H1127" s="164"/>
      <c r="I1127" s="164"/>
      <c r="J1127" s="164"/>
      <c r="K1127" s="164">
        <v>1127374.33</v>
      </c>
      <c r="L1127" s="162">
        <v>0</v>
      </c>
      <c r="M1127" s="164">
        <v>0</v>
      </c>
      <c r="N1127" s="164">
        <v>0</v>
      </c>
      <c r="O1127" s="164">
        <v>0</v>
      </c>
      <c r="P1127" s="162">
        <v>0</v>
      </c>
      <c r="Q1127" s="164">
        <v>0</v>
      </c>
      <c r="R1127" s="165">
        <v>0</v>
      </c>
      <c r="S1127" s="164">
        <v>0</v>
      </c>
      <c r="T1127" s="165">
        <v>0</v>
      </c>
      <c r="U1127" s="246">
        <v>0</v>
      </c>
      <c r="V1127" s="241">
        <f>C1127-'часть 1'!L1135</f>
        <v>-2579018.67</v>
      </c>
      <c r="W1127" s="241"/>
      <c r="X1127" s="241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254"/>
    </row>
    <row r="1128" spans="1:35">
      <c r="A1128" s="166">
        <v>75</v>
      </c>
      <c r="B1128" s="163" t="s">
        <v>234</v>
      </c>
      <c r="C1128" s="164">
        <v>1161456</v>
      </c>
      <c r="D1128" s="164"/>
      <c r="E1128" s="164"/>
      <c r="F1128" s="164"/>
      <c r="G1128" s="164"/>
      <c r="H1128" s="164"/>
      <c r="I1128" s="164"/>
      <c r="J1128" s="164"/>
      <c r="K1128" s="164">
        <v>1161456</v>
      </c>
      <c r="L1128" s="162">
        <v>0</v>
      </c>
      <c r="M1128" s="164">
        <v>0</v>
      </c>
      <c r="N1128" s="164">
        <v>0</v>
      </c>
      <c r="O1128" s="164">
        <v>0</v>
      </c>
      <c r="P1128" s="162">
        <v>0</v>
      </c>
      <c r="Q1128" s="164">
        <v>0</v>
      </c>
      <c r="R1128" s="165">
        <v>0</v>
      </c>
      <c r="S1128" s="164">
        <v>0</v>
      </c>
      <c r="T1128" s="165">
        <v>0</v>
      </c>
      <c r="U1128" s="246">
        <v>0</v>
      </c>
      <c r="V1128" s="241">
        <f>C1128-'часть 1'!L1136</f>
        <v>462871</v>
      </c>
      <c r="W1128" s="241"/>
      <c r="X1128" s="241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254"/>
    </row>
    <row r="1129" spans="1:35">
      <c r="A1129" s="166">
        <v>76</v>
      </c>
      <c r="B1129" s="163" t="s">
        <v>277</v>
      </c>
      <c r="C1129" s="164">
        <v>1197250.23</v>
      </c>
      <c r="D1129" s="164"/>
      <c r="E1129" s="164"/>
      <c r="F1129" s="164"/>
      <c r="G1129" s="164"/>
      <c r="H1129" s="164"/>
      <c r="I1129" s="164"/>
      <c r="J1129" s="164"/>
      <c r="K1129" s="164">
        <v>1197250.23</v>
      </c>
      <c r="L1129" s="162">
        <v>0</v>
      </c>
      <c r="M1129" s="164">
        <v>0</v>
      </c>
      <c r="N1129" s="167">
        <v>0</v>
      </c>
      <c r="O1129" s="164">
        <v>0</v>
      </c>
      <c r="P1129" s="162">
        <v>0</v>
      </c>
      <c r="Q1129" s="164">
        <v>0</v>
      </c>
      <c r="R1129" s="165">
        <v>0</v>
      </c>
      <c r="S1129" s="164">
        <v>0</v>
      </c>
      <c r="T1129" s="165">
        <v>0</v>
      </c>
      <c r="U1129" s="246">
        <v>0</v>
      </c>
      <c r="V1129" s="241">
        <f>C1129-'часть 1'!L1137</f>
        <v>245510.22999999998</v>
      </c>
      <c r="W1129" s="241"/>
      <c r="X1129" s="241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254"/>
    </row>
    <row r="1130" spans="1:35">
      <c r="A1130" s="166">
        <v>77</v>
      </c>
      <c r="B1130" s="163" t="s">
        <v>303</v>
      </c>
      <c r="C1130" s="164">
        <v>2784233</v>
      </c>
      <c r="D1130" s="164"/>
      <c r="E1130" s="164"/>
      <c r="F1130" s="164"/>
      <c r="G1130" s="164"/>
      <c r="H1130" s="164"/>
      <c r="I1130" s="164"/>
      <c r="J1130" s="164"/>
      <c r="K1130" s="164">
        <v>0</v>
      </c>
      <c r="L1130" s="162">
        <v>0</v>
      </c>
      <c r="M1130" s="164">
        <v>0</v>
      </c>
      <c r="N1130" s="164">
        <v>1391</v>
      </c>
      <c r="O1130" s="164">
        <v>2784233</v>
      </c>
      <c r="P1130" s="162">
        <v>0</v>
      </c>
      <c r="Q1130" s="164">
        <v>0</v>
      </c>
      <c r="R1130" s="165">
        <v>0</v>
      </c>
      <c r="S1130" s="164">
        <v>0</v>
      </c>
      <c r="T1130" s="165">
        <v>0</v>
      </c>
      <c r="U1130" s="246">
        <v>0</v>
      </c>
      <c r="V1130" s="241">
        <f>C1130-'часть 1'!L1138</f>
        <v>728094</v>
      </c>
      <c r="W1130" s="241"/>
      <c r="X1130" s="241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254"/>
    </row>
    <row r="1131" spans="1:35">
      <c r="A1131" s="166">
        <v>78</v>
      </c>
      <c r="B1131" s="163" t="s">
        <v>293</v>
      </c>
      <c r="C1131" s="164">
        <v>2369961</v>
      </c>
      <c r="D1131" s="164"/>
      <c r="E1131" s="164"/>
      <c r="F1131" s="164"/>
      <c r="G1131" s="164"/>
      <c r="H1131" s="164"/>
      <c r="I1131" s="164"/>
      <c r="J1131" s="164"/>
      <c r="K1131" s="164">
        <v>2369961</v>
      </c>
      <c r="L1131" s="162">
        <v>0</v>
      </c>
      <c r="M1131" s="164">
        <v>0</v>
      </c>
      <c r="N1131" s="164">
        <v>0</v>
      </c>
      <c r="O1131" s="164">
        <v>0</v>
      </c>
      <c r="P1131" s="162">
        <v>0</v>
      </c>
      <c r="Q1131" s="164">
        <v>0</v>
      </c>
      <c r="R1131" s="168">
        <v>0</v>
      </c>
      <c r="S1131" s="164">
        <v>0</v>
      </c>
      <c r="T1131" s="165">
        <v>0</v>
      </c>
      <c r="U1131" s="246">
        <v>0</v>
      </c>
      <c r="V1131" s="241">
        <f>C1131-'часть 1'!L1139</f>
        <v>1048605</v>
      </c>
      <c r="W1131" s="241"/>
      <c r="X1131" s="241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254"/>
    </row>
    <row r="1132" spans="1:35">
      <c r="A1132" s="166">
        <v>79</v>
      </c>
      <c r="B1132" s="163" t="s">
        <v>463</v>
      </c>
      <c r="C1132" s="164">
        <v>672819</v>
      </c>
      <c r="D1132" s="164"/>
      <c r="E1132" s="164"/>
      <c r="F1132" s="164"/>
      <c r="G1132" s="164"/>
      <c r="H1132" s="164"/>
      <c r="I1132" s="164"/>
      <c r="J1132" s="164"/>
      <c r="K1132" s="164">
        <v>0</v>
      </c>
      <c r="L1132" s="162">
        <v>0</v>
      </c>
      <c r="M1132" s="164">
        <v>0</v>
      </c>
      <c r="N1132" s="164">
        <v>331.4</v>
      </c>
      <c r="O1132" s="164">
        <v>672819</v>
      </c>
      <c r="P1132" s="162">
        <v>0</v>
      </c>
      <c r="Q1132" s="164">
        <v>0</v>
      </c>
      <c r="R1132" s="168">
        <v>0</v>
      </c>
      <c r="S1132" s="164">
        <v>0</v>
      </c>
      <c r="T1132" s="165">
        <v>0</v>
      </c>
      <c r="U1132" s="246">
        <v>0</v>
      </c>
      <c r="V1132" s="241">
        <f>C1132-'часть 1'!L1140</f>
        <v>-1006459</v>
      </c>
      <c r="W1132" s="241"/>
      <c r="X1132" s="241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254"/>
    </row>
    <row r="1133" spans="1:35">
      <c r="A1133" s="166">
        <v>80</v>
      </c>
      <c r="B1133" s="163" t="s">
        <v>340</v>
      </c>
      <c r="C1133" s="164">
        <v>1651491</v>
      </c>
      <c r="D1133" s="164"/>
      <c r="E1133" s="164"/>
      <c r="F1133" s="164"/>
      <c r="G1133" s="164"/>
      <c r="H1133" s="164"/>
      <c r="I1133" s="164"/>
      <c r="J1133" s="164"/>
      <c r="K1133" s="164">
        <v>1651491</v>
      </c>
      <c r="L1133" s="162">
        <v>0</v>
      </c>
      <c r="M1133" s="164">
        <v>0</v>
      </c>
      <c r="N1133" s="164">
        <v>0</v>
      </c>
      <c r="O1133" s="164">
        <v>0</v>
      </c>
      <c r="P1133" s="162">
        <v>0</v>
      </c>
      <c r="Q1133" s="164">
        <v>0</v>
      </c>
      <c r="R1133" s="165">
        <v>0</v>
      </c>
      <c r="S1133" s="164">
        <v>0</v>
      </c>
      <c r="T1133" s="165">
        <v>0</v>
      </c>
      <c r="U1133" s="246">
        <v>0</v>
      </c>
      <c r="V1133" s="241">
        <f>C1133-'часть 1'!L1141</f>
        <v>550595</v>
      </c>
      <c r="W1133" s="241"/>
      <c r="X1133" s="241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254"/>
    </row>
    <row r="1134" spans="1:35">
      <c r="A1134" s="166">
        <v>81</v>
      </c>
      <c r="B1134" s="163" t="s">
        <v>254</v>
      </c>
      <c r="C1134" s="164">
        <v>1432926</v>
      </c>
      <c r="D1134" s="164"/>
      <c r="E1134" s="164"/>
      <c r="F1134" s="164"/>
      <c r="G1134" s="164"/>
      <c r="H1134" s="164"/>
      <c r="I1134" s="164"/>
      <c r="J1134" s="164"/>
      <c r="K1134" s="164">
        <v>0</v>
      </c>
      <c r="L1134" s="162">
        <v>0</v>
      </c>
      <c r="M1134" s="164">
        <v>0</v>
      </c>
      <c r="N1134" s="164">
        <v>710.73</v>
      </c>
      <c r="O1134" s="164">
        <v>1432926</v>
      </c>
      <c r="P1134" s="162">
        <v>0</v>
      </c>
      <c r="Q1134" s="164">
        <v>0</v>
      </c>
      <c r="R1134" s="168">
        <v>0</v>
      </c>
      <c r="S1134" s="164">
        <v>0</v>
      </c>
      <c r="T1134" s="165">
        <v>0</v>
      </c>
      <c r="U1134" s="246">
        <v>0</v>
      </c>
      <c r="V1134" s="241">
        <f>C1134-'часть 1'!L1142</f>
        <v>-296781</v>
      </c>
      <c r="W1134" s="241"/>
      <c r="X1134" s="241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254"/>
    </row>
    <row r="1135" spans="1:35">
      <c r="A1135" s="166">
        <v>82</v>
      </c>
      <c r="B1135" s="163" t="s">
        <v>343</v>
      </c>
      <c r="C1135" s="164">
        <v>1137886</v>
      </c>
      <c r="D1135" s="164"/>
      <c r="E1135" s="164"/>
      <c r="F1135" s="164"/>
      <c r="G1135" s="164"/>
      <c r="H1135" s="164"/>
      <c r="I1135" s="164"/>
      <c r="J1135" s="164"/>
      <c r="K1135" s="164">
        <v>0</v>
      </c>
      <c r="L1135" s="162">
        <v>0</v>
      </c>
      <c r="M1135" s="164">
        <v>0</v>
      </c>
      <c r="N1135" s="164">
        <v>0</v>
      </c>
      <c r="O1135" s="164">
        <v>0</v>
      </c>
      <c r="P1135" s="162">
        <v>0</v>
      </c>
      <c r="Q1135" s="164">
        <v>0</v>
      </c>
      <c r="R1135" s="167">
        <v>785.5</v>
      </c>
      <c r="S1135" s="164">
        <v>1137886</v>
      </c>
      <c r="T1135" s="165">
        <v>0</v>
      </c>
      <c r="U1135" s="246">
        <v>0</v>
      </c>
      <c r="V1135" s="241">
        <f>C1135-'часть 1'!L1143</f>
        <v>686663.42999999993</v>
      </c>
      <c r="W1135" s="241"/>
      <c r="X1135" s="241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254"/>
    </row>
    <row r="1136" spans="1:35">
      <c r="A1136" s="166">
        <v>83</v>
      </c>
      <c r="B1136" s="163" t="s">
        <v>305</v>
      </c>
      <c r="C1136" s="164">
        <v>1814838</v>
      </c>
      <c r="D1136" s="164"/>
      <c r="E1136" s="164"/>
      <c r="F1136" s="164"/>
      <c r="G1136" s="164"/>
      <c r="H1136" s="164"/>
      <c r="I1136" s="164"/>
      <c r="J1136" s="164"/>
      <c r="K1136" s="164">
        <v>0</v>
      </c>
      <c r="L1136" s="162">
        <v>0</v>
      </c>
      <c r="M1136" s="164">
        <v>0</v>
      </c>
      <c r="N1136" s="164">
        <v>917</v>
      </c>
      <c r="O1136" s="164">
        <v>1814838</v>
      </c>
      <c r="P1136" s="162">
        <v>0</v>
      </c>
      <c r="Q1136" s="164">
        <v>0</v>
      </c>
      <c r="R1136" s="165">
        <v>0</v>
      </c>
      <c r="S1136" s="164">
        <v>0</v>
      </c>
      <c r="T1136" s="165">
        <v>0</v>
      </c>
      <c r="U1136" s="246">
        <v>0</v>
      </c>
      <c r="V1136" s="241">
        <f>C1136-'часть 1'!L1144</f>
        <v>1111162.4300000002</v>
      </c>
      <c r="W1136" s="241"/>
      <c r="X1136" s="241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254"/>
    </row>
    <row r="1137" spans="1:35">
      <c r="A1137" s="166">
        <v>84</v>
      </c>
      <c r="B1137" s="163" t="s">
        <v>345</v>
      </c>
      <c r="C1137" s="164">
        <v>1544359.54</v>
      </c>
      <c r="D1137" s="164"/>
      <c r="E1137" s="164"/>
      <c r="F1137" s="164"/>
      <c r="G1137" s="164"/>
      <c r="H1137" s="164"/>
      <c r="I1137" s="164"/>
      <c r="J1137" s="164"/>
      <c r="K1137" s="164">
        <v>1544359.54</v>
      </c>
      <c r="L1137" s="162">
        <v>0</v>
      </c>
      <c r="M1137" s="164">
        <v>0</v>
      </c>
      <c r="N1137" s="164">
        <v>0</v>
      </c>
      <c r="O1137" s="164">
        <v>0</v>
      </c>
      <c r="P1137" s="162">
        <v>0</v>
      </c>
      <c r="Q1137" s="164">
        <v>0</v>
      </c>
      <c r="R1137" s="165">
        <v>0</v>
      </c>
      <c r="S1137" s="164">
        <v>0</v>
      </c>
      <c r="T1137" s="165">
        <v>0</v>
      </c>
      <c r="U1137" s="246">
        <v>0</v>
      </c>
      <c r="V1137" s="241">
        <f>C1137-'часть 1'!L1145</f>
        <v>490826.32000000007</v>
      </c>
      <c r="W1137" s="241"/>
      <c r="X1137" s="241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255"/>
    </row>
    <row r="1138" spans="1:35" ht="30">
      <c r="A1138" s="166">
        <v>85</v>
      </c>
      <c r="B1138" s="163" t="s">
        <v>454</v>
      </c>
      <c r="C1138" s="164">
        <v>1787034</v>
      </c>
      <c r="D1138" s="164"/>
      <c r="E1138" s="164"/>
      <c r="F1138" s="164"/>
      <c r="G1138" s="164"/>
      <c r="H1138" s="164"/>
      <c r="I1138" s="164"/>
      <c r="J1138" s="164"/>
      <c r="K1138" s="164">
        <v>0</v>
      </c>
      <c r="L1138" s="162">
        <v>1</v>
      </c>
      <c r="M1138" s="164">
        <v>1787034</v>
      </c>
      <c r="N1138" s="164">
        <v>0</v>
      </c>
      <c r="O1138" s="164">
        <v>0</v>
      </c>
      <c r="P1138" s="162">
        <v>0</v>
      </c>
      <c r="Q1138" s="164">
        <v>0</v>
      </c>
      <c r="R1138" s="168">
        <v>0</v>
      </c>
      <c r="S1138" s="164">
        <v>0</v>
      </c>
      <c r="T1138" s="165">
        <v>0</v>
      </c>
      <c r="U1138" s="246">
        <v>0</v>
      </c>
      <c r="V1138" s="241">
        <f>C1138-'часть 1'!L1146</f>
        <v>533296</v>
      </c>
      <c r="W1138" s="241"/>
      <c r="X1138" s="241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254"/>
    </row>
    <row r="1139" spans="1:35" ht="30">
      <c r="A1139" s="166">
        <v>86</v>
      </c>
      <c r="B1139" s="163" t="s">
        <v>455</v>
      </c>
      <c r="C1139" s="164">
        <v>437998.57</v>
      </c>
      <c r="D1139" s="164"/>
      <c r="E1139" s="164"/>
      <c r="F1139" s="164"/>
      <c r="G1139" s="164"/>
      <c r="H1139" s="164"/>
      <c r="I1139" s="164"/>
      <c r="J1139" s="164"/>
      <c r="K1139" s="164">
        <v>437998.57</v>
      </c>
      <c r="L1139" s="162">
        <v>0</v>
      </c>
      <c r="M1139" s="164">
        <v>0</v>
      </c>
      <c r="N1139" s="167">
        <v>0</v>
      </c>
      <c r="O1139" s="164">
        <v>0</v>
      </c>
      <c r="P1139" s="162">
        <v>0</v>
      </c>
      <c r="Q1139" s="164">
        <v>0</v>
      </c>
      <c r="R1139" s="168">
        <v>0</v>
      </c>
      <c r="S1139" s="164">
        <v>0</v>
      </c>
      <c r="T1139" s="165">
        <v>0</v>
      </c>
      <c r="U1139" s="246">
        <v>0</v>
      </c>
      <c r="V1139" s="241">
        <f>C1139-'часть 1'!L1147</f>
        <v>-1432047.43</v>
      </c>
      <c r="W1139" s="241"/>
      <c r="X1139" s="241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254"/>
    </row>
    <row r="1140" spans="1:35" ht="30">
      <c r="A1140" s="166">
        <v>87</v>
      </c>
      <c r="B1140" s="163" t="s">
        <v>456</v>
      </c>
      <c r="C1140" s="164">
        <v>1116228</v>
      </c>
      <c r="D1140" s="164"/>
      <c r="E1140" s="164"/>
      <c r="F1140" s="164"/>
      <c r="G1140" s="164"/>
      <c r="H1140" s="164"/>
      <c r="I1140" s="164"/>
      <c r="J1140" s="164"/>
      <c r="K1140" s="164">
        <v>0</v>
      </c>
      <c r="L1140" s="162">
        <v>0</v>
      </c>
      <c r="M1140" s="164">
        <v>0</v>
      </c>
      <c r="N1140" s="164">
        <v>734</v>
      </c>
      <c r="O1140" s="164">
        <v>1116228</v>
      </c>
      <c r="P1140" s="162">
        <v>0</v>
      </c>
      <c r="Q1140" s="164">
        <v>0</v>
      </c>
      <c r="R1140" s="168">
        <v>0</v>
      </c>
      <c r="S1140" s="164">
        <v>0</v>
      </c>
      <c r="T1140" s="165">
        <v>0</v>
      </c>
      <c r="U1140" s="246">
        <v>0</v>
      </c>
      <c r="V1140" s="241">
        <f>C1140-'часть 1'!L1148</f>
        <v>-2604448</v>
      </c>
      <c r="W1140" s="241"/>
      <c r="X1140" s="241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254"/>
    </row>
    <row r="1141" spans="1:35" ht="30">
      <c r="A1141" s="166">
        <v>88</v>
      </c>
      <c r="B1141" s="163" t="s">
        <v>457</v>
      </c>
      <c r="C1141" s="164">
        <v>1313728</v>
      </c>
      <c r="D1141" s="164"/>
      <c r="E1141" s="164"/>
      <c r="F1141" s="164"/>
      <c r="G1141" s="164"/>
      <c r="H1141" s="164"/>
      <c r="I1141" s="164"/>
      <c r="J1141" s="164"/>
      <c r="K1141" s="164">
        <v>0</v>
      </c>
      <c r="L1141" s="162">
        <v>0</v>
      </c>
      <c r="M1141" s="164">
        <v>0</v>
      </c>
      <c r="N1141" s="167">
        <v>660.7</v>
      </c>
      <c r="O1141" s="164">
        <v>1313728</v>
      </c>
      <c r="P1141" s="162">
        <v>0</v>
      </c>
      <c r="Q1141" s="164">
        <v>0</v>
      </c>
      <c r="R1141" s="165">
        <v>0</v>
      </c>
      <c r="S1141" s="164">
        <v>0</v>
      </c>
      <c r="T1141" s="165">
        <v>0</v>
      </c>
      <c r="U1141" s="246">
        <v>0</v>
      </c>
      <c r="V1141" s="241">
        <f>C1141-'часть 1'!L1149</f>
        <v>-2374180</v>
      </c>
      <c r="W1141" s="241"/>
      <c r="X1141" s="241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254"/>
    </row>
    <row r="1142" spans="1:35">
      <c r="A1142" s="166">
        <v>89</v>
      </c>
      <c r="B1142" s="163" t="s">
        <v>241</v>
      </c>
      <c r="C1142" s="164">
        <v>359651</v>
      </c>
      <c r="D1142" s="164"/>
      <c r="E1142" s="164"/>
      <c r="F1142" s="164"/>
      <c r="G1142" s="164"/>
      <c r="H1142" s="164"/>
      <c r="I1142" s="164"/>
      <c r="J1142" s="164"/>
      <c r="K1142" s="164">
        <v>359651</v>
      </c>
      <c r="L1142" s="162">
        <v>0</v>
      </c>
      <c r="M1142" s="164">
        <v>0</v>
      </c>
      <c r="N1142" s="164">
        <v>0</v>
      </c>
      <c r="O1142" s="164">
        <v>0</v>
      </c>
      <c r="P1142" s="162">
        <v>0</v>
      </c>
      <c r="Q1142" s="164">
        <v>0</v>
      </c>
      <c r="R1142" s="165">
        <v>0</v>
      </c>
      <c r="S1142" s="164">
        <v>0</v>
      </c>
      <c r="T1142" s="165">
        <v>0</v>
      </c>
      <c r="U1142" s="246">
        <v>0</v>
      </c>
      <c r="V1142" s="241">
        <f>C1142-'часть 1'!L1150</f>
        <v>-1401316.35</v>
      </c>
      <c r="W1142" s="241"/>
      <c r="X1142" s="241"/>
      <c r="Y1142" s="9"/>
      <c r="Z1142" s="9"/>
      <c r="AA1142" s="9"/>
      <c r="AB1142" s="9"/>
      <c r="AC1142" s="3"/>
      <c r="AD1142" s="9"/>
      <c r="AE1142" s="9"/>
      <c r="AF1142" s="9"/>
      <c r="AG1142" s="9"/>
      <c r="AH1142" s="9"/>
      <c r="AI1142" s="254"/>
    </row>
    <row r="1143" spans="1:35">
      <c r="A1143" s="166">
        <v>90</v>
      </c>
      <c r="B1143" s="163" t="s">
        <v>233</v>
      </c>
      <c r="C1143" s="164">
        <v>906779</v>
      </c>
      <c r="D1143" s="164"/>
      <c r="E1143" s="164"/>
      <c r="F1143" s="164"/>
      <c r="G1143" s="164"/>
      <c r="H1143" s="164"/>
      <c r="I1143" s="164"/>
      <c r="J1143" s="164"/>
      <c r="K1143" s="164">
        <v>906779</v>
      </c>
      <c r="L1143" s="162">
        <v>0</v>
      </c>
      <c r="M1143" s="164">
        <v>0</v>
      </c>
      <c r="N1143" s="164">
        <v>0</v>
      </c>
      <c r="O1143" s="164">
        <v>0</v>
      </c>
      <c r="P1143" s="162">
        <v>0</v>
      </c>
      <c r="Q1143" s="164">
        <v>0</v>
      </c>
      <c r="R1143" s="165">
        <v>0</v>
      </c>
      <c r="S1143" s="164">
        <v>0</v>
      </c>
      <c r="T1143" s="165">
        <v>0</v>
      </c>
      <c r="U1143" s="246">
        <v>0</v>
      </c>
      <c r="V1143" s="241">
        <f>C1143-'часть 1'!L1151</f>
        <v>24832</v>
      </c>
      <c r="W1143" s="241"/>
      <c r="X1143" s="241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254"/>
    </row>
    <row r="1144" spans="1:35">
      <c r="A1144" s="166">
        <v>91</v>
      </c>
      <c r="B1144" s="163" t="s">
        <v>278</v>
      </c>
      <c r="C1144" s="164">
        <v>886559</v>
      </c>
      <c r="D1144" s="164"/>
      <c r="E1144" s="164"/>
      <c r="F1144" s="164"/>
      <c r="G1144" s="164"/>
      <c r="H1144" s="164"/>
      <c r="I1144" s="164"/>
      <c r="J1144" s="164"/>
      <c r="K1144" s="164">
        <v>0</v>
      </c>
      <c r="L1144" s="162">
        <v>0</v>
      </c>
      <c r="M1144" s="164">
        <v>0</v>
      </c>
      <c r="N1144" s="164">
        <v>440</v>
      </c>
      <c r="O1144" s="167">
        <v>886559</v>
      </c>
      <c r="P1144" s="162">
        <v>0</v>
      </c>
      <c r="Q1144" s="164">
        <v>0</v>
      </c>
      <c r="R1144" s="165">
        <v>0</v>
      </c>
      <c r="S1144" s="164">
        <v>0</v>
      </c>
      <c r="T1144" s="165">
        <v>0</v>
      </c>
      <c r="U1144" s="246">
        <v>0</v>
      </c>
      <c r="V1144" s="241">
        <f>C1144-'часть 1'!L1152</f>
        <v>368820</v>
      </c>
      <c r="W1144" s="241"/>
      <c r="X1144" s="241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254"/>
    </row>
    <row r="1145" spans="1:35">
      <c r="A1145" s="166">
        <v>92</v>
      </c>
      <c r="B1145" s="163" t="s">
        <v>347</v>
      </c>
      <c r="C1145" s="164">
        <v>642210</v>
      </c>
      <c r="D1145" s="164"/>
      <c r="E1145" s="164"/>
      <c r="F1145" s="164"/>
      <c r="G1145" s="164"/>
      <c r="H1145" s="164"/>
      <c r="I1145" s="164"/>
      <c r="J1145" s="164"/>
      <c r="K1145" s="164">
        <v>0</v>
      </c>
      <c r="L1145" s="162">
        <v>0</v>
      </c>
      <c r="M1145" s="164">
        <v>0</v>
      </c>
      <c r="N1145" s="164">
        <v>0</v>
      </c>
      <c r="O1145" s="164">
        <v>0</v>
      </c>
      <c r="P1145" s="162">
        <v>0</v>
      </c>
      <c r="Q1145" s="164">
        <v>0</v>
      </c>
      <c r="R1145" s="164">
        <v>440</v>
      </c>
      <c r="S1145" s="164">
        <v>642210</v>
      </c>
      <c r="T1145" s="165">
        <v>0</v>
      </c>
      <c r="U1145" s="246">
        <v>0</v>
      </c>
      <c r="V1145" s="241">
        <f>C1145-'часть 1'!L1153</f>
        <v>-1086685</v>
      </c>
      <c r="W1145" s="241"/>
      <c r="X1145" s="241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254"/>
    </row>
    <row r="1146" spans="1:35">
      <c r="A1146" s="166">
        <v>93</v>
      </c>
      <c r="B1146" s="163" t="s">
        <v>266</v>
      </c>
      <c r="C1146" s="164">
        <v>1952489</v>
      </c>
      <c r="D1146" s="164"/>
      <c r="E1146" s="164"/>
      <c r="F1146" s="164"/>
      <c r="G1146" s="164"/>
      <c r="H1146" s="164"/>
      <c r="I1146" s="164"/>
      <c r="J1146" s="164"/>
      <c r="K1146" s="164">
        <v>0</v>
      </c>
      <c r="L1146" s="162">
        <v>0</v>
      </c>
      <c r="M1146" s="164">
        <v>0</v>
      </c>
      <c r="N1146" s="164">
        <v>965</v>
      </c>
      <c r="O1146" s="164">
        <v>1952489</v>
      </c>
      <c r="P1146" s="162">
        <v>0</v>
      </c>
      <c r="Q1146" s="164">
        <v>0</v>
      </c>
      <c r="R1146" s="168">
        <v>0</v>
      </c>
      <c r="S1146" s="164">
        <v>0</v>
      </c>
      <c r="T1146" s="165">
        <v>0</v>
      </c>
      <c r="U1146" s="246">
        <v>0</v>
      </c>
      <c r="V1146" s="241">
        <f>C1146-'часть 1'!L1154</f>
        <v>1269960</v>
      </c>
      <c r="W1146" s="241"/>
      <c r="X1146" s="241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254"/>
    </row>
    <row r="1147" spans="1:35">
      <c r="A1147" s="166">
        <v>94</v>
      </c>
      <c r="B1147" s="163" t="s">
        <v>310</v>
      </c>
      <c r="C1147" s="164">
        <v>15157748</v>
      </c>
      <c r="D1147" s="164"/>
      <c r="E1147" s="164"/>
      <c r="F1147" s="164"/>
      <c r="G1147" s="164"/>
      <c r="H1147" s="164"/>
      <c r="I1147" s="164"/>
      <c r="J1147" s="164"/>
      <c r="K1147" s="164">
        <v>0</v>
      </c>
      <c r="L1147" s="162">
        <v>8</v>
      </c>
      <c r="M1147" s="164">
        <v>15157748</v>
      </c>
      <c r="N1147" s="164">
        <v>0</v>
      </c>
      <c r="O1147" s="164">
        <v>0</v>
      </c>
      <c r="P1147" s="162">
        <v>0</v>
      </c>
      <c r="Q1147" s="164">
        <v>0</v>
      </c>
      <c r="R1147" s="165">
        <v>0</v>
      </c>
      <c r="S1147" s="164">
        <v>0</v>
      </c>
      <c r="T1147" s="165">
        <v>0</v>
      </c>
      <c r="U1147" s="246">
        <v>0</v>
      </c>
      <c r="V1147" s="241">
        <f>C1147-'часть 1'!L1155</f>
        <v>14575591</v>
      </c>
      <c r="W1147" s="241"/>
      <c r="X1147" s="241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254"/>
    </row>
    <row r="1148" spans="1:35">
      <c r="A1148" s="166">
        <v>95</v>
      </c>
      <c r="B1148" s="163" t="s">
        <v>281</v>
      </c>
      <c r="C1148" s="164">
        <v>2542298.37</v>
      </c>
      <c r="D1148" s="164"/>
      <c r="E1148" s="164"/>
      <c r="F1148" s="164"/>
      <c r="G1148" s="164"/>
      <c r="H1148" s="164"/>
      <c r="I1148" s="164"/>
      <c r="J1148" s="164"/>
      <c r="K1148" s="164">
        <v>0</v>
      </c>
      <c r="L1148" s="162">
        <v>0</v>
      </c>
      <c r="M1148" s="164">
        <v>0</v>
      </c>
      <c r="N1148" s="164">
        <v>1350</v>
      </c>
      <c r="O1148" s="164">
        <v>2542298.37</v>
      </c>
      <c r="P1148" s="162">
        <v>0</v>
      </c>
      <c r="Q1148" s="164">
        <v>0</v>
      </c>
      <c r="R1148" s="165">
        <v>0</v>
      </c>
      <c r="S1148" s="164">
        <v>0</v>
      </c>
      <c r="T1148" s="165">
        <v>0</v>
      </c>
      <c r="U1148" s="246">
        <v>0</v>
      </c>
      <c r="V1148" s="241">
        <f>C1148-'часть 1'!L1156</f>
        <v>1840594.37</v>
      </c>
      <c r="W1148" s="241"/>
      <c r="X1148" s="241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254"/>
    </row>
    <row r="1149" spans="1:35">
      <c r="A1149" s="166">
        <v>96</v>
      </c>
      <c r="B1149" s="163" t="s">
        <v>248</v>
      </c>
      <c r="C1149" s="164">
        <v>1114586</v>
      </c>
      <c r="D1149" s="164"/>
      <c r="E1149" s="164"/>
      <c r="F1149" s="164"/>
      <c r="G1149" s="164"/>
      <c r="H1149" s="164"/>
      <c r="I1149" s="164"/>
      <c r="J1149" s="164"/>
      <c r="K1149" s="164">
        <v>0</v>
      </c>
      <c r="L1149" s="162">
        <v>0</v>
      </c>
      <c r="M1149" s="164">
        <v>0</v>
      </c>
      <c r="N1149" s="164">
        <v>550</v>
      </c>
      <c r="O1149" s="164">
        <v>1114586</v>
      </c>
      <c r="P1149" s="162">
        <v>0</v>
      </c>
      <c r="Q1149" s="164">
        <v>0</v>
      </c>
      <c r="R1149" s="168">
        <v>0</v>
      </c>
      <c r="S1149" s="164">
        <v>0</v>
      </c>
      <c r="T1149" s="165">
        <v>0</v>
      </c>
      <c r="U1149" s="246">
        <v>0</v>
      </c>
      <c r="V1149" s="241">
        <f>C1149-'часть 1'!L1157</f>
        <v>-854563</v>
      </c>
      <c r="W1149" s="241"/>
      <c r="X1149" s="241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254"/>
    </row>
    <row r="1150" spans="1:35">
      <c r="A1150" s="166">
        <v>97</v>
      </c>
      <c r="B1150" s="163" t="s">
        <v>301</v>
      </c>
      <c r="C1150" s="164">
        <v>5623853</v>
      </c>
      <c r="D1150" s="164"/>
      <c r="E1150" s="164"/>
      <c r="F1150" s="164"/>
      <c r="G1150" s="164"/>
      <c r="H1150" s="164"/>
      <c r="I1150" s="164"/>
      <c r="J1150" s="164"/>
      <c r="K1150" s="164">
        <v>0</v>
      </c>
      <c r="L1150" s="162">
        <v>3</v>
      </c>
      <c r="M1150" s="170">
        <v>5623853</v>
      </c>
      <c r="N1150" s="164">
        <v>0</v>
      </c>
      <c r="O1150" s="164">
        <v>0</v>
      </c>
      <c r="P1150" s="162">
        <v>0</v>
      </c>
      <c r="Q1150" s="164">
        <v>0</v>
      </c>
      <c r="R1150" s="168">
        <v>0</v>
      </c>
      <c r="S1150" s="164">
        <v>0</v>
      </c>
      <c r="T1150" s="165">
        <v>0</v>
      </c>
      <c r="U1150" s="246">
        <v>0</v>
      </c>
      <c r="V1150" s="241">
        <f>C1150-'часть 1'!L1158</f>
        <v>4600765</v>
      </c>
      <c r="W1150" s="241"/>
      <c r="X1150" s="241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254"/>
    </row>
    <row r="1151" spans="1:35">
      <c r="A1151" s="166">
        <v>98</v>
      </c>
      <c r="B1151" s="163" t="s">
        <v>244</v>
      </c>
      <c r="C1151" s="164">
        <v>2721106</v>
      </c>
      <c r="D1151" s="164"/>
      <c r="E1151" s="164"/>
      <c r="F1151" s="164"/>
      <c r="G1151" s="164"/>
      <c r="H1151" s="164"/>
      <c r="I1151" s="164"/>
      <c r="J1151" s="164"/>
      <c r="K1151" s="164">
        <v>0</v>
      </c>
      <c r="L1151" s="162">
        <v>0</v>
      </c>
      <c r="M1151" s="164">
        <v>0</v>
      </c>
      <c r="N1151" s="164">
        <v>1371</v>
      </c>
      <c r="O1151" s="164">
        <v>2721106</v>
      </c>
      <c r="P1151" s="162">
        <v>0</v>
      </c>
      <c r="Q1151" s="164">
        <v>0</v>
      </c>
      <c r="R1151" s="165">
        <v>0</v>
      </c>
      <c r="S1151" s="164">
        <v>0</v>
      </c>
      <c r="T1151" s="165">
        <v>0</v>
      </c>
      <c r="U1151" s="246">
        <v>0</v>
      </c>
      <c r="V1151" s="241">
        <f>C1151-'часть 1'!L1159</f>
        <v>-613464</v>
      </c>
      <c r="W1151" s="241"/>
      <c r="X1151" s="241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254"/>
    </row>
    <row r="1152" spans="1:35">
      <c r="A1152" s="166">
        <v>99</v>
      </c>
      <c r="B1152" s="163" t="s">
        <v>288</v>
      </c>
      <c r="C1152" s="164">
        <v>9789326.5500000007</v>
      </c>
      <c r="D1152" s="164"/>
      <c r="E1152" s="164"/>
      <c r="F1152" s="164"/>
      <c r="G1152" s="164"/>
      <c r="H1152" s="164"/>
      <c r="I1152" s="164"/>
      <c r="J1152" s="164"/>
      <c r="K1152" s="164">
        <v>6592990.5599999996</v>
      </c>
      <c r="L1152" s="162">
        <v>0</v>
      </c>
      <c r="M1152" s="164">
        <v>0</v>
      </c>
      <c r="N1152" s="164">
        <v>2090</v>
      </c>
      <c r="O1152" s="164">
        <v>3196335.99</v>
      </c>
      <c r="P1152" s="162">
        <v>0</v>
      </c>
      <c r="Q1152" s="164">
        <v>0</v>
      </c>
      <c r="R1152" s="165">
        <v>0</v>
      </c>
      <c r="S1152" s="164">
        <v>0</v>
      </c>
      <c r="T1152" s="165">
        <v>0</v>
      </c>
      <c r="U1152" s="246">
        <v>0</v>
      </c>
      <c r="V1152" s="241">
        <f>C1152-'часть 1'!L1160</f>
        <v>8661952.2200000007</v>
      </c>
      <c r="W1152" s="241"/>
      <c r="X1152" s="241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254"/>
    </row>
    <row r="1153" spans="1:35">
      <c r="A1153" s="166">
        <v>100</v>
      </c>
      <c r="B1153" s="163" t="s">
        <v>249</v>
      </c>
      <c r="C1153" s="164">
        <v>1615074</v>
      </c>
      <c r="D1153" s="164"/>
      <c r="E1153" s="164"/>
      <c r="F1153" s="164"/>
      <c r="G1153" s="164"/>
      <c r="H1153" s="164"/>
      <c r="I1153" s="164"/>
      <c r="J1153" s="164"/>
      <c r="K1153" s="164" t="e">
        <f>#REF!</f>
        <v>#REF!</v>
      </c>
      <c r="L1153" s="162">
        <v>0</v>
      </c>
      <c r="M1153" s="164">
        <v>0</v>
      </c>
      <c r="N1153" s="164">
        <v>0</v>
      </c>
      <c r="O1153" s="164">
        <v>0</v>
      </c>
      <c r="P1153" s="162">
        <v>0</v>
      </c>
      <c r="Q1153" s="164">
        <v>0</v>
      </c>
      <c r="R1153" s="168">
        <v>0</v>
      </c>
      <c r="S1153" s="164">
        <v>0</v>
      </c>
      <c r="T1153" s="165">
        <v>0</v>
      </c>
      <c r="U1153" s="246">
        <v>0</v>
      </c>
      <c r="V1153" s="241">
        <f>C1153-'часть 1'!L1161</f>
        <v>453618</v>
      </c>
      <c r="W1153" s="241"/>
      <c r="X1153" s="241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254"/>
    </row>
    <row r="1154" spans="1:35">
      <c r="A1154" s="166">
        <v>101</v>
      </c>
      <c r="B1154" s="163" t="s">
        <v>265</v>
      </c>
      <c r="C1154" s="164">
        <v>824390</v>
      </c>
      <c r="D1154" s="164"/>
      <c r="E1154" s="164"/>
      <c r="F1154" s="164"/>
      <c r="G1154" s="164"/>
      <c r="H1154" s="164"/>
      <c r="I1154" s="164"/>
      <c r="J1154" s="164"/>
      <c r="K1154" s="164">
        <v>824390</v>
      </c>
      <c r="L1154" s="162">
        <v>0</v>
      </c>
      <c r="M1154" s="164">
        <v>0</v>
      </c>
      <c r="N1154" s="164">
        <v>0</v>
      </c>
      <c r="O1154" s="164">
        <v>0</v>
      </c>
      <c r="P1154" s="162">
        <v>0</v>
      </c>
      <c r="Q1154" s="164">
        <v>0</v>
      </c>
      <c r="R1154" s="165">
        <v>0</v>
      </c>
      <c r="S1154" s="164">
        <v>0</v>
      </c>
      <c r="T1154" s="165">
        <v>0</v>
      </c>
      <c r="U1154" s="246">
        <v>0</v>
      </c>
      <c r="V1154" s="241">
        <f>C1154-'часть 1'!L1162</f>
        <v>-372860.23</v>
      </c>
      <c r="W1154" s="241"/>
      <c r="X1154" s="241"/>
      <c r="Y1154" s="9"/>
      <c r="Z1154" s="9"/>
      <c r="AA1154" s="3"/>
      <c r="AB1154" s="9"/>
      <c r="AC1154" s="9"/>
      <c r="AD1154" s="9"/>
      <c r="AE1154" s="9"/>
      <c r="AF1154" s="9"/>
      <c r="AG1154" s="9"/>
      <c r="AH1154" s="9"/>
      <c r="AI1154" s="254"/>
    </row>
    <row r="1155" spans="1:35">
      <c r="A1155" s="166">
        <v>102</v>
      </c>
      <c r="B1155" s="163" t="s">
        <v>292</v>
      </c>
      <c r="C1155" s="164">
        <v>2661189</v>
      </c>
      <c r="D1155" s="164"/>
      <c r="E1155" s="164"/>
      <c r="F1155" s="164"/>
      <c r="G1155" s="164"/>
      <c r="H1155" s="164"/>
      <c r="I1155" s="164"/>
      <c r="J1155" s="164"/>
      <c r="K1155" s="164">
        <v>0</v>
      </c>
      <c r="L1155" s="162">
        <v>0</v>
      </c>
      <c r="M1155" s="164">
        <v>0</v>
      </c>
      <c r="N1155" s="164">
        <v>1338.7</v>
      </c>
      <c r="O1155" s="164">
        <v>2661189</v>
      </c>
      <c r="P1155" s="162">
        <v>0</v>
      </c>
      <c r="Q1155" s="164">
        <v>0</v>
      </c>
      <c r="R1155" s="168">
        <v>0</v>
      </c>
      <c r="S1155" s="164">
        <v>0</v>
      </c>
      <c r="T1155" s="165">
        <v>0</v>
      </c>
      <c r="U1155" s="246">
        <v>0</v>
      </c>
      <c r="V1155" s="241">
        <f>C1155-'часть 1'!L1163</f>
        <v>-123044</v>
      </c>
      <c r="W1155" s="241"/>
      <c r="X1155" s="241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254"/>
    </row>
    <row r="1156" spans="1:35">
      <c r="A1156" s="166">
        <v>103</v>
      </c>
      <c r="B1156" s="163" t="s">
        <v>276</v>
      </c>
      <c r="C1156" s="164">
        <v>278220</v>
      </c>
      <c r="D1156" s="164"/>
      <c r="E1156" s="164"/>
      <c r="F1156" s="164"/>
      <c r="G1156" s="164"/>
      <c r="H1156" s="164"/>
      <c r="I1156" s="164"/>
      <c r="J1156" s="164"/>
      <c r="K1156" s="164">
        <v>278220</v>
      </c>
      <c r="L1156" s="162">
        <v>0</v>
      </c>
      <c r="M1156" s="164">
        <v>0</v>
      </c>
      <c r="N1156" s="164">
        <v>0</v>
      </c>
      <c r="O1156" s="164">
        <v>0</v>
      </c>
      <c r="P1156" s="162">
        <v>0</v>
      </c>
      <c r="Q1156" s="164">
        <v>0</v>
      </c>
      <c r="R1156" s="165">
        <v>0</v>
      </c>
      <c r="S1156" s="164">
        <v>0</v>
      </c>
      <c r="T1156" s="165">
        <v>0</v>
      </c>
      <c r="U1156" s="246">
        <v>0</v>
      </c>
      <c r="V1156" s="241">
        <f>C1156-'часть 1'!L1164</f>
        <v>-2091741</v>
      </c>
      <c r="W1156" s="241"/>
      <c r="X1156" s="241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254"/>
    </row>
    <row r="1157" spans="1:35">
      <c r="A1157" s="166">
        <v>104</v>
      </c>
      <c r="B1157" s="163" t="s">
        <v>229</v>
      </c>
      <c r="C1157" s="164">
        <v>2511472</v>
      </c>
      <c r="D1157" s="164"/>
      <c r="E1157" s="164"/>
      <c r="F1157" s="164"/>
      <c r="G1157" s="164"/>
      <c r="H1157" s="164"/>
      <c r="I1157" s="164"/>
      <c r="J1157" s="164"/>
      <c r="K1157" s="164">
        <v>2511472</v>
      </c>
      <c r="L1157" s="162">
        <v>0</v>
      </c>
      <c r="M1157" s="164">
        <v>0</v>
      </c>
      <c r="N1157" s="164">
        <v>0</v>
      </c>
      <c r="O1157" s="164">
        <v>0</v>
      </c>
      <c r="P1157" s="162">
        <v>0</v>
      </c>
      <c r="Q1157" s="164">
        <v>0</v>
      </c>
      <c r="R1157" s="165">
        <v>0</v>
      </c>
      <c r="S1157" s="164">
        <v>0</v>
      </c>
      <c r="T1157" s="165">
        <v>0</v>
      </c>
      <c r="U1157" s="246">
        <v>0</v>
      </c>
      <c r="V1157" s="241">
        <f>C1157-'часть 1'!L1165</f>
        <v>1838653</v>
      </c>
      <c r="W1157" s="241"/>
      <c r="X1157" s="241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254"/>
    </row>
    <row r="1158" spans="1:35" ht="30">
      <c r="A1158" s="166">
        <v>105</v>
      </c>
      <c r="B1158" s="163" t="s">
        <v>309</v>
      </c>
      <c r="C1158" s="164">
        <v>871988</v>
      </c>
      <c r="D1158" s="164"/>
      <c r="E1158" s="164"/>
      <c r="F1158" s="164"/>
      <c r="G1158" s="164"/>
      <c r="H1158" s="164"/>
      <c r="I1158" s="164"/>
      <c r="J1158" s="164"/>
      <c r="K1158" s="164">
        <v>0</v>
      </c>
      <c r="L1158" s="162">
        <v>0</v>
      </c>
      <c r="M1158" s="164">
        <v>0</v>
      </c>
      <c r="N1158" s="164">
        <v>438.23</v>
      </c>
      <c r="O1158" s="164">
        <v>871988</v>
      </c>
      <c r="P1158" s="162">
        <v>0</v>
      </c>
      <c r="Q1158" s="164">
        <v>0</v>
      </c>
      <c r="R1158" s="165">
        <v>0</v>
      </c>
      <c r="S1158" s="164">
        <v>0</v>
      </c>
      <c r="T1158" s="165">
        <v>0</v>
      </c>
      <c r="U1158" s="246">
        <v>0</v>
      </c>
      <c r="V1158" s="241">
        <f>C1158-'часть 1'!L1166</f>
        <v>-779503</v>
      </c>
      <c r="W1158" s="241"/>
      <c r="X1158" s="241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254"/>
    </row>
    <row r="1159" spans="1:35" ht="30">
      <c r="A1159" s="166">
        <v>106</v>
      </c>
      <c r="B1159" s="163" t="s">
        <v>308</v>
      </c>
      <c r="C1159" s="164">
        <v>2113335</v>
      </c>
      <c r="D1159" s="164"/>
      <c r="E1159" s="164"/>
      <c r="F1159" s="164"/>
      <c r="G1159" s="164"/>
      <c r="H1159" s="164"/>
      <c r="I1159" s="164"/>
      <c r="J1159" s="164"/>
      <c r="K1159" s="164" t="e">
        <f>#REF!</f>
        <v>#REF!</v>
      </c>
      <c r="L1159" s="162">
        <v>0</v>
      </c>
      <c r="M1159" s="164">
        <v>0</v>
      </c>
      <c r="N1159" s="164">
        <v>0</v>
      </c>
      <c r="O1159" s="164">
        <v>0</v>
      </c>
      <c r="P1159" s="162">
        <v>0</v>
      </c>
      <c r="Q1159" s="164">
        <v>0</v>
      </c>
      <c r="R1159" s="165">
        <v>0</v>
      </c>
      <c r="S1159" s="164">
        <v>0</v>
      </c>
      <c r="T1159" s="165">
        <v>0</v>
      </c>
      <c r="U1159" s="246">
        <v>0</v>
      </c>
      <c r="V1159" s="241">
        <f>C1159-'часть 1'!L1167</f>
        <v>680409</v>
      </c>
      <c r="W1159" s="241"/>
      <c r="X1159" s="241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254"/>
    </row>
    <row r="1160" spans="1:35">
      <c r="A1160" s="166">
        <v>107</v>
      </c>
      <c r="B1160" s="163" t="s">
        <v>296</v>
      </c>
      <c r="C1160" s="164">
        <v>996585</v>
      </c>
      <c r="D1160" s="164"/>
      <c r="E1160" s="164"/>
      <c r="F1160" s="164"/>
      <c r="G1160" s="164"/>
      <c r="H1160" s="164"/>
      <c r="I1160" s="164"/>
      <c r="J1160" s="164"/>
      <c r="K1160" s="164">
        <v>0</v>
      </c>
      <c r="L1160" s="162">
        <v>0</v>
      </c>
      <c r="M1160" s="164">
        <v>0</v>
      </c>
      <c r="N1160" s="164">
        <v>496.2</v>
      </c>
      <c r="O1160" s="164">
        <v>996585</v>
      </c>
      <c r="P1160" s="162">
        <v>0</v>
      </c>
      <c r="Q1160" s="164">
        <v>0</v>
      </c>
      <c r="R1160" s="165">
        <v>0</v>
      </c>
      <c r="S1160" s="164">
        <v>0</v>
      </c>
      <c r="T1160" s="165">
        <v>0</v>
      </c>
      <c r="U1160" s="246">
        <v>0</v>
      </c>
      <c r="V1160" s="241">
        <f>C1160-'часть 1'!L1168</f>
        <v>-141301</v>
      </c>
      <c r="W1160" s="241"/>
      <c r="X1160" s="241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254"/>
    </row>
    <row r="1161" spans="1:35">
      <c r="A1161" s="166">
        <v>108</v>
      </c>
      <c r="B1161" s="163" t="s">
        <v>240</v>
      </c>
      <c r="C1161" s="164">
        <v>637739</v>
      </c>
      <c r="D1161" s="164"/>
      <c r="E1161" s="164"/>
      <c r="F1161" s="164"/>
      <c r="G1161" s="164"/>
      <c r="H1161" s="164"/>
      <c r="I1161" s="164"/>
      <c r="J1161" s="164"/>
      <c r="K1161" s="164">
        <v>637739</v>
      </c>
      <c r="L1161" s="162">
        <v>0</v>
      </c>
      <c r="M1161" s="164">
        <v>0</v>
      </c>
      <c r="N1161" s="164">
        <v>0</v>
      </c>
      <c r="O1161" s="164">
        <v>0</v>
      </c>
      <c r="P1161" s="162">
        <v>0</v>
      </c>
      <c r="Q1161" s="164">
        <v>0</v>
      </c>
      <c r="R1161" s="165">
        <v>0</v>
      </c>
      <c r="S1161" s="164">
        <v>0</v>
      </c>
      <c r="T1161" s="165">
        <v>0</v>
      </c>
      <c r="U1161" s="246">
        <v>0</v>
      </c>
      <c r="V1161" s="241">
        <f>C1161-'часть 1'!L1169</f>
        <v>-1177099</v>
      </c>
      <c r="W1161" s="241"/>
      <c r="X1161" s="241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254"/>
    </row>
    <row r="1162" spans="1:35">
      <c r="A1162" s="166">
        <v>109</v>
      </c>
      <c r="B1162" s="163" t="s">
        <v>243</v>
      </c>
      <c r="C1162" s="164">
        <v>1357217</v>
      </c>
      <c r="D1162" s="164"/>
      <c r="E1162" s="164"/>
      <c r="F1162" s="164"/>
      <c r="G1162" s="164"/>
      <c r="H1162" s="164"/>
      <c r="I1162" s="164"/>
      <c r="J1162" s="164"/>
      <c r="K1162" s="164">
        <v>0</v>
      </c>
      <c r="L1162" s="162">
        <v>0</v>
      </c>
      <c r="M1162" s="164">
        <v>0</v>
      </c>
      <c r="N1162" s="164">
        <v>675</v>
      </c>
      <c r="O1162" s="164">
        <v>1357217</v>
      </c>
      <c r="P1162" s="162">
        <v>0</v>
      </c>
      <c r="Q1162" s="164">
        <v>0</v>
      </c>
      <c r="R1162" s="165">
        <v>0</v>
      </c>
      <c r="S1162" s="164">
        <v>0</v>
      </c>
      <c r="T1162" s="165">
        <v>0</v>
      </c>
      <c r="U1162" s="246">
        <v>0</v>
      </c>
      <c r="V1162" s="241">
        <f>C1162-'часть 1'!L1170</f>
        <v>-187142.54000000004</v>
      </c>
      <c r="W1162" s="241"/>
      <c r="X1162" s="241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254"/>
    </row>
    <row r="1163" spans="1:35">
      <c r="A1163" s="166">
        <v>110</v>
      </c>
      <c r="B1163" s="163" t="s">
        <v>269</v>
      </c>
      <c r="C1163" s="164">
        <v>836226</v>
      </c>
      <c r="D1163" s="164"/>
      <c r="E1163" s="164"/>
      <c r="F1163" s="164"/>
      <c r="G1163" s="164"/>
      <c r="H1163" s="164"/>
      <c r="I1163" s="164"/>
      <c r="J1163" s="164"/>
      <c r="K1163" s="164">
        <v>0</v>
      </c>
      <c r="L1163" s="162">
        <v>0</v>
      </c>
      <c r="M1163" s="164">
        <v>0</v>
      </c>
      <c r="N1163" s="164">
        <v>414.1</v>
      </c>
      <c r="O1163" s="167">
        <v>836226</v>
      </c>
      <c r="P1163" s="162">
        <v>0</v>
      </c>
      <c r="Q1163" s="164">
        <v>0</v>
      </c>
      <c r="R1163" s="165">
        <v>0</v>
      </c>
      <c r="S1163" s="164">
        <v>0</v>
      </c>
      <c r="T1163" s="165">
        <v>0</v>
      </c>
      <c r="U1163" s="246">
        <v>0</v>
      </c>
      <c r="V1163" s="241">
        <f>C1163-'часть 1'!L1171</f>
        <v>-950808</v>
      </c>
      <c r="W1163" s="241"/>
      <c r="X1163" s="241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254"/>
    </row>
    <row r="1164" spans="1:35">
      <c r="A1164" s="166">
        <v>111</v>
      </c>
      <c r="B1164" s="163" t="s">
        <v>299</v>
      </c>
      <c r="C1164" s="164">
        <v>640078</v>
      </c>
      <c r="D1164" s="164"/>
      <c r="E1164" s="164"/>
      <c r="F1164" s="164"/>
      <c r="G1164" s="164"/>
      <c r="H1164" s="164"/>
      <c r="I1164" s="164"/>
      <c r="J1164" s="164"/>
      <c r="K1164" s="164">
        <v>640078</v>
      </c>
      <c r="L1164" s="162">
        <v>0</v>
      </c>
      <c r="M1164" s="164">
        <v>0</v>
      </c>
      <c r="N1164" s="164">
        <v>0</v>
      </c>
      <c r="O1164" s="164">
        <v>0</v>
      </c>
      <c r="P1164" s="162">
        <v>0</v>
      </c>
      <c r="Q1164" s="164">
        <v>0</v>
      </c>
      <c r="R1164" s="165">
        <v>0</v>
      </c>
      <c r="S1164" s="164">
        <v>0</v>
      </c>
      <c r="T1164" s="165">
        <v>0</v>
      </c>
      <c r="U1164" s="246">
        <v>0</v>
      </c>
      <c r="V1164" s="241">
        <f>C1164-'часть 1'!L1172</f>
        <v>202079.43</v>
      </c>
      <c r="W1164" s="241"/>
      <c r="X1164" s="241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254"/>
    </row>
    <row r="1165" spans="1:35">
      <c r="A1165" s="166">
        <v>112</v>
      </c>
      <c r="B1165" s="163" t="s">
        <v>236</v>
      </c>
      <c r="C1165" s="164">
        <v>202649</v>
      </c>
      <c r="D1165" s="164"/>
      <c r="E1165" s="164"/>
      <c r="F1165" s="164"/>
      <c r="G1165" s="164"/>
      <c r="H1165" s="164"/>
      <c r="I1165" s="164"/>
      <c r="J1165" s="164"/>
      <c r="K1165" s="164" t="e">
        <f>#REF!</f>
        <v>#REF!</v>
      </c>
      <c r="L1165" s="162">
        <v>0</v>
      </c>
      <c r="M1165" s="164">
        <v>0</v>
      </c>
      <c r="N1165" s="164">
        <v>0</v>
      </c>
      <c r="O1165" s="164">
        <v>0</v>
      </c>
      <c r="P1165" s="162">
        <v>0</v>
      </c>
      <c r="Q1165" s="164">
        <v>0</v>
      </c>
      <c r="R1165" s="168">
        <v>0</v>
      </c>
      <c r="S1165" s="164">
        <v>0</v>
      </c>
      <c r="T1165" s="165">
        <v>0</v>
      </c>
      <c r="U1165" s="246">
        <v>0</v>
      </c>
      <c r="V1165" s="241">
        <f>C1165-'часть 1'!L1173</f>
        <v>-913579</v>
      </c>
      <c r="W1165" s="241"/>
      <c r="X1165" s="241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254"/>
    </row>
    <row r="1166" spans="1:35">
      <c r="A1166" s="166">
        <v>113</v>
      </c>
      <c r="B1166" s="163" t="s">
        <v>285</v>
      </c>
      <c r="C1166" s="164">
        <v>7892437</v>
      </c>
      <c r="D1166" s="164"/>
      <c r="E1166" s="164"/>
      <c r="F1166" s="164"/>
      <c r="G1166" s="164"/>
      <c r="H1166" s="164"/>
      <c r="I1166" s="164"/>
      <c r="J1166" s="164"/>
      <c r="K1166" s="164">
        <v>7892437</v>
      </c>
      <c r="L1166" s="162">
        <v>0</v>
      </c>
      <c r="M1166" s="164">
        <v>0</v>
      </c>
      <c r="N1166" s="164">
        <v>0</v>
      </c>
      <c r="O1166" s="164">
        <v>0</v>
      </c>
      <c r="P1166" s="162">
        <v>0</v>
      </c>
      <c r="Q1166" s="164">
        <v>0</v>
      </c>
      <c r="R1166" s="165">
        <v>0</v>
      </c>
      <c r="S1166" s="164">
        <v>0</v>
      </c>
      <c r="T1166" s="165">
        <v>0</v>
      </c>
      <c r="U1166" s="246">
        <v>0</v>
      </c>
      <c r="V1166" s="241">
        <f>C1166-'часть 1'!L1174</f>
        <v>6578709</v>
      </c>
      <c r="W1166" s="241"/>
      <c r="X1166" s="241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254"/>
    </row>
    <row r="1167" spans="1:35">
      <c r="A1167" s="166">
        <v>114</v>
      </c>
      <c r="B1167" s="163" t="s">
        <v>237</v>
      </c>
      <c r="C1167" s="164">
        <v>523389</v>
      </c>
      <c r="D1167" s="164"/>
      <c r="E1167" s="164"/>
      <c r="F1167" s="164"/>
      <c r="G1167" s="164"/>
      <c r="H1167" s="164"/>
      <c r="I1167" s="164"/>
      <c r="J1167" s="164"/>
      <c r="K1167" s="164">
        <v>0</v>
      </c>
      <c r="L1167" s="162">
        <v>0</v>
      </c>
      <c r="M1167" s="164">
        <v>0</v>
      </c>
      <c r="N1167" s="164">
        <v>255</v>
      </c>
      <c r="O1167" s="164">
        <v>523389</v>
      </c>
      <c r="P1167" s="162">
        <v>0</v>
      </c>
      <c r="Q1167" s="164">
        <v>0</v>
      </c>
      <c r="R1167" s="168">
        <v>0</v>
      </c>
      <c r="S1167" s="164">
        <v>0</v>
      </c>
      <c r="T1167" s="165">
        <v>0</v>
      </c>
      <c r="U1167" s="246">
        <v>0</v>
      </c>
      <c r="V1167" s="241">
        <f>C1167-'часть 1'!L1175</f>
        <v>163738</v>
      </c>
      <c r="W1167" s="241"/>
      <c r="X1167" s="241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254"/>
    </row>
    <row r="1168" spans="1:35">
      <c r="A1168" s="166">
        <v>115</v>
      </c>
      <c r="B1168" s="163" t="s">
        <v>264</v>
      </c>
      <c r="C1168" s="164">
        <v>1038920</v>
      </c>
      <c r="D1168" s="164"/>
      <c r="E1168" s="164"/>
      <c r="F1168" s="164"/>
      <c r="G1168" s="164"/>
      <c r="H1168" s="164"/>
      <c r="I1168" s="164"/>
      <c r="J1168" s="164"/>
      <c r="K1168" s="164">
        <v>1038920</v>
      </c>
      <c r="L1168" s="162">
        <v>0</v>
      </c>
      <c r="M1168" s="164">
        <v>0</v>
      </c>
      <c r="N1168" s="164">
        <v>0</v>
      </c>
      <c r="O1168" s="164">
        <v>0</v>
      </c>
      <c r="P1168" s="162">
        <v>0</v>
      </c>
      <c r="Q1168" s="164">
        <v>0</v>
      </c>
      <c r="R1168" s="165">
        <v>0</v>
      </c>
      <c r="S1168" s="164">
        <v>0</v>
      </c>
      <c r="T1168" s="165">
        <v>0</v>
      </c>
      <c r="U1168" s="246">
        <v>0</v>
      </c>
      <c r="V1168" s="241">
        <f>C1168-'часть 1'!L1176</f>
        <v>132141</v>
      </c>
      <c r="W1168" s="241"/>
      <c r="X1168" s="241"/>
      <c r="Y1168" s="9"/>
      <c r="Z1168" s="9"/>
      <c r="AA1168" s="9"/>
      <c r="AB1168" s="9"/>
      <c r="AC1168" s="3"/>
      <c r="AD1168" s="9"/>
      <c r="AE1168" s="9"/>
      <c r="AF1168" s="9"/>
      <c r="AG1168" s="9"/>
      <c r="AH1168" s="9"/>
      <c r="AI1168" s="254"/>
    </row>
    <row r="1169" spans="1:35">
      <c r="A1169" s="162">
        <v>116</v>
      </c>
      <c r="B1169" s="163" t="s">
        <v>258</v>
      </c>
      <c r="C1169" s="164">
        <v>1742553</v>
      </c>
      <c r="D1169" s="164"/>
      <c r="E1169" s="164"/>
      <c r="F1169" s="164"/>
      <c r="G1169" s="164"/>
      <c r="H1169" s="164"/>
      <c r="I1169" s="164"/>
      <c r="J1169" s="164"/>
      <c r="K1169" s="164">
        <v>0</v>
      </c>
      <c r="L1169" s="162">
        <v>0</v>
      </c>
      <c r="M1169" s="164">
        <v>0</v>
      </c>
      <c r="N1169" s="164">
        <v>874.22</v>
      </c>
      <c r="O1169" s="167">
        <v>1742553</v>
      </c>
      <c r="P1169" s="162">
        <v>0</v>
      </c>
      <c r="Q1169" s="164">
        <v>0</v>
      </c>
      <c r="R1169" s="165">
        <v>0</v>
      </c>
      <c r="S1169" s="164">
        <v>0</v>
      </c>
      <c r="T1169" s="165">
        <v>0</v>
      </c>
      <c r="U1169" s="246">
        <v>0</v>
      </c>
      <c r="V1169" s="241">
        <f>C1169-'часть 1'!L1177</f>
        <v>855994</v>
      </c>
      <c r="W1169" s="241"/>
      <c r="X1169" s="241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254"/>
    </row>
    <row r="1170" spans="1:35">
      <c r="A1170" s="162">
        <v>117</v>
      </c>
      <c r="B1170" s="163" t="s">
        <v>250</v>
      </c>
      <c r="C1170" s="164">
        <v>2124581</v>
      </c>
      <c r="D1170" s="164"/>
      <c r="E1170" s="164"/>
      <c r="F1170" s="164"/>
      <c r="G1170" s="164"/>
      <c r="H1170" s="164"/>
      <c r="I1170" s="164"/>
      <c r="J1170" s="164"/>
      <c r="K1170" s="164">
        <v>0</v>
      </c>
      <c r="L1170" s="162">
        <v>0</v>
      </c>
      <c r="M1170" s="164">
        <v>0</v>
      </c>
      <c r="N1170" s="164">
        <v>1070</v>
      </c>
      <c r="O1170" s="167">
        <v>2124581</v>
      </c>
      <c r="P1170" s="162">
        <v>0</v>
      </c>
      <c r="Q1170" s="164">
        <v>0</v>
      </c>
      <c r="R1170" s="168">
        <v>0</v>
      </c>
      <c r="S1170" s="164">
        <v>0</v>
      </c>
      <c r="T1170" s="165">
        <v>0</v>
      </c>
      <c r="U1170" s="246">
        <v>0</v>
      </c>
      <c r="V1170" s="241">
        <f>C1170-'часть 1'!L1178</f>
        <v>1482371</v>
      </c>
      <c r="W1170" s="241"/>
      <c r="X1170" s="241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254"/>
    </row>
    <row r="1171" spans="1:35">
      <c r="A1171" s="162">
        <v>118</v>
      </c>
      <c r="B1171" s="163" t="s">
        <v>282</v>
      </c>
      <c r="C1171" s="164">
        <v>2347478</v>
      </c>
      <c r="D1171" s="164"/>
      <c r="E1171" s="164"/>
      <c r="F1171" s="164"/>
      <c r="G1171" s="164"/>
      <c r="H1171" s="164"/>
      <c r="I1171" s="164"/>
      <c r="J1171" s="164"/>
      <c r="K1171" s="164">
        <v>0</v>
      </c>
      <c r="L1171" s="162">
        <v>0</v>
      </c>
      <c r="M1171" s="164">
        <v>0</v>
      </c>
      <c r="N1171" s="164">
        <v>1185.07</v>
      </c>
      <c r="O1171" s="164">
        <v>2347478</v>
      </c>
      <c r="P1171" s="162">
        <v>0</v>
      </c>
      <c r="Q1171" s="164">
        <v>0</v>
      </c>
      <c r="R1171" s="165">
        <v>0</v>
      </c>
      <c r="S1171" s="164">
        <v>0</v>
      </c>
      <c r="T1171" s="165">
        <v>0</v>
      </c>
      <c r="U1171" s="246">
        <v>0</v>
      </c>
      <c r="V1171" s="241">
        <f>C1171-'часть 1'!L1179</f>
        <v>394989</v>
      </c>
      <c r="W1171" s="241"/>
      <c r="X1171" s="241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254"/>
    </row>
    <row r="1172" spans="1:35">
      <c r="A1172" s="162">
        <v>119</v>
      </c>
      <c r="B1172" s="163" t="s">
        <v>267</v>
      </c>
      <c r="C1172" s="164">
        <v>2468472</v>
      </c>
      <c r="D1172" s="164"/>
      <c r="E1172" s="164"/>
      <c r="F1172" s="164"/>
      <c r="G1172" s="164"/>
      <c r="H1172" s="164"/>
      <c r="I1172" s="164"/>
      <c r="J1172" s="164"/>
      <c r="K1172" s="164">
        <v>0</v>
      </c>
      <c r="L1172" s="162">
        <v>0</v>
      </c>
      <c r="M1172" s="164">
        <v>0</v>
      </c>
      <c r="N1172" s="167">
        <v>1246.5</v>
      </c>
      <c r="O1172" s="164">
        <v>2468472</v>
      </c>
      <c r="P1172" s="162">
        <v>0</v>
      </c>
      <c r="Q1172" s="164">
        <v>0</v>
      </c>
      <c r="R1172" s="165">
        <v>0</v>
      </c>
      <c r="S1172" s="164">
        <v>0</v>
      </c>
      <c r="T1172" s="165">
        <v>0</v>
      </c>
      <c r="U1172" s="246">
        <v>0</v>
      </c>
      <c r="V1172" s="241">
        <f>C1172-'часть 1'!L1180</f>
        <v>-12689276</v>
      </c>
      <c r="W1172" s="241"/>
      <c r="X1172" s="241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254"/>
    </row>
    <row r="1173" spans="1:35">
      <c r="A1173" s="162">
        <v>120</v>
      </c>
      <c r="B1173" s="163" t="s">
        <v>284</v>
      </c>
      <c r="C1173" s="164">
        <v>1612780</v>
      </c>
      <c r="D1173" s="164"/>
      <c r="E1173" s="164"/>
      <c r="F1173" s="164"/>
      <c r="G1173" s="164"/>
      <c r="H1173" s="164"/>
      <c r="I1173" s="164"/>
      <c r="J1173" s="164"/>
      <c r="K1173" s="164">
        <v>0</v>
      </c>
      <c r="L1173" s="162">
        <v>0</v>
      </c>
      <c r="M1173" s="164">
        <v>0</v>
      </c>
      <c r="N1173" s="164">
        <v>810.5</v>
      </c>
      <c r="O1173" s="164">
        <v>1612780</v>
      </c>
      <c r="P1173" s="162">
        <v>0</v>
      </c>
      <c r="Q1173" s="164">
        <v>0</v>
      </c>
      <c r="R1173" s="165">
        <v>0</v>
      </c>
      <c r="S1173" s="164">
        <v>0</v>
      </c>
      <c r="T1173" s="165">
        <v>0</v>
      </c>
      <c r="U1173" s="246">
        <v>0</v>
      </c>
      <c r="V1173" s="241">
        <f>C1173-'часть 1'!L1181</f>
        <v>-929518.37000000011</v>
      </c>
      <c r="W1173" s="241"/>
      <c r="X1173" s="241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254"/>
    </row>
    <row r="1174" spans="1:35">
      <c r="A1174" s="162">
        <v>121</v>
      </c>
      <c r="B1174" s="163" t="s">
        <v>256</v>
      </c>
      <c r="C1174" s="164">
        <v>2580419</v>
      </c>
      <c r="D1174" s="164"/>
      <c r="E1174" s="164"/>
      <c r="F1174" s="164"/>
      <c r="G1174" s="164"/>
      <c r="H1174" s="164"/>
      <c r="I1174" s="164"/>
      <c r="J1174" s="164"/>
      <c r="K1174" s="164">
        <v>0</v>
      </c>
      <c r="L1174" s="162">
        <v>0</v>
      </c>
      <c r="M1174" s="164">
        <v>0</v>
      </c>
      <c r="N1174" s="164">
        <v>786.3</v>
      </c>
      <c r="O1174" s="164">
        <v>1565675</v>
      </c>
      <c r="P1174" s="162">
        <v>0</v>
      </c>
      <c r="Q1174" s="164">
        <v>0</v>
      </c>
      <c r="R1174" s="164">
        <v>700</v>
      </c>
      <c r="S1174" s="164">
        <v>1014744</v>
      </c>
      <c r="T1174" s="165">
        <v>0</v>
      </c>
      <c r="U1174" s="246">
        <v>0</v>
      </c>
      <c r="V1174" s="241">
        <f>C1174-'часть 1'!L1182</f>
        <v>1465833</v>
      </c>
      <c r="W1174" s="241"/>
      <c r="X1174" s="241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254"/>
    </row>
    <row r="1175" spans="1:35">
      <c r="A1175" s="162">
        <v>122</v>
      </c>
      <c r="B1175" s="163" t="s">
        <v>335</v>
      </c>
      <c r="C1175" s="164">
        <v>1681645</v>
      </c>
      <c r="D1175" s="164"/>
      <c r="E1175" s="164"/>
      <c r="F1175" s="164"/>
      <c r="G1175" s="164"/>
      <c r="H1175" s="164"/>
      <c r="I1175" s="164"/>
      <c r="J1175" s="164"/>
      <c r="K1175" s="164">
        <v>0</v>
      </c>
      <c r="L1175" s="162">
        <v>0</v>
      </c>
      <c r="M1175" s="164">
        <v>0</v>
      </c>
      <c r="N1175" s="164">
        <v>848.59</v>
      </c>
      <c r="O1175" s="164">
        <v>1681645</v>
      </c>
      <c r="P1175" s="162">
        <v>0</v>
      </c>
      <c r="Q1175" s="164">
        <v>0</v>
      </c>
      <c r="R1175" s="168">
        <v>0</v>
      </c>
      <c r="S1175" s="164">
        <v>0</v>
      </c>
      <c r="T1175" s="165">
        <v>0</v>
      </c>
      <c r="U1175" s="246">
        <v>0</v>
      </c>
      <c r="V1175" s="241">
        <f>C1175-'часть 1'!L1183</f>
        <v>-3942208</v>
      </c>
      <c r="W1175" s="241"/>
      <c r="X1175" s="241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254"/>
    </row>
    <row r="1176" spans="1:35">
      <c r="A1176" s="162">
        <v>123</v>
      </c>
      <c r="B1176" s="163" t="s">
        <v>255</v>
      </c>
      <c r="C1176" s="164">
        <v>1318880</v>
      </c>
      <c r="D1176" s="164"/>
      <c r="E1176" s="164"/>
      <c r="F1176" s="164"/>
      <c r="G1176" s="164"/>
      <c r="H1176" s="164"/>
      <c r="I1176" s="164"/>
      <c r="J1176" s="164"/>
      <c r="K1176" s="164">
        <v>0</v>
      </c>
      <c r="L1176" s="162">
        <v>0</v>
      </c>
      <c r="M1176" s="164">
        <v>0</v>
      </c>
      <c r="N1176" s="164">
        <v>660</v>
      </c>
      <c r="O1176" s="164">
        <v>1318880</v>
      </c>
      <c r="P1176" s="162">
        <v>0</v>
      </c>
      <c r="Q1176" s="164">
        <v>0</v>
      </c>
      <c r="R1176" s="168">
        <v>0</v>
      </c>
      <c r="S1176" s="164">
        <v>0</v>
      </c>
      <c r="T1176" s="165">
        <v>0</v>
      </c>
      <c r="U1176" s="246">
        <v>0</v>
      </c>
      <c r="V1176" s="241">
        <f>C1176-'часть 1'!L1184</f>
        <v>-1402226</v>
      </c>
      <c r="W1176" s="241"/>
      <c r="X1176" s="241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254"/>
    </row>
    <row r="1177" spans="1:35">
      <c r="A1177" s="162">
        <v>124</v>
      </c>
      <c r="B1177" s="163" t="s">
        <v>245</v>
      </c>
      <c r="C1177" s="164">
        <v>1566345</v>
      </c>
      <c r="D1177" s="164"/>
      <c r="E1177" s="164"/>
      <c r="F1177" s="164"/>
      <c r="G1177" s="164"/>
      <c r="H1177" s="164"/>
      <c r="I1177" s="164"/>
      <c r="J1177" s="164"/>
      <c r="K1177" s="164">
        <v>0</v>
      </c>
      <c r="L1177" s="162">
        <v>0</v>
      </c>
      <c r="M1177" s="164">
        <v>0</v>
      </c>
      <c r="N1177" s="164">
        <v>422</v>
      </c>
      <c r="O1177" s="164">
        <v>850468</v>
      </c>
      <c r="P1177" s="162">
        <v>0</v>
      </c>
      <c r="Q1177" s="164">
        <v>0</v>
      </c>
      <c r="R1177" s="164">
        <v>492</v>
      </c>
      <c r="S1177" s="164">
        <v>715877</v>
      </c>
      <c r="T1177" s="165">
        <v>0</v>
      </c>
      <c r="U1177" s="246">
        <v>0</v>
      </c>
      <c r="V1177" s="241">
        <f>C1177-'часть 1'!L1185</f>
        <v>-8222981.5500000007</v>
      </c>
      <c r="W1177" s="241"/>
      <c r="X1177" s="241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254"/>
    </row>
    <row r="1178" spans="1:35" ht="30">
      <c r="A1178" s="162">
        <v>125</v>
      </c>
      <c r="B1178" s="163" t="s">
        <v>451</v>
      </c>
      <c r="C1178" s="164">
        <v>1910088</v>
      </c>
      <c r="D1178" s="164"/>
      <c r="E1178" s="164"/>
      <c r="F1178" s="164"/>
      <c r="G1178" s="164"/>
      <c r="H1178" s="164"/>
      <c r="I1178" s="164"/>
      <c r="J1178" s="164"/>
      <c r="K1178" s="164">
        <v>1910088</v>
      </c>
      <c r="L1178" s="162">
        <v>0</v>
      </c>
      <c r="M1178" s="164">
        <v>0</v>
      </c>
      <c r="N1178" s="164">
        <v>0</v>
      </c>
      <c r="O1178" s="164">
        <v>0</v>
      </c>
      <c r="P1178" s="162">
        <v>0</v>
      </c>
      <c r="Q1178" s="164">
        <v>0</v>
      </c>
      <c r="R1178" s="168">
        <v>0</v>
      </c>
      <c r="S1178" s="164">
        <v>0</v>
      </c>
      <c r="T1178" s="165">
        <v>0</v>
      </c>
      <c r="U1178" s="246">
        <v>0</v>
      </c>
      <c r="V1178" s="241">
        <f>C1178-'часть 1'!L1186</f>
        <v>295014</v>
      </c>
      <c r="W1178" s="241"/>
      <c r="X1178" s="241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254"/>
    </row>
    <row r="1179" spans="1:35">
      <c r="A1179" s="162">
        <v>126</v>
      </c>
      <c r="B1179" s="163" t="s">
        <v>280</v>
      </c>
      <c r="C1179" s="164">
        <v>2694957</v>
      </c>
      <c r="D1179" s="164"/>
      <c r="E1179" s="164"/>
      <c r="F1179" s="164"/>
      <c r="G1179" s="164"/>
      <c r="H1179" s="164"/>
      <c r="I1179" s="164"/>
      <c r="J1179" s="164"/>
      <c r="K1179" s="164">
        <v>710638</v>
      </c>
      <c r="L1179" s="162">
        <v>0</v>
      </c>
      <c r="M1179" s="164">
        <v>0</v>
      </c>
      <c r="N1179" s="164">
        <v>0</v>
      </c>
      <c r="O1179" s="164">
        <v>0</v>
      </c>
      <c r="P1179" s="162">
        <v>0</v>
      </c>
      <c r="Q1179" s="164">
        <v>0</v>
      </c>
      <c r="R1179" s="164">
        <v>1359.5</v>
      </c>
      <c r="S1179" s="164">
        <v>1984319</v>
      </c>
      <c r="T1179" s="165">
        <v>0</v>
      </c>
      <c r="U1179" s="246">
        <v>0</v>
      </c>
      <c r="V1179" s="241">
        <f>C1179-'часть 1'!L1187</f>
        <v>1870567</v>
      </c>
      <c r="W1179" s="241"/>
      <c r="X1179" s="241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254"/>
    </row>
    <row r="1180" spans="1:35">
      <c r="A1180" s="162">
        <v>127</v>
      </c>
      <c r="B1180" s="163" t="s">
        <v>367</v>
      </c>
      <c r="C1180" s="164">
        <v>580578</v>
      </c>
      <c r="D1180" s="164"/>
      <c r="E1180" s="164"/>
      <c r="F1180" s="164"/>
      <c r="G1180" s="164"/>
      <c r="H1180" s="164"/>
      <c r="I1180" s="164"/>
      <c r="J1180" s="164"/>
      <c r="K1180" s="164">
        <v>0</v>
      </c>
      <c r="L1180" s="162">
        <v>0</v>
      </c>
      <c r="M1180" s="164">
        <v>0</v>
      </c>
      <c r="N1180" s="164">
        <v>293.5</v>
      </c>
      <c r="O1180" s="164">
        <v>580578</v>
      </c>
      <c r="P1180" s="162">
        <v>0</v>
      </c>
      <c r="Q1180" s="164">
        <v>0</v>
      </c>
      <c r="R1180" s="165">
        <v>0</v>
      </c>
      <c r="S1180" s="164">
        <v>0</v>
      </c>
      <c r="T1180" s="165">
        <v>0</v>
      </c>
      <c r="U1180" s="246">
        <v>0</v>
      </c>
      <c r="V1180" s="241">
        <f>C1180-'часть 1'!L1188</f>
        <v>-2080611</v>
      </c>
      <c r="W1180" s="241"/>
      <c r="X1180" s="241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254"/>
    </row>
    <row r="1181" spans="1:35">
      <c r="A1181" s="162">
        <v>128</v>
      </c>
      <c r="B1181" s="163" t="s">
        <v>464</v>
      </c>
      <c r="C1181" s="164">
        <v>615357</v>
      </c>
      <c r="D1181" s="164"/>
      <c r="E1181" s="164"/>
      <c r="F1181" s="164"/>
      <c r="G1181" s="164"/>
      <c r="H1181" s="164"/>
      <c r="I1181" s="164"/>
      <c r="J1181" s="164"/>
      <c r="K1181" s="164">
        <v>0</v>
      </c>
      <c r="L1181" s="162">
        <v>0</v>
      </c>
      <c r="M1181" s="164">
        <v>0</v>
      </c>
      <c r="N1181" s="164">
        <v>301</v>
      </c>
      <c r="O1181" s="164">
        <v>615357</v>
      </c>
      <c r="P1181" s="162">
        <v>0</v>
      </c>
      <c r="Q1181" s="164">
        <v>0</v>
      </c>
      <c r="R1181" s="165">
        <v>0</v>
      </c>
      <c r="S1181" s="164">
        <v>0</v>
      </c>
      <c r="T1181" s="165">
        <v>0</v>
      </c>
      <c r="U1181" s="246">
        <v>0</v>
      </c>
      <c r="V1181" s="241">
        <f>C1181-'часть 1'!L1189</f>
        <v>337137</v>
      </c>
      <c r="W1181" s="241"/>
      <c r="X1181" s="241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254"/>
    </row>
    <row r="1182" spans="1:35">
      <c r="A1182" s="162">
        <v>129</v>
      </c>
      <c r="B1182" s="163" t="s">
        <v>385</v>
      </c>
      <c r="C1182" s="164">
        <v>269948.13</v>
      </c>
      <c r="D1182" s="164"/>
      <c r="E1182" s="164"/>
      <c r="F1182" s="164"/>
      <c r="G1182" s="164"/>
      <c r="H1182" s="164"/>
      <c r="I1182" s="164"/>
      <c r="J1182" s="164"/>
      <c r="K1182" s="164">
        <v>269948.13</v>
      </c>
      <c r="L1182" s="162">
        <v>0</v>
      </c>
      <c r="M1182" s="164">
        <v>0</v>
      </c>
      <c r="N1182" s="164">
        <v>0</v>
      </c>
      <c r="O1182" s="164">
        <v>0</v>
      </c>
      <c r="P1182" s="162">
        <v>0</v>
      </c>
      <c r="Q1182" s="164">
        <v>0</v>
      </c>
      <c r="R1182" s="165">
        <v>0</v>
      </c>
      <c r="S1182" s="164">
        <v>0</v>
      </c>
      <c r="T1182" s="165">
        <v>0</v>
      </c>
      <c r="U1182" s="246">
        <v>0</v>
      </c>
      <c r="V1182" s="241">
        <f>C1182-'часть 1'!L1190</f>
        <v>-2241523.87</v>
      </c>
      <c r="W1182" s="241"/>
      <c r="X1182" s="241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254"/>
    </row>
    <row r="1183" spans="1:35">
      <c r="A1183" s="162">
        <v>130</v>
      </c>
      <c r="B1183" s="163" t="s">
        <v>238</v>
      </c>
      <c r="C1183" s="164">
        <v>807980</v>
      </c>
      <c r="D1183" s="164"/>
      <c r="E1183" s="164"/>
      <c r="F1183" s="164"/>
      <c r="G1183" s="164"/>
      <c r="H1183" s="164"/>
      <c r="I1183" s="164"/>
      <c r="J1183" s="164"/>
      <c r="K1183" s="164">
        <v>0</v>
      </c>
      <c r="L1183" s="162">
        <v>0</v>
      </c>
      <c r="M1183" s="164">
        <v>0</v>
      </c>
      <c r="N1183" s="164">
        <v>400</v>
      </c>
      <c r="O1183" s="164">
        <v>807980</v>
      </c>
      <c r="P1183" s="162">
        <v>0</v>
      </c>
      <c r="Q1183" s="164">
        <v>0</v>
      </c>
      <c r="R1183" s="168">
        <v>0</v>
      </c>
      <c r="S1183" s="164">
        <v>0</v>
      </c>
      <c r="T1183" s="165">
        <v>0</v>
      </c>
      <c r="U1183" s="246">
        <v>0</v>
      </c>
      <c r="V1183" s="241">
        <f>C1183-'часть 1'!L1191</f>
        <v>-64008</v>
      </c>
      <c r="W1183" s="241"/>
      <c r="X1183" s="241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254"/>
    </row>
    <row r="1184" spans="1:35">
      <c r="A1184" s="162">
        <v>131</v>
      </c>
      <c r="B1184" s="163" t="s">
        <v>273</v>
      </c>
      <c r="C1184" s="164">
        <v>661525</v>
      </c>
      <c r="D1184" s="164"/>
      <c r="E1184" s="164"/>
      <c r="F1184" s="164"/>
      <c r="G1184" s="164"/>
      <c r="H1184" s="164"/>
      <c r="I1184" s="164"/>
      <c r="J1184" s="164"/>
      <c r="K1184" s="164">
        <v>0</v>
      </c>
      <c r="L1184" s="162">
        <v>0</v>
      </c>
      <c r="M1184" s="164">
        <v>0</v>
      </c>
      <c r="N1184" s="164">
        <v>325</v>
      </c>
      <c r="O1184" s="167">
        <v>661525</v>
      </c>
      <c r="P1184" s="162">
        <v>0</v>
      </c>
      <c r="Q1184" s="164">
        <v>0</v>
      </c>
      <c r="R1184" s="165">
        <v>0</v>
      </c>
      <c r="S1184" s="164">
        <v>0</v>
      </c>
      <c r="T1184" s="165">
        <v>0</v>
      </c>
      <c r="U1184" s="246">
        <v>0</v>
      </c>
      <c r="V1184" s="241">
        <f>C1184-'часть 1'!L1192</f>
        <v>-1451810</v>
      </c>
      <c r="W1184" s="241"/>
      <c r="X1184" s="241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254"/>
    </row>
    <row r="1185" spans="1:35">
      <c r="A1185" s="166">
        <v>132</v>
      </c>
      <c r="B1185" s="163" t="s">
        <v>297</v>
      </c>
      <c r="C1185" s="164">
        <v>3719885</v>
      </c>
      <c r="D1185" s="164"/>
      <c r="E1185" s="164"/>
      <c r="F1185" s="164"/>
      <c r="G1185" s="164"/>
      <c r="H1185" s="164"/>
      <c r="I1185" s="164"/>
      <c r="J1185" s="164"/>
      <c r="K1185" s="164">
        <v>0</v>
      </c>
      <c r="L1185" s="162">
        <v>2</v>
      </c>
      <c r="M1185" s="164">
        <v>3719885</v>
      </c>
      <c r="N1185" s="164">
        <v>0</v>
      </c>
      <c r="O1185" s="164">
        <v>0</v>
      </c>
      <c r="P1185" s="162">
        <v>0</v>
      </c>
      <c r="Q1185" s="164">
        <v>0</v>
      </c>
      <c r="R1185" s="165">
        <v>0</v>
      </c>
      <c r="S1185" s="164">
        <v>0</v>
      </c>
      <c r="T1185" s="165">
        <v>0</v>
      </c>
      <c r="U1185" s="246">
        <v>0</v>
      </c>
      <c r="V1185" s="241">
        <f>C1185-'часть 1'!L1193</f>
        <v>2723300</v>
      </c>
      <c r="W1185" s="241"/>
      <c r="X1185" s="241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254"/>
    </row>
    <row r="1186" spans="1:35">
      <c r="A1186" s="166">
        <v>133</v>
      </c>
      <c r="B1186" s="163" t="s">
        <v>263</v>
      </c>
      <c r="C1186" s="164">
        <v>1726391</v>
      </c>
      <c r="D1186" s="164"/>
      <c r="E1186" s="164"/>
      <c r="F1186" s="164"/>
      <c r="G1186" s="164"/>
      <c r="H1186" s="164"/>
      <c r="I1186" s="164"/>
      <c r="J1186" s="164"/>
      <c r="K1186" s="164">
        <v>0</v>
      </c>
      <c r="L1186" s="162">
        <v>0</v>
      </c>
      <c r="M1186" s="164">
        <v>0</v>
      </c>
      <c r="N1186" s="164">
        <v>866.8</v>
      </c>
      <c r="O1186" s="164">
        <v>1726391</v>
      </c>
      <c r="P1186" s="162">
        <v>0</v>
      </c>
      <c r="Q1186" s="164">
        <v>0</v>
      </c>
      <c r="R1186" s="165">
        <v>0</v>
      </c>
      <c r="S1186" s="164">
        <v>0</v>
      </c>
      <c r="T1186" s="165">
        <v>0</v>
      </c>
      <c r="U1186" s="246">
        <v>0</v>
      </c>
      <c r="V1186" s="241">
        <f>C1186-'часть 1'!L1194</f>
        <v>1088652</v>
      </c>
      <c r="W1186" s="241"/>
      <c r="X1186" s="241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254"/>
    </row>
    <row r="1187" spans="1:35">
      <c r="A1187" s="166">
        <v>134</v>
      </c>
      <c r="B1187" s="163" t="s">
        <v>235</v>
      </c>
      <c r="C1187" s="164">
        <v>1521754</v>
      </c>
      <c r="D1187" s="164"/>
      <c r="E1187" s="164"/>
      <c r="F1187" s="164"/>
      <c r="G1187" s="164"/>
      <c r="H1187" s="164"/>
      <c r="I1187" s="164"/>
      <c r="J1187" s="164"/>
      <c r="K1187" s="164">
        <v>0</v>
      </c>
      <c r="L1187" s="162">
        <v>0</v>
      </c>
      <c r="M1187" s="164">
        <v>0</v>
      </c>
      <c r="N1187" s="164">
        <v>430</v>
      </c>
      <c r="O1187" s="164">
        <v>866735</v>
      </c>
      <c r="P1187" s="162">
        <v>0</v>
      </c>
      <c r="Q1187" s="164">
        <v>0</v>
      </c>
      <c r="R1187" s="164">
        <v>449</v>
      </c>
      <c r="S1187" s="164">
        <v>655019</v>
      </c>
      <c r="T1187" s="165">
        <v>0</v>
      </c>
      <c r="U1187" s="246">
        <v>0</v>
      </c>
      <c r="V1187" s="241">
        <f>C1187-'часть 1'!L1195</f>
        <v>164537</v>
      </c>
      <c r="W1187" s="241"/>
      <c r="X1187" s="241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254"/>
    </row>
    <row r="1188" spans="1:35">
      <c r="A1188" s="166">
        <v>135</v>
      </c>
      <c r="B1188" s="163" t="s">
        <v>227</v>
      </c>
      <c r="C1188" s="164">
        <v>671505</v>
      </c>
      <c r="D1188" s="164"/>
      <c r="E1188" s="164"/>
      <c r="F1188" s="164"/>
      <c r="G1188" s="164"/>
      <c r="H1188" s="164"/>
      <c r="I1188" s="164"/>
      <c r="J1188" s="164"/>
      <c r="K1188" s="164" t="e">
        <f>#REF!</f>
        <v>#REF!</v>
      </c>
      <c r="L1188" s="162">
        <v>0</v>
      </c>
      <c r="M1188" s="164">
        <v>0</v>
      </c>
      <c r="N1188" s="164">
        <v>0</v>
      </c>
      <c r="O1188" s="164">
        <v>0</v>
      </c>
      <c r="P1188" s="162">
        <v>0</v>
      </c>
      <c r="Q1188" s="164">
        <v>0</v>
      </c>
      <c r="R1188" s="164">
        <v>404.5</v>
      </c>
      <c r="S1188" s="164">
        <v>591227</v>
      </c>
      <c r="T1188" s="165">
        <v>0</v>
      </c>
      <c r="U1188" s="246">
        <v>0</v>
      </c>
      <c r="V1188" s="241">
        <f>C1188-'часть 1'!L1196</f>
        <v>-164721</v>
      </c>
      <c r="W1188" s="241"/>
      <c r="X1188" s="241"/>
      <c r="Y1188" s="9"/>
      <c r="Z1188" s="235"/>
      <c r="AA1188" s="9"/>
      <c r="AB1188" s="9"/>
      <c r="AC1188" s="9"/>
      <c r="AD1188" s="9"/>
      <c r="AE1188" s="9"/>
      <c r="AF1188" s="9"/>
      <c r="AG1188" s="9"/>
      <c r="AH1188" s="9"/>
      <c r="AI1188" s="254"/>
    </row>
    <row r="1189" spans="1:35">
      <c r="A1189" s="166">
        <v>136</v>
      </c>
      <c r="B1189" s="163" t="s">
        <v>339</v>
      </c>
      <c r="C1189" s="164">
        <v>1081718</v>
      </c>
      <c r="D1189" s="164"/>
      <c r="E1189" s="164"/>
      <c r="F1189" s="164"/>
      <c r="G1189" s="164"/>
      <c r="H1189" s="164"/>
      <c r="I1189" s="164"/>
      <c r="J1189" s="164"/>
      <c r="K1189" s="164">
        <v>0</v>
      </c>
      <c r="L1189" s="162">
        <v>0</v>
      </c>
      <c r="M1189" s="164">
        <v>0</v>
      </c>
      <c r="N1189" s="164">
        <v>531.70000000000005</v>
      </c>
      <c r="O1189" s="164">
        <v>1081718</v>
      </c>
      <c r="P1189" s="162">
        <v>0</v>
      </c>
      <c r="Q1189" s="164">
        <v>0</v>
      </c>
      <c r="R1189" s="165">
        <v>0</v>
      </c>
      <c r="S1189" s="164">
        <v>0</v>
      </c>
      <c r="T1189" s="165">
        <v>0</v>
      </c>
      <c r="U1189" s="246">
        <v>0</v>
      </c>
      <c r="V1189" s="241">
        <f>C1189-'часть 1'!L1197</f>
        <v>441640</v>
      </c>
      <c r="W1189" s="241"/>
      <c r="X1189" s="241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254"/>
    </row>
    <row r="1190" spans="1:35">
      <c r="A1190" s="166">
        <v>137</v>
      </c>
      <c r="B1190" s="163" t="s">
        <v>231</v>
      </c>
      <c r="C1190" s="164">
        <v>206635</v>
      </c>
      <c r="D1190" s="164"/>
      <c r="E1190" s="164"/>
      <c r="F1190" s="164"/>
      <c r="G1190" s="164"/>
      <c r="H1190" s="164"/>
      <c r="I1190" s="164"/>
      <c r="J1190" s="164"/>
      <c r="K1190" s="164">
        <v>206635</v>
      </c>
      <c r="L1190" s="162">
        <v>0</v>
      </c>
      <c r="M1190" s="164">
        <v>0</v>
      </c>
      <c r="N1190" s="164">
        <v>0</v>
      </c>
      <c r="O1190" s="164">
        <v>0</v>
      </c>
      <c r="P1190" s="162">
        <v>0</v>
      </c>
      <c r="Q1190" s="164">
        <v>0</v>
      </c>
      <c r="R1190" s="165">
        <v>0</v>
      </c>
      <c r="S1190" s="164">
        <v>0</v>
      </c>
      <c r="T1190" s="165">
        <v>0</v>
      </c>
      <c r="U1190" s="246">
        <v>0</v>
      </c>
      <c r="V1190" s="241">
        <f>C1190-'часть 1'!L1198</f>
        <v>3986</v>
      </c>
      <c r="W1190" s="241"/>
      <c r="X1190" s="241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254"/>
    </row>
    <row r="1191" spans="1:35">
      <c r="A1191" s="166">
        <v>138</v>
      </c>
      <c r="B1191" s="163" t="s">
        <v>300</v>
      </c>
      <c r="C1191" s="164">
        <v>1044081.04</v>
      </c>
      <c r="D1191" s="164"/>
      <c r="E1191" s="164"/>
      <c r="F1191" s="164"/>
      <c r="G1191" s="164"/>
      <c r="H1191" s="164"/>
      <c r="I1191" s="164"/>
      <c r="J1191" s="164"/>
      <c r="K1191" s="164">
        <v>0</v>
      </c>
      <c r="L1191" s="162">
        <v>0</v>
      </c>
      <c r="M1191" s="164">
        <v>0</v>
      </c>
      <c r="N1191" s="164">
        <v>516.5</v>
      </c>
      <c r="O1191" s="164">
        <v>1044081.04</v>
      </c>
      <c r="P1191" s="162">
        <v>0</v>
      </c>
      <c r="Q1191" s="164">
        <v>0</v>
      </c>
      <c r="R1191" s="168">
        <v>0</v>
      </c>
      <c r="S1191" s="164">
        <v>0</v>
      </c>
      <c r="T1191" s="165">
        <v>0</v>
      </c>
      <c r="U1191" s="246">
        <v>0</v>
      </c>
      <c r="V1191" s="241">
        <f>C1191-'часть 1'!L1199</f>
        <v>-6848355.96</v>
      </c>
      <c r="W1191" s="241"/>
      <c r="X1191" s="241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254"/>
    </row>
    <row r="1192" spans="1:35">
      <c r="A1192" s="166">
        <v>139</v>
      </c>
      <c r="B1192" s="163" t="s">
        <v>283</v>
      </c>
      <c r="C1192" s="164">
        <v>1340000</v>
      </c>
      <c r="D1192" s="164"/>
      <c r="E1192" s="164"/>
      <c r="F1192" s="164"/>
      <c r="G1192" s="164"/>
      <c r="H1192" s="164"/>
      <c r="I1192" s="164"/>
      <c r="J1192" s="164"/>
      <c r="K1192" s="164">
        <v>1340000</v>
      </c>
      <c r="L1192" s="162">
        <v>0</v>
      </c>
      <c r="M1192" s="164">
        <v>0</v>
      </c>
      <c r="N1192" s="164">
        <v>0</v>
      </c>
      <c r="O1192" s="164">
        <v>0</v>
      </c>
      <c r="P1192" s="162">
        <v>0</v>
      </c>
      <c r="Q1192" s="164">
        <v>0</v>
      </c>
      <c r="R1192" s="165">
        <v>0</v>
      </c>
      <c r="S1192" s="164">
        <v>0</v>
      </c>
      <c r="T1192" s="165">
        <v>0</v>
      </c>
      <c r="U1192" s="246">
        <v>0</v>
      </c>
      <c r="V1192" s="241">
        <f>C1192-'часть 1'!L1200</f>
        <v>816611</v>
      </c>
      <c r="W1192" s="241"/>
      <c r="X1192" s="241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254"/>
    </row>
    <row r="1193" spans="1:35">
      <c r="A1193" s="166">
        <v>140</v>
      </c>
      <c r="B1193" s="163" t="s">
        <v>450</v>
      </c>
      <c r="C1193" s="164">
        <v>2294529</v>
      </c>
      <c r="D1193" s="164"/>
      <c r="E1193" s="164"/>
      <c r="F1193" s="164"/>
      <c r="G1193" s="164"/>
      <c r="H1193" s="164"/>
      <c r="I1193" s="164"/>
      <c r="J1193" s="164"/>
      <c r="K1193" s="164">
        <v>0</v>
      </c>
      <c r="L1193" s="162">
        <v>0</v>
      </c>
      <c r="M1193" s="164">
        <v>0</v>
      </c>
      <c r="N1193" s="164">
        <v>1162</v>
      </c>
      <c r="O1193" s="164">
        <v>2294529</v>
      </c>
      <c r="P1193" s="162">
        <v>0</v>
      </c>
      <c r="Q1193" s="164">
        <v>0</v>
      </c>
      <c r="R1193" s="165">
        <v>0</v>
      </c>
      <c r="S1193" s="164">
        <v>0</v>
      </c>
      <c r="T1193" s="165">
        <v>0</v>
      </c>
      <c r="U1193" s="246">
        <v>0</v>
      </c>
      <c r="V1193" s="241">
        <f>C1193-'часть 1'!L1201</f>
        <v>1255609</v>
      </c>
      <c r="W1193" s="241"/>
      <c r="X1193" s="241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254"/>
    </row>
    <row r="1194" spans="1:35">
      <c r="A1194" s="166">
        <v>141</v>
      </c>
      <c r="B1194" s="163" t="s">
        <v>230</v>
      </c>
      <c r="C1194" s="164">
        <v>2615616.2000000002</v>
      </c>
      <c r="D1194" s="164"/>
      <c r="E1194" s="164"/>
      <c r="F1194" s="164"/>
      <c r="G1194" s="164"/>
      <c r="H1194" s="164"/>
      <c r="I1194" s="164"/>
      <c r="J1194" s="164"/>
      <c r="K1194" s="164">
        <v>0</v>
      </c>
      <c r="L1194" s="162">
        <v>0</v>
      </c>
      <c r="M1194" s="164">
        <v>0</v>
      </c>
      <c r="N1194" s="164">
        <v>0</v>
      </c>
      <c r="O1194" s="164">
        <v>0</v>
      </c>
      <c r="P1194" s="162">
        <v>0</v>
      </c>
      <c r="Q1194" s="164">
        <v>0</v>
      </c>
      <c r="R1194" s="164">
        <v>2540</v>
      </c>
      <c r="S1194" s="164">
        <v>2615616.2000000002</v>
      </c>
      <c r="T1194" s="165">
        <v>0</v>
      </c>
      <c r="U1194" s="246">
        <v>0</v>
      </c>
      <c r="V1194" s="241">
        <f>C1194-'часть 1'!L1202</f>
        <v>873063.20000000019</v>
      </c>
      <c r="W1194" s="241"/>
      <c r="X1194" s="241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254"/>
    </row>
    <row r="1195" spans="1:35">
      <c r="A1195" s="166">
        <v>142</v>
      </c>
      <c r="B1195" s="163" t="s">
        <v>295</v>
      </c>
      <c r="C1195" s="164">
        <v>1561539</v>
      </c>
      <c r="D1195" s="164"/>
      <c r="E1195" s="164"/>
      <c r="F1195" s="164"/>
      <c r="G1195" s="164"/>
      <c r="H1195" s="164"/>
      <c r="I1195" s="164"/>
      <c r="J1195" s="164"/>
      <c r="K1195" s="164">
        <v>0</v>
      </c>
      <c r="L1195" s="162">
        <v>0</v>
      </c>
      <c r="M1195" s="164">
        <v>0</v>
      </c>
      <c r="N1195" s="164">
        <v>787.85</v>
      </c>
      <c r="O1195" s="164">
        <v>1561539</v>
      </c>
      <c r="P1195" s="169">
        <v>0</v>
      </c>
      <c r="Q1195" s="164">
        <v>0</v>
      </c>
      <c r="R1195" s="168">
        <v>0</v>
      </c>
      <c r="S1195" s="164">
        <v>0</v>
      </c>
      <c r="T1195" s="165">
        <v>0</v>
      </c>
      <c r="U1195" s="246">
        <v>0</v>
      </c>
      <c r="V1195" s="241">
        <f>C1195-'часть 1'!L1203</f>
        <v>-563042</v>
      </c>
      <c r="W1195" s="241"/>
      <c r="X1195" s="241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254"/>
    </row>
    <row r="1196" spans="1:35">
      <c r="A1196" s="166">
        <v>143</v>
      </c>
      <c r="B1196" s="163" t="s">
        <v>294</v>
      </c>
      <c r="C1196" s="164">
        <v>1421187</v>
      </c>
      <c r="D1196" s="164"/>
      <c r="E1196" s="164"/>
      <c r="F1196" s="164"/>
      <c r="G1196" s="164"/>
      <c r="H1196" s="164"/>
      <c r="I1196" s="164"/>
      <c r="J1196" s="164"/>
      <c r="K1196" s="164">
        <v>0</v>
      </c>
      <c r="L1196" s="162">
        <v>0</v>
      </c>
      <c r="M1196" s="164">
        <v>0</v>
      </c>
      <c r="N1196" s="164">
        <v>687</v>
      </c>
      <c r="O1196" s="167">
        <v>1421187</v>
      </c>
      <c r="P1196" s="162">
        <v>0</v>
      </c>
      <c r="Q1196" s="164">
        <v>0</v>
      </c>
      <c r="R1196" s="168">
        <v>0</v>
      </c>
      <c r="S1196" s="164">
        <v>0</v>
      </c>
      <c r="T1196" s="165">
        <v>0</v>
      </c>
      <c r="U1196" s="246">
        <v>0</v>
      </c>
      <c r="V1196" s="241">
        <f>C1196-'часть 1'!L1204</f>
        <v>-926291</v>
      </c>
      <c r="W1196" s="241"/>
      <c r="X1196" s="241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254"/>
    </row>
    <row r="1197" spans="1:35">
      <c r="A1197" s="166">
        <v>144</v>
      </c>
      <c r="B1197" s="163" t="s">
        <v>270</v>
      </c>
      <c r="C1197" s="164">
        <v>2469740</v>
      </c>
      <c r="D1197" s="164"/>
      <c r="E1197" s="164"/>
      <c r="F1197" s="164"/>
      <c r="G1197" s="164"/>
      <c r="H1197" s="164"/>
      <c r="I1197" s="164"/>
      <c r="J1197" s="164"/>
      <c r="K1197" s="164">
        <v>757154</v>
      </c>
      <c r="L1197" s="162">
        <v>0</v>
      </c>
      <c r="M1197" s="164">
        <v>0</v>
      </c>
      <c r="N1197" s="164">
        <v>868.1</v>
      </c>
      <c r="O1197" s="164">
        <v>1712586</v>
      </c>
      <c r="P1197" s="162">
        <v>0</v>
      </c>
      <c r="Q1197" s="164">
        <v>0</v>
      </c>
      <c r="R1197" s="165">
        <v>0</v>
      </c>
      <c r="S1197" s="164">
        <v>0</v>
      </c>
      <c r="T1197" s="165">
        <v>0</v>
      </c>
      <c r="U1197" s="246">
        <v>0</v>
      </c>
      <c r="V1197" s="241">
        <f>C1197-'часть 1'!L1205</f>
        <v>1268</v>
      </c>
      <c r="W1197" s="241"/>
      <c r="X1197" s="241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254"/>
    </row>
    <row r="1198" spans="1:35">
      <c r="A1198" s="166">
        <v>145</v>
      </c>
      <c r="B1198" s="163" t="s">
        <v>252</v>
      </c>
      <c r="C1198" s="164">
        <v>1104857</v>
      </c>
      <c r="D1198" s="164"/>
      <c r="E1198" s="164"/>
      <c r="F1198" s="164"/>
      <c r="G1198" s="164"/>
      <c r="H1198" s="164"/>
      <c r="I1198" s="164"/>
      <c r="J1198" s="164"/>
      <c r="K1198" s="164">
        <v>0</v>
      </c>
      <c r="L1198" s="162">
        <v>0</v>
      </c>
      <c r="M1198" s="164">
        <v>0</v>
      </c>
      <c r="N1198" s="164">
        <v>545.6</v>
      </c>
      <c r="O1198" s="164">
        <v>1104857</v>
      </c>
      <c r="P1198" s="162">
        <v>0</v>
      </c>
      <c r="Q1198" s="164">
        <v>0</v>
      </c>
      <c r="R1198" s="168">
        <v>0</v>
      </c>
      <c r="S1198" s="164">
        <v>0</v>
      </c>
      <c r="T1198" s="165">
        <v>0</v>
      </c>
      <c r="U1198" s="246">
        <v>0</v>
      </c>
      <c r="V1198" s="241">
        <f>C1198-'часть 1'!L1206</f>
        <v>-507923</v>
      </c>
      <c r="W1198" s="241"/>
      <c r="X1198" s="241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254"/>
    </row>
    <row r="1199" spans="1:35">
      <c r="A1199" s="166">
        <v>146</v>
      </c>
      <c r="B1199" s="163" t="s">
        <v>304</v>
      </c>
      <c r="C1199" s="164">
        <v>1877378</v>
      </c>
      <c r="D1199" s="164"/>
      <c r="E1199" s="164"/>
      <c r="F1199" s="164"/>
      <c r="G1199" s="164"/>
      <c r="H1199" s="164"/>
      <c r="I1199" s="164"/>
      <c r="J1199" s="164"/>
      <c r="K1199" s="164">
        <v>0</v>
      </c>
      <c r="L1199" s="162">
        <v>1</v>
      </c>
      <c r="M1199" s="167">
        <v>1877378</v>
      </c>
      <c r="N1199" s="164">
        <v>0</v>
      </c>
      <c r="O1199" s="164">
        <v>0</v>
      </c>
      <c r="P1199" s="162">
        <v>0</v>
      </c>
      <c r="Q1199" s="164">
        <v>0</v>
      </c>
      <c r="R1199" s="165">
        <v>0</v>
      </c>
      <c r="S1199" s="164">
        <v>0</v>
      </c>
      <c r="T1199" s="165">
        <v>0</v>
      </c>
      <c r="U1199" s="246">
        <v>0</v>
      </c>
      <c r="V1199" s="241">
        <f>C1199-'часть 1'!L1207</f>
        <v>-703041</v>
      </c>
      <c r="W1199" s="241"/>
      <c r="X1199" s="241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254"/>
    </row>
    <row r="1200" spans="1:35">
      <c r="A1200" s="166">
        <v>147</v>
      </c>
      <c r="B1200" s="163" t="s">
        <v>228</v>
      </c>
      <c r="C1200" s="164">
        <v>2945836</v>
      </c>
      <c r="D1200" s="164"/>
      <c r="E1200" s="164"/>
      <c r="F1200" s="164"/>
      <c r="G1200" s="164"/>
      <c r="H1200" s="164"/>
      <c r="I1200" s="164"/>
      <c r="J1200" s="164"/>
      <c r="K1200" s="164" t="e">
        <f>#REF!</f>
        <v>#REF!</v>
      </c>
      <c r="L1200" s="162">
        <v>0</v>
      </c>
      <c r="M1200" s="164">
        <v>0</v>
      </c>
      <c r="N1200" s="164">
        <v>0</v>
      </c>
      <c r="O1200" s="164">
        <v>0</v>
      </c>
      <c r="P1200" s="162">
        <v>0</v>
      </c>
      <c r="Q1200" s="164">
        <v>0</v>
      </c>
      <c r="R1200" s="165">
        <v>0</v>
      </c>
      <c r="S1200" s="164">
        <v>0</v>
      </c>
      <c r="T1200" s="165">
        <v>0</v>
      </c>
      <c r="U1200" s="246">
        <v>0</v>
      </c>
      <c r="V1200" s="241">
        <f>C1200-'часть 1'!L1208</f>
        <v>1264191</v>
      </c>
      <c r="W1200" s="241"/>
      <c r="X1200" s="241"/>
      <c r="Y1200" s="9"/>
      <c r="Z1200" s="9"/>
      <c r="AA1200" s="9"/>
      <c r="AB1200" s="235"/>
      <c r="AC1200" s="9"/>
      <c r="AD1200" s="9"/>
      <c r="AE1200" s="9"/>
      <c r="AF1200" s="235"/>
      <c r="AG1200" s="9"/>
      <c r="AH1200" s="9"/>
      <c r="AI1200" s="254"/>
    </row>
    <row r="1201" spans="1:35">
      <c r="A1201" s="166">
        <v>148</v>
      </c>
      <c r="B1201" s="163" t="s">
        <v>225</v>
      </c>
      <c r="C1201" s="164">
        <v>1118494</v>
      </c>
      <c r="D1201" s="164"/>
      <c r="E1201" s="164"/>
      <c r="F1201" s="164"/>
      <c r="G1201" s="164"/>
      <c r="H1201" s="164"/>
      <c r="I1201" s="164"/>
      <c r="J1201" s="164"/>
      <c r="K1201" s="164">
        <v>1118494</v>
      </c>
      <c r="L1201" s="162">
        <v>0</v>
      </c>
      <c r="M1201" s="164">
        <v>0</v>
      </c>
      <c r="N1201" s="167">
        <v>0</v>
      </c>
      <c r="O1201" s="164">
        <v>0</v>
      </c>
      <c r="P1201" s="162">
        <v>0</v>
      </c>
      <c r="Q1201" s="164">
        <v>0</v>
      </c>
      <c r="R1201" s="168">
        <v>0</v>
      </c>
      <c r="S1201" s="164">
        <v>0</v>
      </c>
      <c r="T1201" s="165">
        <v>0</v>
      </c>
      <c r="U1201" s="246">
        <v>0</v>
      </c>
      <c r="V1201" s="241">
        <f>C1201-'часть 1'!L1209</f>
        <v>-200386</v>
      </c>
      <c r="W1201" s="241"/>
      <c r="X1201" s="241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254"/>
    </row>
    <row r="1202" spans="1:35">
      <c r="A1202" s="166">
        <v>149</v>
      </c>
      <c r="B1202" s="163" t="s">
        <v>232</v>
      </c>
      <c r="C1202" s="164">
        <v>2540427</v>
      </c>
      <c r="D1202" s="164"/>
      <c r="E1202" s="164"/>
      <c r="F1202" s="164"/>
      <c r="G1202" s="164"/>
      <c r="H1202" s="164"/>
      <c r="I1202" s="164"/>
      <c r="J1202" s="164"/>
      <c r="K1202" s="164">
        <v>0</v>
      </c>
      <c r="L1202" s="162">
        <v>0</v>
      </c>
      <c r="M1202" s="164">
        <v>0</v>
      </c>
      <c r="N1202" s="164">
        <v>592</v>
      </c>
      <c r="O1202" s="164">
        <v>1201460</v>
      </c>
      <c r="P1202" s="162">
        <v>0</v>
      </c>
      <c r="Q1202" s="164">
        <v>0</v>
      </c>
      <c r="R1202" s="164">
        <v>922</v>
      </c>
      <c r="S1202" s="164">
        <v>1338967</v>
      </c>
      <c r="T1202" s="165">
        <v>0</v>
      </c>
      <c r="U1202" s="246">
        <v>0</v>
      </c>
      <c r="V1202" s="241">
        <f>C1202-'часть 1'!L1210</f>
        <v>974082</v>
      </c>
      <c r="W1202" s="241"/>
      <c r="X1202" s="241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254"/>
    </row>
    <row r="1203" spans="1:35">
      <c r="A1203" s="166">
        <v>150</v>
      </c>
      <c r="B1203" s="163" t="s">
        <v>275</v>
      </c>
      <c r="C1203" s="164">
        <v>2253297</v>
      </c>
      <c r="D1203" s="164"/>
      <c r="E1203" s="164"/>
      <c r="F1203" s="164"/>
      <c r="G1203" s="164"/>
      <c r="H1203" s="164"/>
      <c r="I1203" s="164"/>
      <c r="J1203" s="164"/>
      <c r="K1203" s="164">
        <v>0</v>
      </c>
      <c r="L1203" s="162">
        <v>0</v>
      </c>
      <c r="M1203" s="164">
        <v>0</v>
      </c>
      <c r="N1203" s="164">
        <v>1126</v>
      </c>
      <c r="O1203" s="164">
        <v>2253297</v>
      </c>
      <c r="P1203" s="162">
        <v>0</v>
      </c>
      <c r="Q1203" s="164">
        <v>0</v>
      </c>
      <c r="R1203" s="165">
        <v>0</v>
      </c>
      <c r="S1203" s="164">
        <v>0</v>
      </c>
      <c r="T1203" s="165">
        <v>0</v>
      </c>
      <c r="U1203" s="246">
        <v>0</v>
      </c>
      <c r="V1203" s="241">
        <f>C1203-'часть 1'!L1211</f>
        <v>343209</v>
      </c>
      <c r="W1203" s="241"/>
      <c r="X1203" s="241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254"/>
    </row>
    <row r="1204" spans="1:35" s="237" customFormat="1">
      <c r="A1204" s="162">
        <v>151</v>
      </c>
      <c r="B1204" s="163" t="s">
        <v>286</v>
      </c>
      <c r="C1204" s="164">
        <v>1390061</v>
      </c>
      <c r="D1204" s="164"/>
      <c r="E1204" s="164"/>
      <c r="F1204" s="164"/>
      <c r="G1204" s="164"/>
      <c r="H1204" s="164"/>
      <c r="I1204" s="164"/>
      <c r="J1204" s="164"/>
      <c r="K1204" s="164" t="e">
        <f>#REF!</f>
        <v>#REF!</v>
      </c>
      <c r="L1204" s="162">
        <v>0</v>
      </c>
      <c r="M1204" s="164">
        <v>0</v>
      </c>
      <c r="N1204" s="164">
        <v>0</v>
      </c>
      <c r="O1204" s="164">
        <v>0</v>
      </c>
      <c r="P1204" s="162">
        <v>0</v>
      </c>
      <c r="Q1204" s="164">
        <v>0</v>
      </c>
      <c r="R1204" s="165">
        <v>0</v>
      </c>
      <c r="S1204" s="164">
        <v>0</v>
      </c>
      <c r="T1204" s="165">
        <v>0</v>
      </c>
      <c r="U1204" s="246">
        <v>0</v>
      </c>
      <c r="V1204" s="241">
        <f>C1204-'часть 1'!L1212</f>
        <v>-1304896</v>
      </c>
      <c r="W1204" s="241"/>
      <c r="X1204" s="241"/>
      <c r="Y1204" s="236"/>
      <c r="Z1204" s="236"/>
      <c r="AA1204" s="236"/>
      <c r="AB1204" s="236"/>
      <c r="AC1204" s="236"/>
      <c r="AD1204" s="236"/>
      <c r="AE1204" s="236"/>
      <c r="AF1204" s="236"/>
      <c r="AG1204" s="236"/>
      <c r="AH1204" s="236"/>
      <c r="AI1204" s="256"/>
    </row>
    <row r="1205" spans="1:35" ht="30">
      <c r="A1205" s="166">
        <v>152</v>
      </c>
      <c r="B1205" s="163" t="s">
        <v>342</v>
      </c>
      <c r="C1205" s="164">
        <v>3213804</v>
      </c>
      <c r="D1205" s="164"/>
      <c r="E1205" s="164"/>
      <c r="F1205" s="164"/>
      <c r="G1205" s="164"/>
      <c r="H1205" s="164"/>
      <c r="I1205" s="164"/>
      <c r="J1205" s="164"/>
      <c r="K1205" s="164">
        <v>846948</v>
      </c>
      <c r="L1205" s="162">
        <v>0</v>
      </c>
      <c r="M1205" s="164">
        <v>0</v>
      </c>
      <c r="N1205" s="164">
        <v>1200</v>
      </c>
      <c r="O1205" s="164">
        <v>2366856</v>
      </c>
      <c r="P1205" s="162">
        <v>0</v>
      </c>
      <c r="Q1205" s="164">
        <v>0</v>
      </c>
      <c r="R1205" s="165">
        <v>0</v>
      </c>
      <c r="S1205" s="164">
        <v>0</v>
      </c>
      <c r="T1205" s="165">
        <v>0</v>
      </c>
      <c r="U1205" s="246">
        <v>0</v>
      </c>
      <c r="V1205" s="241">
        <f>C1205-'часть 1'!L1213</f>
        <v>2633226</v>
      </c>
      <c r="W1205" s="241"/>
      <c r="X1205" s="241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254"/>
    </row>
    <row r="1206" spans="1:35">
      <c r="A1206" s="166">
        <v>153</v>
      </c>
      <c r="B1206" s="163" t="s">
        <v>298</v>
      </c>
      <c r="C1206" s="164">
        <v>3202371</v>
      </c>
      <c r="D1206" s="164"/>
      <c r="E1206" s="164"/>
      <c r="F1206" s="164"/>
      <c r="G1206" s="164"/>
      <c r="H1206" s="164"/>
      <c r="I1206" s="164"/>
      <c r="J1206" s="164"/>
      <c r="K1206" s="164">
        <v>0</v>
      </c>
      <c r="L1206" s="162">
        <v>0</v>
      </c>
      <c r="M1206" s="164">
        <v>0</v>
      </c>
      <c r="N1206" s="164">
        <v>0</v>
      </c>
      <c r="O1206" s="164">
        <v>0</v>
      </c>
      <c r="P1206" s="162">
        <v>0</v>
      </c>
      <c r="Q1206" s="164">
        <v>0</v>
      </c>
      <c r="R1206" s="164">
        <v>2220.83</v>
      </c>
      <c r="S1206" s="164">
        <v>3202371</v>
      </c>
      <c r="T1206" s="165">
        <v>0</v>
      </c>
      <c r="U1206" s="246">
        <v>0</v>
      </c>
      <c r="V1206" s="241">
        <f>C1206-'часть 1'!L1214</f>
        <v>2587014</v>
      </c>
      <c r="W1206" s="241"/>
      <c r="X1206" s="241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254"/>
    </row>
    <row r="1207" spans="1:35">
      <c r="A1207" s="166">
        <v>154</v>
      </c>
      <c r="B1207" s="163" t="s">
        <v>253</v>
      </c>
      <c r="C1207" s="164">
        <v>709022</v>
      </c>
      <c r="D1207" s="164"/>
      <c r="E1207" s="164"/>
      <c r="F1207" s="164"/>
      <c r="G1207" s="164"/>
      <c r="H1207" s="164"/>
      <c r="I1207" s="164"/>
      <c r="J1207" s="164"/>
      <c r="K1207" s="164">
        <v>0</v>
      </c>
      <c r="L1207" s="162">
        <v>0</v>
      </c>
      <c r="M1207" s="164">
        <v>0</v>
      </c>
      <c r="N1207" s="164">
        <v>0</v>
      </c>
      <c r="O1207" s="164">
        <v>0</v>
      </c>
      <c r="P1207" s="162">
        <v>0</v>
      </c>
      <c r="Q1207" s="164">
        <v>0</v>
      </c>
      <c r="R1207" s="164">
        <v>486.6</v>
      </c>
      <c r="S1207" s="167">
        <v>709022</v>
      </c>
      <c r="T1207" s="165">
        <v>0</v>
      </c>
      <c r="U1207" s="246">
        <v>0</v>
      </c>
      <c r="V1207" s="241">
        <f>C1207-'часть 1'!L1215</f>
        <v>439073.87</v>
      </c>
      <c r="W1207" s="241"/>
      <c r="X1207" s="241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254"/>
    </row>
    <row r="1208" spans="1:35">
      <c r="A1208" s="162">
        <v>155</v>
      </c>
      <c r="B1208" s="163" t="s">
        <v>260</v>
      </c>
      <c r="C1208" s="164">
        <v>1136930</v>
      </c>
      <c r="D1208" s="164"/>
      <c r="E1208" s="164"/>
      <c r="F1208" s="164"/>
      <c r="G1208" s="164"/>
      <c r="H1208" s="164"/>
      <c r="I1208" s="164"/>
      <c r="J1208" s="164"/>
      <c r="K1208" s="164">
        <v>0</v>
      </c>
      <c r="L1208" s="162">
        <v>0</v>
      </c>
      <c r="M1208" s="164">
        <v>0</v>
      </c>
      <c r="N1208" s="164">
        <v>278</v>
      </c>
      <c r="O1208" s="164">
        <v>570382</v>
      </c>
      <c r="P1208" s="162">
        <v>0</v>
      </c>
      <c r="Q1208" s="164">
        <v>0</v>
      </c>
      <c r="R1208" s="164">
        <v>386.88</v>
      </c>
      <c r="S1208" s="164">
        <v>566548</v>
      </c>
      <c r="T1208" s="165">
        <v>0</v>
      </c>
      <c r="U1208" s="246">
        <v>0</v>
      </c>
      <c r="V1208" s="241">
        <f>C1208-'часть 1'!L1216</f>
        <v>328950</v>
      </c>
      <c r="W1208" s="241"/>
      <c r="X1208" s="241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254"/>
    </row>
    <row r="1209" spans="1:35">
      <c r="A1209" s="166">
        <v>156</v>
      </c>
      <c r="B1209" s="163" t="s">
        <v>349</v>
      </c>
      <c r="C1209" s="164">
        <v>1320636</v>
      </c>
      <c r="D1209" s="164"/>
      <c r="E1209" s="164"/>
      <c r="F1209" s="164"/>
      <c r="G1209" s="164"/>
      <c r="H1209" s="164"/>
      <c r="I1209" s="164"/>
      <c r="J1209" s="164"/>
      <c r="K1209" s="164">
        <v>0</v>
      </c>
      <c r="L1209" s="162">
        <v>0</v>
      </c>
      <c r="M1209" s="164">
        <v>0</v>
      </c>
      <c r="N1209" s="171">
        <v>662</v>
      </c>
      <c r="O1209" s="167">
        <v>1320636</v>
      </c>
      <c r="P1209" s="162">
        <v>0</v>
      </c>
      <c r="Q1209" s="164">
        <v>0</v>
      </c>
      <c r="R1209" s="165">
        <v>0</v>
      </c>
      <c r="S1209" s="164">
        <v>0</v>
      </c>
      <c r="T1209" s="165">
        <v>0</v>
      </c>
      <c r="U1209" s="246">
        <v>0</v>
      </c>
      <c r="V1209" s="241">
        <f>C1209-'часть 1'!L1217</f>
        <v>659111</v>
      </c>
      <c r="W1209" s="241"/>
      <c r="X1209" s="241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254"/>
    </row>
    <row r="1210" spans="1:35">
      <c r="A1210" s="166">
        <v>157</v>
      </c>
      <c r="B1210" s="163" t="s">
        <v>302</v>
      </c>
      <c r="C1210" s="164">
        <v>4265098</v>
      </c>
      <c r="D1210" s="164"/>
      <c r="E1210" s="164"/>
      <c r="F1210" s="164"/>
      <c r="G1210" s="164"/>
      <c r="H1210" s="164"/>
      <c r="I1210" s="164"/>
      <c r="J1210" s="164"/>
      <c r="K1210" s="164">
        <v>0</v>
      </c>
      <c r="L1210" s="162">
        <v>0</v>
      </c>
      <c r="M1210" s="164">
        <v>0</v>
      </c>
      <c r="N1210" s="164">
        <v>0</v>
      </c>
      <c r="O1210" s="164">
        <v>0</v>
      </c>
      <c r="P1210" s="162">
        <v>0</v>
      </c>
      <c r="Q1210" s="164">
        <v>0</v>
      </c>
      <c r="R1210" s="164">
        <v>2927.5</v>
      </c>
      <c r="S1210" s="164">
        <v>4265098</v>
      </c>
      <c r="T1210" s="165">
        <v>0</v>
      </c>
      <c r="U1210" s="246">
        <v>0</v>
      </c>
      <c r="V1210" s="241">
        <f>C1210-'часть 1'!L1218</f>
        <v>545213</v>
      </c>
      <c r="W1210" s="241"/>
      <c r="X1210" s="241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254"/>
    </row>
    <row r="1211" spans="1:35">
      <c r="A1211" s="166">
        <v>158</v>
      </c>
      <c r="B1211" s="163" t="s">
        <v>341</v>
      </c>
      <c r="C1211" s="164">
        <v>2115890</v>
      </c>
      <c r="D1211" s="164"/>
      <c r="E1211" s="164"/>
      <c r="F1211" s="164"/>
      <c r="G1211" s="164"/>
      <c r="H1211" s="164"/>
      <c r="I1211" s="164"/>
      <c r="J1211" s="164"/>
      <c r="K1211" s="164">
        <v>2115890</v>
      </c>
      <c r="L1211" s="162">
        <v>0</v>
      </c>
      <c r="M1211" s="164">
        <v>0</v>
      </c>
      <c r="N1211" s="164">
        <v>0</v>
      </c>
      <c r="O1211" s="164">
        <v>0</v>
      </c>
      <c r="P1211" s="162">
        <v>0</v>
      </c>
      <c r="Q1211" s="164">
        <v>0</v>
      </c>
      <c r="R1211" s="165">
        <v>0</v>
      </c>
      <c r="S1211" s="164">
        <v>0</v>
      </c>
      <c r="T1211" s="165">
        <v>0</v>
      </c>
      <c r="U1211" s="246">
        <v>0</v>
      </c>
      <c r="V1211" s="241">
        <f>C1211-'часть 1'!L1219</f>
        <v>389499</v>
      </c>
      <c r="W1211" s="241"/>
      <c r="X1211" s="241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254"/>
    </row>
    <row r="1212" spans="1:35">
      <c r="A1212" s="166">
        <v>159</v>
      </c>
      <c r="B1212" s="163" t="s">
        <v>242</v>
      </c>
      <c r="C1212" s="164">
        <v>482251.51</v>
      </c>
      <c r="D1212" s="164"/>
      <c r="E1212" s="164"/>
      <c r="F1212" s="164"/>
      <c r="G1212" s="164"/>
      <c r="H1212" s="164"/>
      <c r="I1212" s="164"/>
      <c r="J1212" s="164"/>
      <c r="K1212" s="164">
        <v>482251.51</v>
      </c>
      <c r="L1212" s="162">
        <v>0</v>
      </c>
      <c r="M1212" s="164">
        <v>0</v>
      </c>
      <c r="N1212" s="164">
        <v>0</v>
      </c>
      <c r="O1212" s="164">
        <v>0</v>
      </c>
      <c r="P1212" s="162">
        <v>0</v>
      </c>
      <c r="Q1212" s="164">
        <v>0</v>
      </c>
      <c r="R1212" s="165">
        <v>0</v>
      </c>
      <c r="S1212" s="164">
        <v>0</v>
      </c>
      <c r="T1212" s="165">
        <v>0</v>
      </c>
      <c r="U1212" s="246">
        <v>0</v>
      </c>
      <c r="V1212" s="241">
        <f>C1212-'часть 1'!L1220</f>
        <v>-1039502.49</v>
      </c>
      <c r="W1212" s="241"/>
      <c r="X1212" s="241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254"/>
    </row>
    <row r="1213" spans="1:35">
      <c r="A1213" s="166">
        <v>160</v>
      </c>
      <c r="B1213" s="163" t="s">
        <v>279</v>
      </c>
      <c r="C1213" s="164">
        <v>1018040.92</v>
      </c>
      <c r="D1213" s="164"/>
      <c r="E1213" s="164"/>
      <c r="F1213" s="164"/>
      <c r="G1213" s="164"/>
      <c r="H1213" s="164"/>
      <c r="I1213" s="164"/>
      <c r="J1213" s="164"/>
      <c r="K1213" s="164">
        <v>0</v>
      </c>
      <c r="L1213" s="162">
        <v>0</v>
      </c>
      <c r="M1213" s="164">
        <v>0</v>
      </c>
      <c r="N1213" s="164">
        <v>516.5</v>
      </c>
      <c r="O1213" s="164">
        <v>1018040.92</v>
      </c>
      <c r="P1213" s="162">
        <v>0</v>
      </c>
      <c r="Q1213" s="164">
        <v>0</v>
      </c>
      <c r="R1213" s="165">
        <v>0</v>
      </c>
      <c r="S1213" s="164">
        <v>0</v>
      </c>
      <c r="T1213" s="165">
        <v>0</v>
      </c>
      <c r="U1213" s="246">
        <v>0</v>
      </c>
      <c r="V1213" s="241">
        <f>C1213-'часть 1'!L1221</f>
        <v>346535.92000000004</v>
      </c>
      <c r="W1213" s="241"/>
      <c r="X1213" s="241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254"/>
    </row>
    <row r="1214" spans="1:35">
      <c r="A1214" s="166">
        <v>161</v>
      </c>
      <c r="B1214" s="163" t="s">
        <v>262</v>
      </c>
      <c r="C1214" s="164">
        <v>1871554</v>
      </c>
      <c r="D1214" s="164"/>
      <c r="E1214" s="164"/>
      <c r="F1214" s="164"/>
      <c r="G1214" s="164"/>
      <c r="H1214" s="164"/>
      <c r="I1214" s="164"/>
      <c r="J1214" s="164"/>
      <c r="K1214" s="164">
        <v>0</v>
      </c>
      <c r="L1214" s="162">
        <v>1</v>
      </c>
      <c r="M1214" s="164">
        <v>1871554</v>
      </c>
      <c r="N1214" s="164">
        <v>0</v>
      </c>
      <c r="O1214" s="164">
        <v>0</v>
      </c>
      <c r="P1214" s="162">
        <v>0</v>
      </c>
      <c r="Q1214" s="164">
        <v>0</v>
      </c>
      <c r="R1214" s="165">
        <v>0</v>
      </c>
      <c r="S1214" s="164">
        <v>0</v>
      </c>
      <c r="T1214" s="165">
        <v>0</v>
      </c>
      <c r="U1214" s="246">
        <v>0</v>
      </c>
      <c r="V1214" s="241">
        <f>C1214-'часть 1'!L1222</f>
        <v>789836</v>
      </c>
      <c r="W1214" s="241"/>
      <c r="X1214" s="241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254"/>
    </row>
    <row r="1215" spans="1:35">
      <c r="A1215" s="166">
        <v>162</v>
      </c>
      <c r="B1215" s="163" t="s">
        <v>290</v>
      </c>
      <c r="C1215" s="164">
        <v>2652530</v>
      </c>
      <c r="D1215" s="164"/>
      <c r="E1215" s="164"/>
      <c r="F1215" s="164"/>
      <c r="G1215" s="164"/>
      <c r="H1215" s="164"/>
      <c r="I1215" s="164"/>
      <c r="J1215" s="164"/>
      <c r="K1215" s="164">
        <v>2652530</v>
      </c>
      <c r="L1215" s="162">
        <v>0</v>
      </c>
      <c r="M1215" s="164">
        <v>0</v>
      </c>
      <c r="N1215" s="167">
        <v>0</v>
      </c>
      <c r="O1215" s="164">
        <v>0</v>
      </c>
      <c r="P1215" s="162">
        <v>0</v>
      </c>
      <c r="Q1215" s="164">
        <v>0</v>
      </c>
      <c r="R1215" s="168">
        <v>0</v>
      </c>
      <c r="S1215" s="164">
        <v>0</v>
      </c>
      <c r="T1215" s="165">
        <v>0</v>
      </c>
      <c r="U1215" s="246">
        <v>0</v>
      </c>
      <c r="V1215" s="241">
        <f>C1215-'часть 1'!L1223</f>
        <v>2445895</v>
      </c>
      <c r="W1215" s="241"/>
      <c r="X1215" s="241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254"/>
    </row>
    <row r="1216" spans="1:35">
      <c r="A1216" s="166">
        <v>163</v>
      </c>
      <c r="B1216" s="163" t="s">
        <v>356</v>
      </c>
      <c r="C1216" s="164">
        <v>3645969</v>
      </c>
      <c r="D1216" s="164"/>
      <c r="E1216" s="164"/>
      <c r="F1216" s="164"/>
      <c r="G1216" s="164"/>
      <c r="H1216" s="164"/>
      <c r="I1216" s="164"/>
      <c r="J1216" s="164"/>
      <c r="K1216" s="164" t="e">
        <f>#REF!</f>
        <v>#REF!</v>
      </c>
      <c r="L1216" s="162">
        <v>0</v>
      </c>
      <c r="M1216" s="164">
        <v>0</v>
      </c>
      <c r="N1216" s="164">
        <v>0</v>
      </c>
      <c r="O1216" s="164">
        <v>0</v>
      </c>
      <c r="P1216" s="162">
        <v>0</v>
      </c>
      <c r="Q1216" s="164">
        <v>0</v>
      </c>
      <c r="R1216" s="168">
        <v>0</v>
      </c>
      <c r="S1216" s="164">
        <v>0</v>
      </c>
      <c r="T1216" s="165">
        <v>0</v>
      </c>
      <c r="U1216" s="246">
        <v>0</v>
      </c>
      <c r="V1216" s="241">
        <f>C1216-'часть 1'!L1224</f>
        <v>2601887.96</v>
      </c>
      <c r="W1216" s="241"/>
      <c r="X1216" s="241"/>
      <c r="Y1216" s="9"/>
      <c r="Z1216" s="9"/>
      <c r="AA1216" s="9"/>
      <c r="AB1216" s="9"/>
      <c r="AC1216" s="3"/>
      <c r="AD1216" s="9"/>
      <c r="AE1216" s="9"/>
      <c r="AF1216" s="9"/>
      <c r="AG1216" s="9"/>
      <c r="AH1216" s="9"/>
      <c r="AI1216" s="254"/>
    </row>
    <row r="1217" spans="1:35">
      <c r="A1217" s="166">
        <v>164</v>
      </c>
      <c r="B1217" s="163" t="s">
        <v>354</v>
      </c>
      <c r="C1217" s="164">
        <v>771330</v>
      </c>
      <c r="D1217" s="164"/>
      <c r="E1217" s="164"/>
      <c r="F1217" s="164"/>
      <c r="G1217" s="164"/>
      <c r="H1217" s="164"/>
      <c r="I1217" s="164"/>
      <c r="J1217" s="164"/>
      <c r="K1217" s="164">
        <v>0</v>
      </c>
      <c r="L1217" s="162">
        <v>0</v>
      </c>
      <c r="M1217" s="164">
        <v>0</v>
      </c>
      <c r="N1217" s="164">
        <v>376</v>
      </c>
      <c r="O1217" s="164">
        <v>771330</v>
      </c>
      <c r="P1217" s="162">
        <v>0</v>
      </c>
      <c r="Q1217" s="164">
        <v>0</v>
      </c>
      <c r="R1217" s="165">
        <v>0</v>
      </c>
      <c r="S1217" s="164">
        <v>0</v>
      </c>
      <c r="T1217" s="165">
        <v>0</v>
      </c>
      <c r="U1217" s="246">
        <v>0</v>
      </c>
      <c r="V1217" s="241">
        <f>C1217-'часть 1'!L1225</f>
        <v>-568670</v>
      </c>
      <c r="W1217" s="241"/>
      <c r="X1217" s="241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254"/>
    </row>
    <row r="1218" spans="1:35">
      <c r="A1218" s="166">
        <v>165</v>
      </c>
      <c r="B1218" s="163" t="s">
        <v>352</v>
      </c>
      <c r="C1218" s="164">
        <v>1894719</v>
      </c>
      <c r="D1218" s="164"/>
      <c r="E1218" s="164"/>
      <c r="F1218" s="164"/>
      <c r="G1218" s="164"/>
      <c r="H1218" s="164"/>
      <c r="I1218" s="164"/>
      <c r="J1218" s="164"/>
      <c r="K1218" s="164">
        <v>0</v>
      </c>
      <c r="L1218" s="162">
        <v>1</v>
      </c>
      <c r="M1218" s="164">
        <v>1894719</v>
      </c>
      <c r="N1218" s="164">
        <v>0</v>
      </c>
      <c r="O1218" s="164">
        <v>0</v>
      </c>
      <c r="P1218" s="162">
        <v>0</v>
      </c>
      <c r="Q1218" s="164">
        <v>0</v>
      </c>
      <c r="R1218" s="165">
        <v>0</v>
      </c>
      <c r="S1218" s="164">
        <v>0</v>
      </c>
      <c r="T1218" s="165">
        <v>0</v>
      </c>
      <c r="U1218" s="246">
        <v>0</v>
      </c>
      <c r="V1218" s="241">
        <f>C1218-'часть 1'!L1226</f>
        <v>-399810</v>
      </c>
      <c r="W1218" s="241"/>
      <c r="X1218" s="241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254"/>
    </row>
    <row r="1219" spans="1:35">
      <c r="A1219" s="166">
        <v>166</v>
      </c>
      <c r="B1219" s="163" t="s">
        <v>355</v>
      </c>
      <c r="C1219" s="164">
        <v>1492412</v>
      </c>
      <c r="D1219" s="164"/>
      <c r="E1219" s="164"/>
      <c r="F1219" s="164"/>
      <c r="G1219" s="164"/>
      <c r="H1219" s="164"/>
      <c r="I1219" s="164"/>
      <c r="J1219" s="164"/>
      <c r="K1219" s="164">
        <v>0</v>
      </c>
      <c r="L1219" s="162">
        <v>0</v>
      </c>
      <c r="M1219" s="164">
        <v>0</v>
      </c>
      <c r="N1219" s="164">
        <v>752</v>
      </c>
      <c r="O1219" s="164">
        <v>1492412</v>
      </c>
      <c r="P1219" s="162">
        <v>0</v>
      </c>
      <c r="Q1219" s="164">
        <v>0</v>
      </c>
      <c r="R1219" s="165">
        <v>0</v>
      </c>
      <c r="S1219" s="164">
        <v>0</v>
      </c>
      <c r="T1219" s="165">
        <v>0</v>
      </c>
      <c r="U1219" s="246">
        <v>0</v>
      </c>
      <c r="V1219" s="241">
        <f>C1219-'часть 1'!L1227</f>
        <v>-1123204.2000000002</v>
      </c>
      <c r="W1219" s="241"/>
      <c r="X1219" s="241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254"/>
    </row>
    <row r="1220" spans="1:35">
      <c r="A1220" s="166">
        <v>167</v>
      </c>
      <c r="B1220" s="163" t="s">
        <v>318</v>
      </c>
      <c r="C1220" s="164">
        <v>651523.25</v>
      </c>
      <c r="D1220" s="164"/>
      <c r="E1220" s="164"/>
      <c r="F1220" s="164"/>
      <c r="G1220" s="164"/>
      <c r="H1220" s="164"/>
      <c r="I1220" s="164"/>
      <c r="J1220" s="164"/>
      <c r="K1220" s="164">
        <v>651523.25</v>
      </c>
      <c r="L1220" s="162">
        <v>0</v>
      </c>
      <c r="M1220" s="164">
        <v>0</v>
      </c>
      <c r="N1220" s="167">
        <v>0</v>
      </c>
      <c r="O1220" s="164">
        <v>0</v>
      </c>
      <c r="P1220" s="162">
        <v>0</v>
      </c>
      <c r="Q1220" s="164">
        <v>0</v>
      </c>
      <c r="R1220" s="168">
        <v>0</v>
      </c>
      <c r="S1220" s="164">
        <v>0</v>
      </c>
      <c r="T1220" s="165">
        <v>0</v>
      </c>
      <c r="U1220" s="246">
        <v>0</v>
      </c>
      <c r="V1220" s="241">
        <f>C1220-'часть 1'!L1228</f>
        <v>-910015.75</v>
      </c>
      <c r="W1220" s="241"/>
      <c r="X1220" s="241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254"/>
    </row>
    <row r="1221" spans="1:35" ht="15.75" thickBot="1">
      <c r="A1221" s="166">
        <v>168</v>
      </c>
      <c r="B1221" s="163" t="s">
        <v>353</v>
      </c>
      <c r="C1221" s="164">
        <v>1221424.83</v>
      </c>
      <c r="D1221" s="164"/>
      <c r="E1221" s="164"/>
      <c r="F1221" s="164"/>
      <c r="G1221" s="164"/>
      <c r="H1221" s="164"/>
      <c r="I1221" s="164"/>
      <c r="J1221" s="164"/>
      <c r="K1221" s="164">
        <v>0</v>
      </c>
      <c r="L1221" s="162">
        <v>0</v>
      </c>
      <c r="M1221" s="164">
        <v>0</v>
      </c>
      <c r="N1221" s="164">
        <v>640</v>
      </c>
      <c r="O1221" s="164">
        <v>1221424.83</v>
      </c>
      <c r="P1221" s="162">
        <v>0</v>
      </c>
      <c r="Q1221" s="164">
        <v>0</v>
      </c>
      <c r="R1221" s="168">
        <v>0</v>
      </c>
      <c r="S1221" s="164">
        <v>0</v>
      </c>
      <c r="T1221" s="165">
        <v>0</v>
      </c>
      <c r="U1221" s="246">
        <v>0</v>
      </c>
      <c r="V1221" s="241">
        <f>C1221-'часть 1'!L1229</f>
        <v>-199762.16999999993</v>
      </c>
      <c r="W1221" s="241"/>
      <c r="X1221" s="241"/>
      <c r="Y1221" s="50"/>
      <c r="Z1221" s="9"/>
      <c r="AA1221" s="50"/>
      <c r="AB1221" s="9"/>
      <c r="AC1221" s="50"/>
      <c r="AD1221" s="9"/>
      <c r="AE1221" s="50"/>
      <c r="AF1221" s="9"/>
      <c r="AG1221" s="50"/>
      <c r="AH1221" s="9"/>
      <c r="AI1221" s="257"/>
    </row>
    <row r="1222" spans="1:35" ht="31.5" customHeight="1">
      <c r="A1222" s="166"/>
      <c r="B1222" s="163" t="s">
        <v>91</v>
      </c>
      <c r="C1222" s="164">
        <f>C1223+C1224+C1225+C1226+C1227+C1228+C1229+C1230+C1231+C1232+C1233</f>
        <v>20085822.140000001</v>
      </c>
      <c r="D1222" s="164">
        <f t="shared" ref="D1222:U1222" si="145">D1223+D1224+D1225+D1226+D1227+D1228+D1229+D1230+D1231+D1232+D1233</f>
        <v>0</v>
      </c>
      <c r="E1222" s="164">
        <f t="shared" si="145"/>
        <v>0</v>
      </c>
      <c r="F1222" s="164">
        <f t="shared" si="145"/>
        <v>0</v>
      </c>
      <c r="G1222" s="164">
        <f t="shared" si="145"/>
        <v>0</v>
      </c>
      <c r="H1222" s="164">
        <f t="shared" si="145"/>
        <v>0</v>
      </c>
      <c r="I1222" s="164">
        <f t="shared" si="145"/>
        <v>0</v>
      </c>
      <c r="J1222" s="164">
        <f t="shared" si="145"/>
        <v>0</v>
      </c>
      <c r="K1222" s="164">
        <f t="shared" si="145"/>
        <v>0</v>
      </c>
      <c r="L1222" s="164">
        <f t="shared" si="145"/>
        <v>0</v>
      </c>
      <c r="M1222" s="164">
        <f t="shared" si="145"/>
        <v>0</v>
      </c>
      <c r="N1222" s="164">
        <f t="shared" si="145"/>
        <v>6378.11</v>
      </c>
      <c r="O1222" s="164">
        <f t="shared" si="145"/>
        <v>20085822.140000001</v>
      </c>
      <c r="P1222" s="164">
        <f t="shared" si="145"/>
        <v>0</v>
      </c>
      <c r="Q1222" s="164">
        <f t="shared" si="145"/>
        <v>0</v>
      </c>
      <c r="R1222" s="164">
        <f t="shared" si="145"/>
        <v>0</v>
      </c>
      <c r="S1222" s="164">
        <f t="shared" si="145"/>
        <v>0</v>
      </c>
      <c r="T1222" s="164">
        <f t="shared" si="145"/>
        <v>0</v>
      </c>
      <c r="U1222" s="164">
        <f t="shared" si="145"/>
        <v>0</v>
      </c>
      <c r="V1222" s="241"/>
      <c r="W1222" s="241"/>
      <c r="X1222" s="241"/>
    </row>
    <row r="1223" spans="1:35" ht="15.75">
      <c r="A1223" s="166">
        <v>169</v>
      </c>
      <c r="B1223" s="225" t="s">
        <v>963</v>
      </c>
      <c r="C1223" s="164">
        <f>'часть 1'!L1256</f>
        <v>568539.85</v>
      </c>
      <c r="D1223" s="164">
        <v>0</v>
      </c>
      <c r="E1223" s="164">
        <v>0</v>
      </c>
      <c r="F1223" s="164">
        <v>0</v>
      </c>
      <c r="G1223" s="164">
        <v>0</v>
      </c>
      <c r="H1223" s="164">
        <v>0</v>
      </c>
      <c r="I1223" s="164">
        <v>0</v>
      </c>
      <c r="J1223" s="164">
        <v>0</v>
      </c>
      <c r="K1223" s="164">
        <v>0</v>
      </c>
      <c r="L1223" s="174">
        <v>0</v>
      </c>
      <c r="M1223" s="167">
        <v>0</v>
      </c>
      <c r="N1223" s="167">
        <v>311</v>
      </c>
      <c r="O1223" s="167">
        <f>C1223</f>
        <v>568539.85</v>
      </c>
      <c r="P1223" s="169">
        <v>0</v>
      </c>
      <c r="Q1223" s="167">
        <v>0</v>
      </c>
      <c r="R1223" s="168">
        <v>0</v>
      </c>
      <c r="S1223" s="175">
        <v>0</v>
      </c>
      <c r="T1223" s="169">
        <v>0</v>
      </c>
      <c r="U1223" s="247">
        <v>0</v>
      </c>
      <c r="V1223" s="241"/>
      <c r="W1223" s="241">
        <f>O1223/N1223</f>
        <v>1828.1024115755627</v>
      </c>
      <c r="X1223" s="241"/>
    </row>
    <row r="1224" spans="1:35" ht="15.75">
      <c r="A1224" s="166">
        <v>170</v>
      </c>
      <c r="B1224" s="225" t="s">
        <v>964</v>
      </c>
      <c r="C1224" s="164">
        <f>'часть 1'!L1257</f>
        <v>690413</v>
      </c>
      <c r="D1224" s="164">
        <v>0</v>
      </c>
      <c r="E1224" s="164">
        <v>0</v>
      </c>
      <c r="F1224" s="164">
        <v>0</v>
      </c>
      <c r="G1224" s="164">
        <v>0</v>
      </c>
      <c r="H1224" s="164">
        <v>0</v>
      </c>
      <c r="I1224" s="164">
        <v>0</v>
      </c>
      <c r="J1224" s="164">
        <v>0</v>
      </c>
      <c r="K1224" s="164">
        <v>0</v>
      </c>
      <c r="L1224" s="174">
        <v>0</v>
      </c>
      <c r="M1224" s="167">
        <v>0</v>
      </c>
      <c r="N1224" s="167">
        <v>214.48</v>
      </c>
      <c r="O1224" s="167">
        <f t="shared" ref="O1224:O1233" si="146">C1224</f>
        <v>690413</v>
      </c>
      <c r="P1224" s="169">
        <v>0</v>
      </c>
      <c r="Q1224" s="167">
        <v>0</v>
      </c>
      <c r="R1224" s="168">
        <v>0</v>
      </c>
      <c r="S1224" s="175">
        <v>0</v>
      </c>
      <c r="T1224" s="169">
        <v>0</v>
      </c>
      <c r="U1224" s="247">
        <v>0</v>
      </c>
      <c r="V1224" s="241"/>
      <c r="W1224" s="241">
        <f t="shared" ref="W1224:W1233" si="147">O1224/N1224</f>
        <v>3219.0087653860501</v>
      </c>
      <c r="X1224" s="241"/>
    </row>
    <row r="1225" spans="1:35" ht="15.75">
      <c r="A1225" s="166">
        <v>171</v>
      </c>
      <c r="B1225" s="225" t="s">
        <v>965</v>
      </c>
      <c r="C1225" s="164">
        <f>'часть 1'!L1258</f>
        <v>1677206</v>
      </c>
      <c r="D1225" s="164">
        <v>0</v>
      </c>
      <c r="E1225" s="164">
        <v>0</v>
      </c>
      <c r="F1225" s="164">
        <v>0</v>
      </c>
      <c r="G1225" s="164">
        <v>0</v>
      </c>
      <c r="H1225" s="164">
        <v>0</v>
      </c>
      <c r="I1225" s="164">
        <v>0</v>
      </c>
      <c r="J1225" s="164">
        <v>0</v>
      </c>
      <c r="K1225" s="164">
        <v>0</v>
      </c>
      <c r="L1225" s="174">
        <v>0</v>
      </c>
      <c r="M1225" s="167">
        <v>0</v>
      </c>
      <c r="N1225" s="167">
        <v>525</v>
      </c>
      <c r="O1225" s="167">
        <f t="shared" si="146"/>
        <v>1677206</v>
      </c>
      <c r="P1225" s="169">
        <v>0</v>
      </c>
      <c r="Q1225" s="167">
        <v>0</v>
      </c>
      <c r="R1225" s="168">
        <v>0</v>
      </c>
      <c r="S1225" s="175">
        <v>0</v>
      </c>
      <c r="T1225" s="169">
        <v>0</v>
      </c>
      <c r="U1225" s="247">
        <v>0</v>
      </c>
      <c r="V1225" s="241"/>
      <c r="W1225" s="241">
        <f t="shared" si="147"/>
        <v>3194.678095238095</v>
      </c>
      <c r="X1225" s="241"/>
    </row>
    <row r="1226" spans="1:35" ht="15.75">
      <c r="A1226" s="166">
        <v>172</v>
      </c>
      <c r="B1226" s="225" t="s">
        <v>966</v>
      </c>
      <c r="C1226" s="164">
        <f>'часть 1'!L1259</f>
        <v>1912197</v>
      </c>
      <c r="D1226" s="164">
        <v>0</v>
      </c>
      <c r="E1226" s="164">
        <v>0</v>
      </c>
      <c r="F1226" s="164">
        <v>0</v>
      </c>
      <c r="G1226" s="164">
        <v>0</v>
      </c>
      <c r="H1226" s="164">
        <v>0</v>
      </c>
      <c r="I1226" s="164">
        <v>0</v>
      </c>
      <c r="J1226" s="164">
        <v>0</v>
      </c>
      <c r="K1226" s="164">
        <v>0</v>
      </c>
      <c r="L1226" s="174">
        <v>0</v>
      </c>
      <c r="M1226" s="167">
        <v>0</v>
      </c>
      <c r="N1226" s="167">
        <v>600</v>
      </c>
      <c r="O1226" s="167">
        <f t="shared" si="146"/>
        <v>1912197</v>
      </c>
      <c r="P1226" s="169">
        <v>0</v>
      </c>
      <c r="Q1226" s="167">
        <v>0</v>
      </c>
      <c r="R1226" s="168">
        <v>0</v>
      </c>
      <c r="S1226" s="175">
        <v>0</v>
      </c>
      <c r="T1226" s="169">
        <v>0</v>
      </c>
      <c r="U1226" s="247">
        <v>0</v>
      </c>
      <c r="V1226" s="241"/>
      <c r="W1226" s="241">
        <f t="shared" si="147"/>
        <v>3186.9949999999999</v>
      </c>
      <c r="X1226" s="241"/>
    </row>
    <row r="1227" spans="1:35" ht="15.75">
      <c r="A1227" s="166">
        <v>173</v>
      </c>
      <c r="B1227" s="225" t="s">
        <v>967</v>
      </c>
      <c r="C1227" s="164">
        <f>'часть 1'!L1260</f>
        <v>2920191</v>
      </c>
      <c r="D1227" s="164">
        <v>0</v>
      </c>
      <c r="E1227" s="164">
        <v>0</v>
      </c>
      <c r="F1227" s="164">
        <v>0</v>
      </c>
      <c r="G1227" s="164">
        <v>0</v>
      </c>
      <c r="H1227" s="164">
        <v>0</v>
      </c>
      <c r="I1227" s="164">
        <v>0</v>
      </c>
      <c r="J1227" s="164">
        <v>0</v>
      </c>
      <c r="K1227" s="164">
        <v>0</v>
      </c>
      <c r="L1227" s="174">
        <v>0</v>
      </c>
      <c r="M1227" s="167">
        <v>0</v>
      </c>
      <c r="N1227" s="167">
        <v>915</v>
      </c>
      <c r="O1227" s="167">
        <f t="shared" si="146"/>
        <v>2920191</v>
      </c>
      <c r="P1227" s="169">
        <v>0</v>
      </c>
      <c r="Q1227" s="167">
        <v>0</v>
      </c>
      <c r="R1227" s="168">
        <v>0</v>
      </c>
      <c r="S1227" s="175">
        <v>0</v>
      </c>
      <c r="T1227" s="169">
        <v>0</v>
      </c>
      <c r="U1227" s="247">
        <v>0</v>
      </c>
      <c r="V1227" s="241"/>
      <c r="W1227" s="241">
        <f t="shared" si="147"/>
        <v>3191.465573770492</v>
      </c>
      <c r="X1227" s="241"/>
    </row>
    <row r="1228" spans="1:35" ht="15.75">
      <c r="A1228" s="166">
        <v>174</v>
      </c>
      <c r="B1228" s="225" t="s">
        <v>968</v>
      </c>
      <c r="C1228" s="164">
        <f>'часть 1'!L1261</f>
        <v>1379030</v>
      </c>
      <c r="D1228" s="164">
        <v>0</v>
      </c>
      <c r="E1228" s="164">
        <v>0</v>
      </c>
      <c r="F1228" s="164">
        <v>0</v>
      </c>
      <c r="G1228" s="164">
        <v>0</v>
      </c>
      <c r="H1228" s="164">
        <v>0</v>
      </c>
      <c r="I1228" s="164">
        <v>0</v>
      </c>
      <c r="J1228" s="164">
        <v>0</v>
      </c>
      <c r="K1228" s="164">
        <v>0</v>
      </c>
      <c r="L1228" s="174">
        <v>0</v>
      </c>
      <c r="M1228" s="167">
        <v>0</v>
      </c>
      <c r="N1228" s="167">
        <v>430.15</v>
      </c>
      <c r="O1228" s="167">
        <f t="shared" si="146"/>
        <v>1379030</v>
      </c>
      <c r="P1228" s="169">
        <v>0</v>
      </c>
      <c r="Q1228" s="167">
        <v>0</v>
      </c>
      <c r="R1228" s="168">
        <v>0</v>
      </c>
      <c r="S1228" s="175">
        <v>0</v>
      </c>
      <c r="T1228" s="169">
        <v>0</v>
      </c>
      <c r="U1228" s="247">
        <v>0</v>
      </c>
      <c r="V1228" s="241"/>
      <c r="W1228" s="241">
        <f t="shared" si="147"/>
        <v>3205.9281645937467</v>
      </c>
      <c r="X1228" s="241"/>
    </row>
    <row r="1229" spans="1:35" ht="15.75">
      <c r="A1229" s="166"/>
      <c r="B1229" s="225" t="s">
        <v>969</v>
      </c>
      <c r="C1229" s="164">
        <f>'часть 1'!L1262</f>
        <v>1053343</v>
      </c>
      <c r="D1229" s="164">
        <v>0</v>
      </c>
      <c r="E1229" s="164">
        <v>0</v>
      </c>
      <c r="F1229" s="164">
        <v>0</v>
      </c>
      <c r="G1229" s="164">
        <v>0</v>
      </c>
      <c r="H1229" s="164">
        <v>0</v>
      </c>
      <c r="I1229" s="164">
        <v>0</v>
      </c>
      <c r="J1229" s="164">
        <v>0</v>
      </c>
      <c r="K1229" s="164">
        <v>0</v>
      </c>
      <c r="L1229" s="174">
        <v>0</v>
      </c>
      <c r="M1229" s="167">
        <v>0</v>
      </c>
      <c r="N1229" s="167">
        <v>327</v>
      </c>
      <c r="O1229" s="167">
        <f t="shared" si="146"/>
        <v>1053343</v>
      </c>
      <c r="P1229" s="169">
        <v>0</v>
      </c>
      <c r="Q1229" s="167">
        <v>0</v>
      </c>
      <c r="R1229" s="168">
        <v>0</v>
      </c>
      <c r="S1229" s="175">
        <v>0</v>
      </c>
      <c r="T1229" s="169">
        <v>0</v>
      </c>
      <c r="U1229" s="247">
        <v>0</v>
      </c>
      <c r="V1229" s="241"/>
      <c r="W1229" s="241">
        <f t="shared" si="147"/>
        <v>3221.2324159021405</v>
      </c>
      <c r="X1229" s="241"/>
    </row>
    <row r="1230" spans="1:35" ht="15.75">
      <c r="A1230" s="166"/>
      <c r="B1230" s="225" t="s">
        <v>970</v>
      </c>
      <c r="C1230" s="164">
        <f>'часть 1'!L1263</f>
        <v>2217592</v>
      </c>
      <c r="D1230" s="164">
        <v>0</v>
      </c>
      <c r="E1230" s="164">
        <v>0</v>
      </c>
      <c r="F1230" s="164">
        <v>0</v>
      </c>
      <c r="G1230" s="164">
        <v>0</v>
      </c>
      <c r="H1230" s="164">
        <v>0</v>
      </c>
      <c r="I1230" s="164">
        <v>0</v>
      </c>
      <c r="J1230" s="164">
        <v>0</v>
      </c>
      <c r="K1230" s="164">
        <v>0</v>
      </c>
      <c r="L1230" s="174">
        <v>0</v>
      </c>
      <c r="M1230" s="167">
        <v>0</v>
      </c>
      <c r="N1230" s="167">
        <v>883.7</v>
      </c>
      <c r="O1230" s="167">
        <f t="shared" si="146"/>
        <v>2217592</v>
      </c>
      <c r="P1230" s="169">
        <v>0</v>
      </c>
      <c r="Q1230" s="167">
        <v>0</v>
      </c>
      <c r="R1230" s="168">
        <v>0</v>
      </c>
      <c r="S1230" s="175">
        <v>0</v>
      </c>
      <c r="T1230" s="169">
        <v>0</v>
      </c>
      <c r="U1230" s="247">
        <v>0</v>
      </c>
      <c r="V1230" s="241"/>
      <c r="W1230" s="241">
        <f t="shared" si="147"/>
        <v>2509.4398551544641</v>
      </c>
      <c r="X1230" s="241"/>
    </row>
    <row r="1231" spans="1:35" ht="15.75">
      <c r="A1231" s="166"/>
      <c r="B1231" s="225" t="s">
        <v>971</v>
      </c>
      <c r="C1231" s="164">
        <f>'часть 1'!L1264</f>
        <v>3519351</v>
      </c>
      <c r="D1231" s="164">
        <v>0</v>
      </c>
      <c r="E1231" s="164">
        <v>0</v>
      </c>
      <c r="F1231" s="164">
        <v>0</v>
      </c>
      <c r="G1231" s="164">
        <v>0</v>
      </c>
      <c r="H1231" s="164">
        <v>0</v>
      </c>
      <c r="I1231" s="164">
        <v>0</v>
      </c>
      <c r="J1231" s="164">
        <v>0</v>
      </c>
      <c r="K1231" s="164">
        <v>0</v>
      </c>
      <c r="L1231" s="174">
        <v>0</v>
      </c>
      <c r="M1231" s="167">
        <v>0</v>
      </c>
      <c r="N1231" s="167">
        <v>1106.78</v>
      </c>
      <c r="O1231" s="167">
        <f t="shared" si="146"/>
        <v>3519351</v>
      </c>
      <c r="P1231" s="169">
        <v>0</v>
      </c>
      <c r="Q1231" s="167">
        <v>0</v>
      </c>
      <c r="R1231" s="168">
        <v>0</v>
      </c>
      <c r="S1231" s="175">
        <v>0</v>
      </c>
      <c r="T1231" s="169">
        <v>0</v>
      </c>
      <c r="U1231" s="247">
        <v>0</v>
      </c>
      <c r="V1231" s="241"/>
      <c r="W1231" s="241">
        <f t="shared" si="147"/>
        <v>3179.8108025081769</v>
      </c>
      <c r="X1231" s="241"/>
    </row>
    <row r="1232" spans="1:35" ht="15.75">
      <c r="A1232" s="166">
        <v>175</v>
      </c>
      <c r="B1232" s="225" t="s">
        <v>972</v>
      </c>
      <c r="C1232" s="164">
        <f>'часть 1'!L1265</f>
        <v>1482982.29</v>
      </c>
      <c r="D1232" s="164">
        <v>0</v>
      </c>
      <c r="E1232" s="164">
        <v>0</v>
      </c>
      <c r="F1232" s="164">
        <v>0</v>
      </c>
      <c r="G1232" s="164">
        <v>0</v>
      </c>
      <c r="H1232" s="164">
        <v>0</v>
      </c>
      <c r="I1232" s="164">
        <v>0</v>
      </c>
      <c r="J1232" s="164">
        <v>0</v>
      </c>
      <c r="K1232" s="164">
        <v>0</v>
      </c>
      <c r="L1232" s="174">
        <v>0</v>
      </c>
      <c r="M1232" s="167">
        <v>0</v>
      </c>
      <c r="N1232" s="167">
        <v>0</v>
      </c>
      <c r="O1232" s="167">
        <f t="shared" si="146"/>
        <v>1482982.29</v>
      </c>
      <c r="P1232" s="169">
        <v>0</v>
      </c>
      <c r="Q1232" s="167">
        <v>0</v>
      </c>
      <c r="R1232" s="168">
        <v>0</v>
      </c>
      <c r="S1232" s="175">
        <v>0</v>
      </c>
      <c r="T1232" s="169">
        <v>0</v>
      </c>
      <c r="U1232" s="247">
        <v>0</v>
      </c>
      <c r="V1232" s="241"/>
      <c r="W1232" s="241" t="e">
        <f t="shared" si="147"/>
        <v>#DIV/0!</v>
      </c>
      <c r="X1232" s="241"/>
    </row>
    <row r="1233" spans="1:24" ht="15.75">
      <c r="A1233" s="166">
        <v>176</v>
      </c>
      <c r="B1233" s="225" t="s">
        <v>973</v>
      </c>
      <c r="C1233" s="164">
        <f>'часть 1'!L1266</f>
        <v>2664977</v>
      </c>
      <c r="D1233" s="164">
        <v>0</v>
      </c>
      <c r="E1233" s="164">
        <v>0</v>
      </c>
      <c r="F1233" s="164">
        <v>0</v>
      </c>
      <c r="G1233" s="164">
        <v>0</v>
      </c>
      <c r="H1233" s="164">
        <v>0</v>
      </c>
      <c r="I1233" s="164">
        <v>0</v>
      </c>
      <c r="J1233" s="164">
        <v>0</v>
      </c>
      <c r="K1233" s="164">
        <v>0</v>
      </c>
      <c r="L1233" s="174">
        <v>0</v>
      </c>
      <c r="M1233" s="167">
        <v>0</v>
      </c>
      <c r="N1233" s="167">
        <v>1065</v>
      </c>
      <c r="O1233" s="167">
        <f t="shared" si="146"/>
        <v>2664977</v>
      </c>
      <c r="P1233" s="169">
        <v>0</v>
      </c>
      <c r="Q1233" s="167">
        <v>0</v>
      </c>
      <c r="R1233" s="168">
        <v>0</v>
      </c>
      <c r="S1233" s="175">
        <v>0</v>
      </c>
      <c r="T1233" s="169">
        <v>0</v>
      </c>
      <c r="U1233" s="247">
        <v>0</v>
      </c>
      <c r="V1233" s="241"/>
      <c r="W1233" s="241">
        <f t="shared" si="147"/>
        <v>2502.3258215962442</v>
      </c>
      <c r="X1233" s="241"/>
    </row>
    <row r="1234" spans="1:24" ht="18.75" customHeight="1">
      <c r="A1234" s="410"/>
      <c r="B1234" s="458" t="s">
        <v>92</v>
      </c>
      <c r="C1234" s="450">
        <f>C1235</f>
        <v>0</v>
      </c>
      <c r="D1234" s="450">
        <f t="shared" ref="D1234:U1234" si="148">D1235</f>
        <v>0</v>
      </c>
      <c r="E1234" s="450">
        <f t="shared" si="148"/>
        <v>0</v>
      </c>
      <c r="F1234" s="450">
        <f t="shared" si="148"/>
        <v>0</v>
      </c>
      <c r="G1234" s="450">
        <f t="shared" si="148"/>
        <v>0</v>
      </c>
      <c r="H1234" s="450">
        <f t="shared" si="148"/>
        <v>0</v>
      </c>
      <c r="I1234" s="450">
        <f t="shared" si="148"/>
        <v>0</v>
      </c>
      <c r="J1234" s="450">
        <f t="shared" si="148"/>
        <v>0</v>
      </c>
      <c r="K1234" s="450">
        <f t="shared" si="148"/>
        <v>0</v>
      </c>
      <c r="L1234" s="450">
        <f t="shared" si="148"/>
        <v>0</v>
      </c>
      <c r="M1234" s="450">
        <f t="shared" si="148"/>
        <v>0</v>
      </c>
      <c r="N1234" s="450">
        <f t="shared" si="148"/>
        <v>0</v>
      </c>
      <c r="O1234" s="450">
        <f t="shared" si="148"/>
        <v>0</v>
      </c>
      <c r="P1234" s="450">
        <f t="shared" si="148"/>
        <v>0</v>
      </c>
      <c r="Q1234" s="450">
        <f t="shared" si="148"/>
        <v>0</v>
      </c>
      <c r="R1234" s="450">
        <f t="shared" si="148"/>
        <v>0</v>
      </c>
      <c r="S1234" s="450">
        <f t="shared" si="148"/>
        <v>0</v>
      </c>
      <c r="T1234" s="450">
        <f t="shared" si="148"/>
        <v>0</v>
      </c>
      <c r="U1234" s="450">
        <f t="shared" si="148"/>
        <v>0</v>
      </c>
      <c r="V1234" s="241"/>
      <c r="W1234" s="241"/>
      <c r="X1234" s="241"/>
    </row>
    <row r="1235" spans="1:24">
      <c r="A1235" s="410"/>
      <c r="B1235" s="458"/>
      <c r="C1235" s="450"/>
      <c r="D1235" s="450"/>
      <c r="E1235" s="450"/>
      <c r="F1235" s="450"/>
      <c r="G1235" s="450"/>
      <c r="H1235" s="450"/>
      <c r="I1235" s="450"/>
      <c r="J1235" s="450"/>
      <c r="K1235" s="450"/>
      <c r="L1235" s="410"/>
      <c r="M1235" s="412"/>
      <c r="N1235" s="491"/>
      <c r="O1235" s="412"/>
      <c r="P1235" s="413"/>
      <c r="Q1235" s="412"/>
      <c r="R1235" s="414"/>
      <c r="S1235" s="415"/>
      <c r="T1235" s="413"/>
      <c r="U1235" s="798"/>
      <c r="V1235" s="241"/>
      <c r="W1235" s="241"/>
      <c r="X1235" s="241"/>
    </row>
    <row r="1236" spans="1:24" ht="18.75" customHeight="1">
      <c r="A1236" s="410"/>
      <c r="B1236" s="449" t="s">
        <v>93</v>
      </c>
      <c r="C1236" s="450">
        <f>C1237+C1238+C1239+C1240</f>
        <v>12233600</v>
      </c>
      <c r="D1236" s="450">
        <f t="shared" ref="D1236:V1236" si="149">D1237+D1238+D1239+D1240</f>
        <v>0</v>
      </c>
      <c r="E1236" s="450">
        <f t="shared" si="149"/>
        <v>0</v>
      </c>
      <c r="F1236" s="450">
        <f t="shared" si="149"/>
        <v>0</v>
      </c>
      <c r="G1236" s="450">
        <f t="shared" si="149"/>
        <v>0</v>
      </c>
      <c r="H1236" s="450">
        <f t="shared" si="149"/>
        <v>0</v>
      </c>
      <c r="I1236" s="450">
        <f t="shared" si="149"/>
        <v>0</v>
      </c>
      <c r="J1236" s="450">
        <f t="shared" si="149"/>
        <v>0</v>
      </c>
      <c r="K1236" s="450">
        <f t="shared" si="149"/>
        <v>0</v>
      </c>
      <c r="L1236" s="450">
        <f t="shared" si="149"/>
        <v>0</v>
      </c>
      <c r="M1236" s="450">
        <f t="shared" si="149"/>
        <v>0</v>
      </c>
      <c r="N1236" s="450">
        <f t="shared" si="149"/>
        <v>4541.1400000000003</v>
      </c>
      <c r="O1236" s="450">
        <f t="shared" si="149"/>
        <v>12233600</v>
      </c>
      <c r="P1236" s="450">
        <f t="shared" si="149"/>
        <v>0</v>
      </c>
      <c r="Q1236" s="450">
        <f t="shared" si="149"/>
        <v>0</v>
      </c>
      <c r="R1236" s="450">
        <f t="shared" si="149"/>
        <v>0</v>
      </c>
      <c r="S1236" s="450">
        <f t="shared" si="149"/>
        <v>0</v>
      </c>
      <c r="T1236" s="450">
        <f t="shared" si="149"/>
        <v>0</v>
      </c>
      <c r="U1236" s="450">
        <f t="shared" si="149"/>
        <v>0</v>
      </c>
      <c r="V1236" s="450">
        <f t="shared" si="149"/>
        <v>0</v>
      </c>
      <c r="W1236" s="241"/>
      <c r="X1236" s="241"/>
    </row>
    <row r="1237" spans="1:24" s="18" customFormat="1">
      <c r="A1237" s="410">
        <v>178</v>
      </c>
      <c r="B1237" s="621" t="s">
        <v>790</v>
      </c>
      <c r="C1237" s="419">
        <f>'часть 1'!L1270</f>
        <v>3401438</v>
      </c>
      <c r="D1237" s="419">
        <v>0</v>
      </c>
      <c r="E1237" s="419">
        <v>0</v>
      </c>
      <c r="F1237" s="419">
        <v>0</v>
      </c>
      <c r="G1237" s="419">
        <v>0</v>
      </c>
      <c r="H1237" s="419">
        <v>0</v>
      </c>
      <c r="I1237" s="419">
        <v>0</v>
      </c>
      <c r="J1237" s="419">
        <v>0</v>
      </c>
      <c r="K1237" s="419">
        <v>0</v>
      </c>
      <c r="L1237" s="453">
        <v>0</v>
      </c>
      <c r="M1237" s="419">
        <v>0</v>
      </c>
      <c r="N1237" s="419">
        <v>1360.8</v>
      </c>
      <c r="O1237" s="419">
        <v>3401438</v>
      </c>
      <c r="P1237" s="453">
        <v>0</v>
      </c>
      <c r="Q1237" s="419">
        <v>0</v>
      </c>
      <c r="R1237" s="454">
        <v>0</v>
      </c>
      <c r="S1237" s="419">
        <v>0</v>
      </c>
      <c r="T1237" s="453">
        <v>0</v>
      </c>
      <c r="U1237" s="455">
        <v>0</v>
      </c>
      <c r="V1237" s="241"/>
      <c r="W1237" s="241">
        <f>O1237/N1237</f>
        <v>2499.5870076425631</v>
      </c>
      <c r="X1237" s="241"/>
    </row>
    <row r="1238" spans="1:24" s="18" customFormat="1">
      <c r="A1238" s="410">
        <v>179</v>
      </c>
      <c r="B1238" s="621" t="s">
        <v>791</v>
      </c>
      <c r="C1238" s="419">
        <f>'часть 1'!L1271</f>
        <v>2323942</v>
      </c>
      <c r="D1238" s="419">
        <v>0</v>
      </c>
      <c r="E1238" s="419">
        <v>0</v>
      </c>
      <c r="F1238" s="419">
        <v>0</v>
      </c>
      <c r="G1238" s="419">
        <v>0</v>
      </c>
      <c r="H1238" s="419">
        <v>0</v>
      </c>
      <c r="I1238" s="419">
        <v>0</v>
      </c>
      <c r="J1238" s="419">
        <v>0</v>
      </c>
      <c r="K1238" s="419">
        <v>0</v>
      </c>
      <c r="L1238" s="453">
        <v>0</v>
      </c>
      <c r="M1238" s="419">
        <v>0</v>
      </c>
      <c r="N1238" s="419">
        <v>927</v>
      </c>
      <c r="O1238" s="419">
        <v>2323942</v>
      </c>
      <c r="P1238" s="453">
        <v>0</v>
      </c>
      <c r="Q1238" s="419">
        <v>0</v>
      </c>
      <c r="R1238" s="454">
        <v>0</v>
      </c>
      <c r="S1238" s="419">
        <v>0</v>
      </c>
      <c r="T1238" s="453">
        <v>0</v>
      </c>
      <c r="U1238" s="455">
        <v>0</v>
      </c>
      <c r="V1238" s="241"/>
      <c r="W1238" s="241">
        <f>O1238/N1238</f>
        <v>2506.9492988133766</v>
      </c>
      <c r="X1238" s="241"/>
    </row>
    <row r="1239" spans="1:24" s="18" customFormat="1">
      <c r="A1239" s="410">
        <v>180</v>
      </c>
      <c r="B1239" s="621" t="s">
        <v>792</v>
      </c>
      <c r="C1239" s="419">
        <f>'часть 1'!L1272</f>
        <v>4059506</v>
      </c>
      <c r="D1239" s="419">
        <v>0</v>
      </c>
      <c r="E1239" s="419">
        <v>0</v>
      </c>
      <c r="F1239" s="419">
        <v>0</v>
      </c>
      <c r="G1239" s="419">
        <v>0</v>
      </c>
      <c r="H1239" s="419">
        <v>0</v>
      </c>
      <c r="I1239" s="419">
        <v>0</v>
      </c>
      <c r="J1239" s="419">
        <v>0</v>
      </c>
      <c r="K1239" s="419">
        <v>0</v>
      </c>
      <c r="L1239" s="453">
        <v>0</v>
      </c>
      <c r="M1239" s="419">
        <v>0</v>
      </c>
      <c r="N1239" s="419">
        <v>1275.8399999999999</v>
      </c>
      <c r="O1239" s="419">
        <v>4059506</v>
      </c>
      <c r="P1239" s="453">
        <v>0</v>
      </c>
      <c r="Q1239" s="419">
        <v>0</v>
      </c>
      <c r="R1239" s="454">
        <v>0</v>
      </c>
      <c r="S1239" s="419">
        <v>0</v>
      </c>
      <c r="T1239" s="453">
        <v>0</v>
      </c>
      <c r="U1239" s="455">
        <v>0</v>
      </c>
      <c r="V1239" s="241"/>
      <c r="W1239" s="241">
        <f>O1239/N1239</f>
        <v>3181.830010032606</v>
      </c>
      <c r="X1239" s="241"/>
    </row>
    <row r="1240" spans="1:24" s="18" customFormat="1">
      <c r="A1240" s="410">
        <v>181</v>
      </c>
      <c r="B1240" s="621" t="s">
        <v>793</v>
      </c>
      <c r="C1240" s="419">
        <f>'часть 1'!L1273</f>
        <v>2448714</v>
      </c>
      <c r="D1240" s="419">
        <v>0</v>
      </c>
      <c r="E1240" s="419">
        <v>0</v>
      </c>
      <c r="F1240" s="419">
        <v>0</v>
      </c>
      <c r="G1240" s="419">
        <v>0</v>
      </c>
      <c r="H1240" s="419">
        <v>0</v>
      </c>
      <c r="I1240" s="419">
        <v>0</v>
      </c>
      <c r="J1240" s="419">
        <v>0</v>
      </c>
      <c r="K1240" s="419">
        <v>0</v>
      </c>
      <c r="L1240" s="453">
        <v>0</v>
      </c>
      <c r="M1240" s="419">
        <v>0</v>
      </c>
      <c r="N1240" s="419">
        <v>977.5</v>
      </c>
      <c r="O1240" s="419">
        <v>2448714</v>
      </c>
      <c r="P1240" s="453">
        <v>0</v>
      </c>
      <c r="Q1240" s="419">
        <v>0</v>
      </c>
      <c r="R1240" s="454">
        <v>0</v>
      </c>
      <c r="S1240" s="419">
        <v>0</v>
      </c>
      <c r="T1240" s="453">
        <v>0</v>
      </c>
      <c r="U1240" s="455">
        <v>0</v>
      </c>
      <c r="V1240" s="241"/>
      <c r="W1240" s="241">
        <f>O1240/N1240</f>
        <v>2505.0782608695654</v>
      </c>
      <c r="X1240" s="241"/>
    </row>
    <row r="1241" spans="1:24" s="18" customFormat="1">
      <c r="A1241" s="410"/>
      <c r="B1241" s="621"/>
      <c r="C1241" s="419"/>
      <c r="D1241" s="419"/>
      <c r="E1241" s="419"/>
      <c r="F1241" s="419"/>
      <c r="G1241" s="419"/>
      <c r="H1241" s="419"/>
      <c r="I1241" s="419"/>
      <c r="J1241" s="419"/>
      <c r="K1241" s="419"/>
      <c r="L1241" s="453"/>
      <c r="M1241" s="419"/>
      <c r="N1241" s="419"/>
      <c r="O1241" s="419"/>
      <c r="P1241" s="453"/>
      <c r="Q1241" s="419"/>
      <c r="R1241" s="454"/>
      <c r="S1241" s="419"/>
      <c r="T1241" s="453"/>
      <c r="U1241" s="455"/>
      <c r="V1241" s="241"/>
      <c r="W1241" s="241"/>
      <c r="X1241" s="241"/>
    </row>
    <row r="1242" spans="1:24" s="18" customFormat="1">
      <c r="A1242" s="410"/>
      <c r="B1242" s="621"/>
      <c r="C1242" s="419"/>
      <c r="D1242" s="419"/>
      <c r="E1242" s="419"/>
      <c r="F1242" s="419"/>
      <c r="G1242" s="419"/>
      <c r="H1242" s="419"/>
      <c r="I1242" s="419"/>
      <c r="J1242" s="419"/>
      <c r="K1242" s="419"/>
      <c r="L1242" s="453"/>
      <c r="M1242" s="419"/>
      <c r="N1242" s="419"/>
      <c r="O1242" s="419"/>
      <c r="P1242" s="453"/>
      <c r="Q1242" s="419"/>
      <c r="R1242" s="454"/>
      <c r="S1242" s="419"/>
      <c r="T1242" s="453"/>
      <c r="U1242" s="455"/>
      <c r="V1242" s="241"/>
      <c r="W1242" s="241"/>
      <c r="X1242" s="241"/>
    </row>
    <row r="1243" spans="1:24" s="18" customFormat="1">
      <c r="A1243" s="410"/>
      <c r="B1243" s="621"/>
      <c r="C1243" s="419"/>
      <c r="D1243" s="419"/>
      <c r="E1243" s="419"/>
      <c r="F1243" s="419"/>
      <c r="G1243" s="419"/>
      <c r="H1243" s="419"/>
      <c r="I1243" s="419"/>
      <c r="J1243" s="419"/>
      <c r="K1243" s="419"/>
      <c r="L1243" s="453"/>
      <c r="M1243" s="419"/>
      <c r="N1243" s="419"/>
      <c r="O1243" s="419"/>
      <c r="P1243" s="453"/>
      <c r="Q1243" s="419"/>
      <c r="R1243" s="454"/>
      <c r="S1243" s="419"/>
      <c r="T1243" s="453"/>
      <c r="U1243" s="455"/>
      <c r="V1243" s="241"/>
      <c r="W1243" s="241"/>
      <c r="X1243" s="241"/>
    </row>
    <row r="1244" spans="1:24" s="18" customFormat="1">
      <c r="A1244" s="410"/>
      <c r="B1244" s="621"/>
      <c r="C1244" s="419"/>
      <c r="D1244" s="419"/>
      <c r="E1244" s="419"/>
      <c r="F1244" s="419"/>
      <c r="G1244" s="419"/>
      <c r="H1244" s="419"/>
      <c r="I1244" s="419"/>
      <c r="J1244" s="419"/>
      <c r="K1244" s="419"/>
      <c r="L1244" s="453"/>
      <c r="M1244" s="419"/>
      <c r="N1244" s="419"/>
      <c r="O1244" s="419"/>
      <c r="P1244" s="453"/>
      <c r="Q1244" s="419"/>
      <c r="R1244" s="454"/>
      <c r="S1244" s="419"/>
      <c r="T1244" s="453"/>
      <c r="U1244" s="455"/>
      <c r="V1244" s="241"/>
      <c r="W1244" s="241"/>
      <c r="X1244" s="241"/>
    </row>
    <row r="1245" spans="1:24" s="18" customFormat="1">
      <c r="A1245" s="410"/>
      <c r="B1245" s="621"/>
      <c r="C1245" s="419"/>
      <c r="D1245" s="419"/>
      <c r="E1245" s="419"/>
      <c r="F1245" s="419"/>
      <c r="G1245" s="419"/>
      <c r="H1245" s="419"/>
      <c r="I1245" s="419"/>
      <c r="J1245" s="419"/>
      <c r="K1245" s="419"/>
      <c r="L1245" s="453"/>
      <c r="M1245" s="419"/>
      <c r="N1245" s="419"/>
      <c r="O1245" s="419"/>
      <c r="P1245" s="453"/>
      <c r="Q1245" s="419"/>
      <c r="R1245" s="454"/>
      <c r="S1245" s="419"/>
      <c r="T1245" s="453"/>
      <c r="U1245" s="455"/>
      <c r="V1245" s="241"/>
      <c r="W1245" s="241"/>
      <c r="X1245" s="241"/>
    </row>
    <row r="1246" spans="1:24" s="18" customFormat="1">
      <c r="A1246" s="410"/>
      <c r="B1246" s="621"/>
      <c r="C1246" s="419"/>
      <c r="D1246" s="419"/>
      <c r="E1246" s="419"/>
      <c r="F1246" s="419"/>
      <c r="G1246" s="419"/>
      <c r="H1246" s="419"/>
      <c r="I1246" s="419"/>
      <c r="J1246" s="419"/>
      <c r="K1246" s="419"/>
      <c r="L1246" s="453"/>
      <c r="M1246" s="419"/>
      <c r="N1246" s="419"/>
      <c r="O1246" s="419"/>
      <c r="P1246" s="453"/>
      <c r="Q1246" s="419"/>
      <c r="R1246" s="454"/>
      <c r="S1246" s="419"/>
      <c r="T1246" s="453"/>
      <c r="U1246" s="455"/>
      <c r="V1246" s="241"/>
      <c r="W1246" s="241"/>
      <c r="X1246" s="241"/>
    </row>
    <row r="1247" spans="1:24" s="18" customFormat="1">
      <c r="A1247" s="410"/>
      <c r="B1247" s="621"/>
      <c r="C1247" s="419"/>
      <c r="D1247" s="419"/>
      <c r="E1247" s="419"/>
      <c r="F1247" s="419"/>
      <c r="G1247" s="419"/>
      <c r="H1247" s="419"/>
      <c r="I1247" s="419"/>
      <c r="J1247" s="419"/>
      <c r="K1247" s="419"/>
      <c r="L1247" s="453"/>
      <c r="M1247" s="419"/>
      <c r="N1247" s="419"/>
      <c r="O1247" s="419"/>
      <c r="P1247" s="453"/>
      <c r="Q1247" s="419"/>
      <c r="R1247" s="454"/>
      <c r="S1247" s="419"/>
      <c r="T1247" s="453"/>
      <c r="U1247" s="455"/>
      <c r="V1247" s="241"/>
      <c r="W1247" s="241"/>
      <c r="X1247" s="241"/>
    </row>
    <row r="1248" spans="1:24" s="18" customFormat="1">
      <c r="A1248" s="410"/>
      <c r="B1248" s="621"/>
      <c r="C1248" s="419"/>
      <c r="D1248" s="419"/>
      <c r="E1248" s="419"/>
      <c r="F1248" s="419"/>
      <c r="G1248" s="419"/>
      <c r="H1248" s="419"/>
      <c r="I1248" s="419"/>
      <c r="J1248" s="419"/>
      <c r="K1248" s="419"/>
      <c r="L1248" s="453"/>
      <c r="M1248" s="419"/>
      <c r="N1248" s="419"/>
      <c r="O1248" s="419"/>
      <c r="P1248" s="453"/>
      <c r="Q1248" s="419"/>
      <c r="R1248" s="454"/>
      <c r="S1248" s="419"/>
      <c r="T1248" s="453"/>
      <c r="U1248" s="455"/>
      <c r="V1248" s="241"/>
      <c r="W1248" s="241"/>
      <c r="X1248" s="241"/>
    </row>
    <row r="1249" spans="1:32" s="18" customFormat="1">
      <c r="A1249" s="410"/>
      <c r="B1249" s="621"/>
      <c r="C1249" s="419"/>
      <c r="D1249" s="419"/>
      <c r="E1249" s="419"/>
      <c r="F1249" s="419"/>
      <c r="G1249" s="419"/>
      <c r="H1249" s="419"/>
      <c r="I1249" s="419"/>
      <c r="J1249" s="419"/>
      <c r="K1249" s="419"/>
      <c r="L1249" s="453"/>
      <c r="M1249" s="419"/>
      <c r="N1249" s="419"/>
      <c r="O1249" s="419"/>
      <c r="P1249" s="453"/>
      <c r="Q1249" s="419"/>
      <c r="R1249" s="454"/>
      <c r="S1249" s="419"/>
      <c r="T1249" s="453"/>
      <c r="U1249" s="455"/>
      <c r="V1249" s="241"/>
      <c r="W1249" s="241"/>
      <c r="X1249" s="241"/>
    </row>
    <row r="1250" spans="1:32" s="18" customFormat="1">
      <c r="A1250" s="410"/>
      <c r="B1250" s="621"/>
      <c r="C1250" s="419"/>
      <c r="D1250" s="419"/>
      <c r="E1250" s="419"/>
      <c r="F1250" s="419"/>
      <c r="G1250" s="419"/>
      <c r="H1250" s="419"/>
      <c r="I1250" s="419"/>
      <c r="J1250" s="419"/>
      <c r="K1250" s="419"/>
      <c r="L1250" s="453"/>
      <c r="M1250" s="419"/>
      <c r="N1250" s="419"/>
      <c r="O1250" s="419"/>
      <c r="P1250" s="453"/>
      <c r="Q1250" s="419"/>
      <c r="R1250" s="454"/>
      <c r="S1250" s="419"/>
      <c r="T1250" s="453"/>
      <c r="U1250" s="455"/>
      <c r="V1250" s="241"/>
      <c r="W1250" s="241"/>
      <c r="X1250" s="241"/>
    </row>
    <row r="1251" spans="1:32" s="18" customFormat="1">
      <c r="A1251" s="410"/>
      <c r="B1251" s="621"/>
      <c r="C1251" s="419"/>
      <c r="D1251" s="419"/>
      <c r="E1251" s="419"/>
      <c r="F1251" s="419"/>
      <c r="G1251" s="419"/>
      <c r="H1251" s="419"/>
      <c r="I1251" s="419"/>
      <c r="J1251" s="419"/>
      <c r="K1251" s="419"/>
      <c r="L1251" s="453"/>
      <c r="M1251" s="419"/>
      <c r="N1251" s="419"/>
      <c r="O1251" s="419"/>
      <c r="P1251" s="453"/>
      <c r="Q1251" s="419"/>
      <c r="R1251" s="454"/>
      <c r="S1251" s="419"/>
      <c r="T1251" s="453"/>
      <c r="U1251" s="455"/>
      <c r="V1251" s="241"/>
      <c r="W1251" s="241"/>
      <c r="X1251" s="241"/>
    </row>
    <row r="1252" spans="1:32" s="18" customFormat="1">
      <c r="A1252" s="410"/>
      <c r="B1252" s="621"/>
      <c r="C1252" s="419"/>
      <c r="D1252" s="419"/>
      <c r="E1252" s="419"/>
      <c r="F1252" s="419"/>
      <c r="G1252" s="419"/>
      <c r="H1252" s="419"/>
      <c r="I1252" s="419"/>
      <c r="J1252" s="419"/>
      <c r="K1252" s="419"/>
      <c r="L1252" s="453"/>
      <c r="M1252" s="419"/>
      <c r="N1252" s="419"/>
      <c r="O1252" s="419"/>
      <c r="P1252" s="453"/>
      <c r="Q1252" s="419"/>
      <c r="R1252" s="454"/>
      <c r="S1252" s="419"/>
      <c r="T1252" s="453"/>
      <c r="U1252" s="455"/>
      <c r="V1252" s="241"/>
      <c r="W1252" s="241"/>
      <c r="X1252" s="241"/>
    </row>
    <row r="1253" spans="1:32" s="18" customFormat="1">
      <c r="A1253" s="410"/>
      <c r="B1253" s="621"/>
      <c r="C1253" s="419"/>
      <c r="D1253" s="419"/>
      <c r="E1253" s="419"/>
      <c r="F1253" s="419"/>
      <c r="G1253" s="419"/>
      <c r="H1253" s="419"/>
      <c r="I1253" s="419"/>
      <c r="J1253" s="419"/>
      <c r="K1253" s="419"/>
      <c r="L1253" s="453"/>
      <c r="M1253" s="419"/>
      <c r="N1253" s="419"/>
      <c r="O1253" s="419"/>
      <c r="P1253" s="453"/>
      <c r="Q1253" s="419"/>
      <c r="R1253" s="454"/>
      <c r="S1253" s="419"/>
      <c r="T1253" s="453"/>
      <c r="U1253" s="455"/>
      <c r="V1253" s="241"/>
      <c r="W1253" s="241"/>
      <c r="X1253" s="241"/>
    </row>
    <row r="1254" spans="1:32" s="18" customFormat="1">
      <c r="A1254" s="410"/>
      <c r="B1254" s="621"/>
      <c r="C1254" s="419"/>
      <c r="D1254" s="419"/>
      <c r="E1254" s="419"/>
      <c r="F1254" s="419"/>
      <c r="G1254" s="419"/>
      <c r="H1254" s="419"/>
      <c r="I1254" s="419"/>
      <c r="J1254" s="419"/>
      <c r="K1254" s="419"/>
      <c r="L1254" s="453"/>
      <c r="M1254" s="419"/>
      <c r="N1254" s="419"/>
      <c r="O1254" s="419"/>
      <c r="P1254" s="453"/>
      <c r="Q1254" s="419"/>
      <c r="R1254" s="454"/>
      <c r="S1254" s="419"/>
      <c r="T1254" s="453"/>
      <c r="U1254" s="455"/>
      <c r="V1254" s="241"/>
      <c r="W1254" s="241"/>
      <c r="X1254" s="241"/>
    </row>
    <row r="1255" spans="1:32" s="18" customFormat="1">
      <c r="A1255" s="410"/>
      <c r="B1255" s="621"/>
      <c r="C1255" s="419"/>
      <c r="D1255" s="419"/>
      <c r="E1255" s="419"/>
      <c r="F1255" s="419"/>
      <c r="G1255" s="419"/>
      <c r="H1255" s="419"/>
      <c r="I1255" s="419"/>
      <c r="J1255" s="419"/>
      <c r="K1255" s="419"/>
      <c r="L1255" s="453"/>
      <c r="M1255" s="419"/>
      <c r="N1255" s="419"/>
      <c r="O1255" s="419"/>
      <c r="P1255" s="453"/>
      <c r="Q1255" s="419"/>
      <c r="R1255" s="454"/>
      <c r="S1255" s="419"/>
      <c r="T1255" s="453"/>
      <c r="U1255" s="455"/>
      <c r="V1255" s="241"/>
      <c r="W1255" s="241"/>
      <c r="X1255" s="241"/>
    </row>
    <row r="1256" spans="1:32" s="18" customFormat="1">
      <c r="A1256" s="410"/>
      <c r="B1256" s="621"/>
      <c r="C1256" s="419"/>
      <c r="D1256" s="419"/>
      <c r="E1256" s="419"/>
      <c r="F1256" s="419"/>
      <c r="G1256" s="419"/>
      <c r="H1256" s="419"/>
      <c r="I1256" s="419"/>
      <c r="J1256" s="419"/>
      <c r="K1256" s="419"/>
      <c r="L1256" s="453"/>
      <c r="M1256" s="419"/>
      <c r="N1256" s="419"/>
      <c r="O1256" s="419"/>
      <c r="P1256" s="453"/>
      <c r="Q1256" s="419"/>
      <c r="R1256" s="454"/>
      <c r="S1256" s="419"/>
      <c r="T1256" s="453"/>
      <c r="U1256" s="455"/>
      <c r="V1256" s="241"/>
      <c r="W1256" s="241"/>
      <c r="X1256" s="241"/>
    </row>
    <row r="1257" spans="1:32" s="18" customFormat="1">
      <c r="A1257" s="410"/>
      <c r="B1257" s="621"/>
      <c r="C1257" s="419"/>
      <c r="D1257" s="419"/>
      <c r="E1257" s="419"/>
      <c r="F1257" s="419"/>
      <c r="G1257" s="419"/>
      <c r="H1257" s="419"/>
      <c r="I1257" s="419"/>
      <c r="J1257" s="419"/>
      <c r="K1257" s="419"/>
      <c r="L1257" s="453"/>
      <c r="M1257" s="419"/>
      <c r="N1257" s="419"/>
      <c r="O1257" s="419"/>
      <c r="P1257" s="453"/>
      <c r="Q1257" s="419"/>
      <c r="R1257" s="454"/>
      <c r="S1257" s="419"/>
      <c r="T1257" s="453"/>
      <c r="U1257" s="455"/>
      <c r="V1257" s="241"/>
      <c r="W1257" s="241"/>
      <c r="X1257" s="241"/>
    </row>
    <row r="1258" spans="1:32" s="18" customFormat="1">
      <c r="A1258" s="410"/>
      <c r="B1258" s="621"/>
      <c r="C1258" s="419"/>
      <c r="D1258" s="419"/>
      <c r="E1258" s="419"/>
      <c r="F1258" s="419"/>
      <c r="G1258" s="419"/>
      <c r="H1258" s="419"/>
      <c r="I1258" s="419"/>
      <c r="J1258" s="419"/>
      <c r="K1258" s="419"/>
      <c r="L1258" s="453"/>
      <c r="M1258" s="419"/>
      <c r="N1258" s="419"/>
      <c r="O1258" s="419"/>
      <c r="P1258" s="453"/>
      <c r="Q1258" s="419"/>
      <c r="R1258" s="454"/>
      <c r="S1258" s="419"/>
      <c r="T1258" s="453"/>
      <c r="U1258" s="455"/>
      <c r="V1258" s="241"/>
      <c r="W1258" s="241"/>
      <c r="X1258" s="241"/>
    </row>
    <row r="1259" spans="1:32" s="18" customFormat="1">
      <c r="A1259" s="410"/>
      <c r="B1259" s="621"/>
      <c r="C1259" s="419"/>
      <c r="D1259" s="419"/>
      <c r="E1259" s="419"/>
      <c r="F1259" s="419"/>
      <c r="G1259" s="419"/>
      <c r="H1259" s="419"/>
      <c r="I1259" s="419"/>
      <c r="J1259" s="419"/>
      <c r="K1259" s="419"/>
      <c r="L1259" s="453"/>
      <c r="M1259" s="419"/>
      <c r="N1259" s="419"/>
      <c r="O1259" s="419"/>
      <c r="P1259" s="453"/>
      <c r="Q1259" s="419"/>
      <c r="R1259" s="454"/>
      <c r="S1259" s="419"/>
      <c r="T1259" s="453"/>
      <c r="U1259" s="455"/>
      <c r="V1259" s="241"/>
      <c r="W1259" s="241"/>
      <c r="X1259" s="241"/>
    </row>
    <row r="1260" spans="1:32" s="18" customFormat="1">
      <c r="A1260" s="410"/>
      <c r="B1260" s="621"/>
      <c r="C1260" s="419"/>
      <c r="D1260" s="419"/>
      <c r="E1260" s="419"/>
      <c r="F1260" s="419"/>
      <c r="G1260" s="419"/>
      <c r="H1260" s="419"/>
      <c r="I1260" s="419"/>
      <c r="J1260" s="419"/>
      <c r="K1260" s="419"/>
      <c r="L1260" s="453"/>
      <c r="M1260" s="419"/>
      <c r="N1260" s="419"/>
      <c r="O1260" s="419"/>
      <c r="P1260" s="453"/>
      <c r="Q1260" s="419"/>
      <c r="R1260" s="454"/>
      <c r="S1260" s="419"/>
      <c r="T1260" s="453"/>
      <c r="U1260" s="455"/>
      <c r="V1260" s="241"/>
      <c r="W1260" s="241"/>
      <c r="X1260" s="241"/>
    </row>
    <row r="1261" spans="1:32" s="18" customFormat="1">
      <c r="A1261" s="410"/>
      <c r="B1261" s="621"/>
      <c r="C1261" s="419"/>
      <c r="D1261" s="419"/>
      <c r="E1261" s="419"/>
      <c r="F1261" s="419"/>
      <c r="G1261" s="419"/>
      <c r="H1261" s="419"/>
      <c r="I1261" s="419"/>
      <c r="J1261" s="419"/>
      <c r="K1261" s="419"/>
      <c r="L1261" s="453"/>
      <c r="M1261" s="419"/>
      <c r="N1261" s="419"/>
      <c r="O1261" s="419"/>
      <c r="P1261" s="453"/>
      <c r="Q1261" s="419"/>
      <c r="R1261" s="454"/>
      <c r="S1261" s="419"/>
      <c r="T1261" s="453"/>
      <c r="U1261" s="455"/>
      <c r="V1261" s="241"/>
      <c r="W1261" s="241"/>
      <c r="X1261" s="241"/>
    </row>
    <row r="1262" spans="1:32" ht="18.75" customHeight="1">
      <c r="A1262" s="166"/>
      <c r="B1262" s="180" t="s">
        <v>94</v>
      </c>
      <c r="C1262" s="177">
        <f>C1263+C1264</f>
        <v>2634518</v>
      </c>
      <c r="D1262" s="177">
        <f t="shared" ref="D1262:V1262" si="150">D1263+D1264</f>
        <v>0</v>
      </c>
      <c r="E1262" s="177">
        <f t="shared" si="150"/>
        <v>0</v>
      </c>
      <c r="F1262" s="177">
        <f t="shared" si="150"/>
        <v>0</v>
      </c>
      <c r="G1262" s="177">
        <f t="shared" si="150"/>
        <v>0</v>
      </c>
      <c r="H1262" s="177">
        <f t="shared" si="150"/>
        <v>0</v>
      </c>
      <c r="I1262" s="177">
        <f t="shared" si="150"/>
        <v>0</v>
      </c>
      <c r="J1262" s="177">
        <f t="shared" si="150"/>
        <v>0</v>
      </c>
      <c r="K1262" s="177">
        <f t="shared" si="150"/>
        <v>0</v>
      </c>
      <c r="L1262" s="177">
        <f t="shared" si="150"/>
        <v>1</v>
      </c>
      <c r="M1262" s="177">
        <f t="shared" si="150"/>
        <v>1960022</v>
      </c>
      <c r="N1262" s="177">
        <f t="shared" si="150"/>
        <v>0</v>
      </c>
      <c r="O1262" s="177">
        <f t="shared" si="150"/>
        <v>0</v>
      </c>
      <c r="P1262" s="177">
        <f t="shared" si="150"/>
        <v>0</v>
      </c>
      <c r="Q1262" s="177">
        <f t="shared" si="150"/>
        <v>0</v>
      </c>
      <c r="R1262" s="177">
        <f t="shared" si="150"/>
        <v>438.6</v>
      </c>
      <c r="S1262" s="177">
        <f t="shared" si="150"/>
        <v>674496</v>
      </c>
      <c r="T1262" s="177">
        <f t="shared" si="150"/>
        <v>0</v>
      </c>
      <c r="U1262" s="177">
        <f t="shared" si="150"/>
        <v>0</v>
      </c>
      <c r="V1262" s="177">
        <f t="shared" si="150"/>
        <v>0</v>
      </c>
      <c r="W1262" s="241"/>
      <c r="X1262" s="241"/>
    </row>
    <row r="1263" spans="1:32" s="4" customFormat="1">
      <c r="A1263" s="410"/>
      <c r="B1263" s="411" t="s">
        <v>976</v>
      </c>
      <c r="C1263" s="412">
        <f>'часть 1'!L1296</f>
        <v>1960022</v>
      </c>
      <c r="D1263" s="412">
        <v>0</v>
      </c>
      <c r="E1263" s="412">
        <v>0</v>
      </c>
      <c r="F1263" s="412">
        <v>0</v>
      </c>
      <c r="G1263" s="412">
        <v>0</v>
      </c>
      <c r="H1263" s="412">
        <v>0</v>
      </c>
      <c r="I1263" s="412">
        <v>0</v>
      </c>
      <c r="J1263" s="412">
        <v>0</v>
      </c>
      <c r="K1263" s="412">
        <v>0</v>
      </c>
      <c r="L1263" s="413">
        <v>1</v>
      </c>
      <c r="M1263" s="412">
        <v>1960022</v>
      </c>
      <c r="N1263" s="412">
        <v>0</v>
      </c>
      <c r="O1263" s="412">
        <v>0</v>
      </c>
      <c r="P1263" s="413">
        <v>0</v>
      </c>
      <c r="Q1263" s="412">
        <v>0</v>
      </c>
      <c r="R1263" s="414">
        <v>0</v>
      </c>
      <c r="S1263" s="415">
        <v>0</v>
      </c>
      <c r="T1263" s="416">
        <v>0</v>
      </c>
      <c r="U1263" s="417">
        <v>0</v>
      </c>
      <c r="V1263" s="241"/>
      <c r="W1263" s="241"/>
      <c r="X1263" s="241"/>
      <c r="Y1263" s="19"/>
      <c r="Z1263" s="19"/>
      <c r="AF1263" s="4">
        <f>M1263/L1263</f>
        <v>1960022</v>
      </c>
    </row>
    <row r="1264" spans="1:32" s="4" customFormat="1">
      <c r="A1264" s="410"/>
      <c r="B1264" s="411" t="s">
        <v>977</v>
      </c>
      <c r="C1264" s="412">
        <f>'часть 1'!L1297</f>
        <v>674496</v>
      </c>
      <c r="D1264" s="412">
        <v>0</v>
      </c>
      <c r="E1264" s="412">
        <v>0</v>
      </c>
      <c r="F1264" s="412">
        <v>0</v>
      </c>
      <c r="G1264" s="412">
        <v>0</v>
      </c>
      <c r="H1264" s="412">
        <v>0</v>
      </c>
      <c r="I1264" s="412">
        <v>0</v>
      </c>
      <c r="J1264" s="412">
        <v>0</v>
      </c>
      <c r="K1264" s="412">
        <v>0</v>
      </c>
      <c r="L1264" s="413">
        <v>0</v>
      </c>
      <c r="M1264" s="412">
        <v>0</v>
      </c>
      <c r="N1264" s="412">
        <v>0</v>
      </c>
      <c r="O1264" s="412">
        <v>0</v>
      </c>
      <c r="P1264" s="413">
        <v>0</v>
      </c>
      <c r="Q1264" s="412">
        <v>0</v>
      </c>
      <c r="R1264" s="414">
        <v>438.6</v>
      </c>
      <c r="S1264" s="415">
        <v>674496</v>
      </c>
      <c r="T1264" s="416">
        <v>0</v>
      </c>
      <c r="U1264" s="417">
        <v>0</v>
      </c>
      <c r="V1264" s="241"/>
      <c r="W1264" s="241"/>
      <c r="X1264" s="241">
        <f>S1264/R1264</f>
        <v>1537.8385772913816</v>
      </c>
      <c r="Y1264" s="19"/>
      <c r="Z1264" s="19"/>
    </row>
    <row r="1265" spans="1:30" s="4" customFormat="1">
      <c r="A1265" s="410"/>
      <c r="B1265" s="411"/>
      <c r="C1265" s="412"/>
      <c r="D1265" s="412"/>
      <c r="E1265" s="412"/>
      <c r="F1265" s="412"/>
      <c r="G1265" s="412"/>
      <c r="H1265" s="412"/>
      <c r="I1265" s="412"/>
      <c r="J1265" s="412"/>
      <c r="K1265" s="412"/>
      <c r="L1265" s="413"/>
      <c r="M1265" s="412"/>
      <c r="N1265" s="412"/>
      <c r="O1265" s="412"/>
      <c r="P1265" s="413"/>
      <c r="Q1265" s="412"/>
      <c r="R1265" s="414"/>
      <c r="S1265" s="415"/>
      <c r="T1265" s="416"/>
      <c r="U1265" s="417"/>
      <c r="V1265" s="241"/>
      <c r="W1265" s="241"/>
      <c r="X1265" s="241"/>
      <c r="Y1265" s="19"/>
      <c r="Z1265" s="19"/>
    </row>
    <row r="1266" spans="1:30" s="4" customFormat="1">
      <c r="A1266" s="410"/>
      <c r="B1266" s="418"/>
      <c r="C1266" s="412"/>
      <c r="D1266" s="412"/>
      <c r="E1266" s="412"/>
      <c r="F1266" s="412"/>
      <c r="G1266" s="412"/>
      <c r="H1266" s="412"/>
      <c r="I1266" s="412"/>
      <c r="J1266" s="412"/>
      <c r="K1266" s="412"/>
      <c r="L1266" s="413"/>
      <c r="M1266" s="412"/>
      <c r="N1266" s="412"/>
      <c r="O1266" s="412"/>
      <c r="P1266" s="413"/>
      <c r="Q1266" s="412"/>
      <c r="R1266" s="414"/>
      <c r="S1266" s="415"/>
      <c r="T1266" s="416"/>
      <c r="U1266" s="417"/>
      <c r="V1266" s="241"/>
      <c r="W1266" s="241"/>
      <c r="X1266" s="241"/>
      <c r="Y1266" s="19"/>
      <c r="Z1266" s="19"/>
    </row>
    <row r="1267" spans="1:30" s="4" customFormat="1">
      <c r="A1267" s="410"/>
      <c r="B1267" s="411"/>
      <c r="C1267" s="412"/>
      <c r="D1267" s="412"/>
      <c r="E1267" s="412"/>
      <c r="F1267" s="412"/>
      <c r="G1267" s="412"/>
      <c r="H1267" s="412"/>
      <c r="I1267" s="412"/>
      <c r="J1267" s="412"/>
      <c r="K1267" s="412"/>
      <c r="L1267" s="413"/>
      <c r="M1267" s="412"/>
      <c r="N1267" s="419"/>
      <c r="O1267" s="412"/>
      <c r="P1267" s="413"/>
      <c r="Q1267" s="412"/>
      <c r="R1267" s="414"/>
      <c r="S1267" s="415"/>
      <c r="T1267" s="416"/>
      <c r="U1267" s="417"/>
      <c r="V1267" s="241"/>
      <c r="W1267" s="241"/>
      <c r="X1267" s="241"/>
      <c r="Y1267" s="19"/>
      <c r="Z1267" s="19"/>
    </row>
    <row r="1268" spans="1:30" s="4" customFormat="1">
      <c r="A1268" s="410"/>
      <c r="B1268" s="411"/>
      <c r="C1268" s="412"/>
      <c r="D1268" s="412"/>
      <c r="E1268" s="412"/>
      <c r="F1268" s="412"/>
      <c r="G1268" s="412"/>
      <c r="H1268" s="412"/>
      <c r="I1268" s="412"/>
      <c r="J1268" s="412"/>
      <c r="K1268" s="412"/>
      <c r="L1268" s="413"/>
      <c r="M1268" s="412"/>
      <c r="N1268" s="412"/>
      <c r="O1268" s="412"/>
      <c r="P1268" s="413"/>
      <c r="Q1268" s="412"/>
      <c r="R1268" s="414"/>
      <c r="S1268" s="415"/>
      <c r="T1268" s="416"/>
      <c r="U1268" s="417"/>
      <c r="V1268" s="241"/>
      <c r="W1268" s="241"/>
      <c r="X1268" s="241"/>
      <c r="Y1268" s="19"/>
      <c r="Z1268" s="19"/>
    </row>
    <row r="1269" spans="1:30" s="4" customFormat="1">
      <c r="A1269" s="410"/>
      <c r="B1269" s="411"/>
      <c r="C1269" s="412"/>
      <c r="D1269" s="412"/>
      <c r="E1269" s="412"/>
      <c r="F1269" s="412"/>
      <c r="G1269" s="412"/>
      <c r="H1269" s="412"/>
      <c r="I1269" s="412"/>
      <c r="J1269" s="412"/>
      <c r="K1269" s="412"/>
      <c r="L1269" s="413"/>
      <c r="M1269" s="412"/>
      <c r="N1269" s="412"/>
      <c r="O1269" s="412"/>
      <c r="P1269" s="413"/>
      <c r="Q1269" s="412"/>
      <c r="R1269" s="414"/>
      <c r="S1269" s="415"/>
      <c r="T1269" s="416"/>
      <c r="U1269" s="417"/>
      <c r="V1269" s="241"/>
      <c r="W1269" s="241"/>
      <c r="X1269" s="241"/>
      <c r="Y1269" s="19"/>
      <c r="Z1269" s="19"/>
    </row>
    <row r="1270" spans="1:30" s="4" customFormat="1">
      <c r="A1270" s="410"/>
      <c r="B1270" s="411"/>
      <c r="C1270" s="412"/>
      <c r="D1270" s="412"/>
      <c r="E1270" s="412"/>
      <c r="F1270" s="412"/>
      <c r="G1270" s="412"/>
      <c r="H1270" s="412"/>
      <c r="I1270" s="412"/>
      <c r="J1270" s="412"/>
      <c r="K1270" s="412"/>
      <c r="L1270" s="413"/>
      <c r="M1270" s="412"/>
      <c r="N1270" s="412"/>
      <c r="O1270" s="412"/>
      <c r="P1270" s="413"/>
      <c r="Q1270" s="412"/>
      <c r="R1270" s="414"/>
      <c r="S1270" s="415"/>
      <c r="T1270" s="416"/>
      <c r="U1270" s="417"/>
      <c r="V1270" s="241"/>
      <c r="W1270" s="241"/>
      <c r="X1270" s="241"/>
      <c r="Y1270" s="19"/>
      <c r="Z1270" s="19"/>
    </row>
    <row r="1271" spans="1:30" s="4" customFormat="1">
      <c r="A1271" s="410"/>
      <c r="B1271" s="411"/>
      <c r="C1271" s="412"/>
      <c r="D1271" s="412"/>
      <c r="E1271" s="412"/>
      <c r="F1271" s="412"/>
      <c r="G1271" s="412"/>
      <c r="H1271" s="412"/>
      <c r="I1271" s="412"/>
      <c r="J1271" s="412"/>
      <c r="K1271" s="412"/>
      <c r="L1271" s="413"/>
      <c r="M1271" s="412"/>
      <c r="N1271" s="412"/>
      <c r="O1271" s="412"/>
      <c r="P1271" s="413"/>
      <c r="Q1271" s="412"/>
      <c r="R1271" s="414"/>
      <c r="S1271" s="415"/>
      <c r="T1271" s="416"/>
      <c r="U1271" s="417"/>
      <c r="V1271" s="241"/>
      <c r="W1271" s="241"/>
      <c r="X1271" s="241"/>
      <c r="Y1271" s="5"/>
      <c r="Z1271" s="5"/>
      <c r="AA1271" s="6"/>
      <c r="AB1271" s="6"/>
    </row>
    <row r="1272" spans="1:30" s="4" customFormat="1">
      <c r="A1272" s="410"/>
      <c r="B1272" s="420"/>
      <c r="C1272" s="412"/>
      <c r="D1272" s="412"/>
      <c r="E1272" s="412"/>
      <c r="F1272" s="412"/>
      <c r="G1272" s="412"/>
      <c r="H1272" s="412"/>
      <c r="I1272" s="412"/>
      <c r="J1272" s="412"/>
      <c r="K1272" s="412"/>
      <c r="L1272" s="413"/>
      <c r="M1272" s="412"/>
      <c r="N1272" s="412"/>
      <c r="O1272" s="412"/>
      <c r="P1272" s="413"/>
      <c r="Q1272" s="412"/>
      <c r="R1272" s="414"/>
      <c r="S1272" s="415"/>
      <c r="T1272" s="416"/>
      <c r="U1272" s="417"/>
      <c r="V1272" s="241"/>
      <c r="W1272" s="241"/>
      <c r="X1272" s="241"/>
      <c r="Y1272" s="19"/>
      <c r="Z1272" s="19"/>
    </row>
    <row r="1273" spans="1:30" s="4" customFormat="1">
      <c r="A1273" s="410"/>
      <c r="B1273" s="420"/>
      <c r="C1273" s="412"/>
      <c r="D1273" s="412"/>
      <c r="E1273" s="412"/>
      <c r="F1273" s="412"/>
      <c r="G1273" s="412"/>
      <c r="H1273" s="412"/>
      <c r="I1273" s="412"/>
      <c r="J1273" s="412"/>
      <c r="K1273" s="412"/>
      <c r="L1273" s="413"/>
      <c r="M1273" s="412"/>
      <c r="N1273" s="412"/>
      <c r="O1273" s="412"/>
      <c r="P1273" s="413"/>
      <c r="Q1273" s="412"/>
      <c r="R1273" s="414"/>
      <c r="S1273" s="415"/>
      <c r="T1273" s="416"/>
      <c r="U1273" s="417"/>
      <c r="V1273" s="241"/>
      <c r="W1273" s="241"/>
      <c r="X1273" s="241"/>
      <c r="Y1273" s="19"/>
      <c r="Z1273" s="19"/>
    </row>
    <row r="1274" spans="1:30" s="4" customFormat="1">
      <c r="A1274" s="410"/>
      <c r="B1274" s="421"/>
      <c r="C1274" s="412"/>
      <c r="D1274" s="412"/>
      <c r="E1274" s="412"/>
      <c r="F1274" s="412"/>
      <c r="G1274" s="412"/>
      <c r="H1274" s="412"/>
      <c r="I1274" s="412"/>
      <c r="J1274" s="412"/>
      <c r="K1274" s="412"/>
      <c r="L1274" s="413"/>
      <c r="M1274" s="412"/>
      <c r="N1274" s="412"/>
      <c r="O1274" s="412"/>
      <c r="P1274" s="413"/>
      <c r="Q1274" s="412"/>
      <c r="R1274" s="414"/>
      <c r="S1274" s="415"/>
      <c r="T1274" s="416"/>
      <c r="U1274" s="417"/>
      <c r="V1274" s="241"/>
      <c r="W1274" s="241"/>
      <c r="X1274" s="241"/>
      <c r="Y1274" s="19"/>
      <c r="Z1274" s="19"/>
    </row>
    <row r="1275" spans="1:30" ht="18.600000000000001" customHeight="1">
      <c r="A1275" s="410"/>
      <c r="B1275" s="449" t="s">
        <v>123</v>
      </c>
      <c r="C1275" s="450">
        <f>C1276+C1277+C1278</f>
        <v>10007426</v>
      </c>
      <c r="D1275" s="450">
        <f t="shared" ref="D1275:U1275" si="151">D1276+D1277+D1278</f>
        <v>3698811</v>
      </c>
      <c r="E1275" s="450">
        <f t="shared" si="151"/>
        <v>0</v>
      </c>
      <c r="F1275" s="450">
        <f t="shared" si="151"/>
        <v>0</v>
      </c>
      <c r="G1275" s="450">
        <f t="shared" si="151"/>
        <v>0</v>
      </c>
      <c r="H1275" s="450">
        <f t="shared" si="151"/>
        <v>0</v>
      </c>
      <c r="I1275" s="450">
        <f t="shared" si="151"/>
        <v>3698811</v>
      </c>
      <c r="J1275" s="450">
        <f t="shared" si="151"/>
        <v>0</v>
      </c>
      <c r="K1275" s="450">
        <f t="shared" si="151"/>
        <v>0</v>
      </c>
      <c r="L1275" s="450">
        <f t="shared" si="151"/>
        <v>0</v>
      </c>
      <c r="M1275" s="450">
        <f t="shared" si="151"/>
        <v>0</v>
      </c>
      <c r="N1275" s="450">
        <f t="shared" si="151"/>
        <v>2523.1999999999998</v>
      </c>
      <c r="O1275" s="450">
        <f t="shared" si="151"/>
        <v>6308615</v>
      </c>
      <c r="P1275" s="450">
        <f t="shared" si="151"/>
        <v>0</v>
      </c>
      <c r="Q1275" s="450">
        <f t="shared" si="151"/>
        <v>0</v>
      </c>
      <c r="R1275" s="450">
        <f t="shared" si="151"/>
        <v>0</v>
      </c>
      <c r="S1275" s="450">
        <f t="shared" si="151"/>
        <v>0</v>
      </c>
      <c r="T1275" s="450">
        <f t="shared" si="151"/>
        <v>0</v>
      </c>
      <c r="U1275" s="450">
        <f t="shared" si="151"/>
        <v>0</v>
      </c>
      <c r="V1275" s="164" t="e">
        <f>V1276++V1277+#REF!+V1278</f>
        <v>#REF!</v>
      </c>
      <c r="W1275" s="241"/>
      <c r="X1275" s="241"/>
    </row>
    <row r="1276" spans="1:30" ht="15.75">
      <c r="A1276" s="410">
        <v>215</v>
      </c>
      <c r="B1276" s="312" t="s">
        <v>943</v>
      </c>
      <c r="C1276" s="450">
        <f>'часть 1'!L1309</f>
        <v>3237114</v>
      </c>
      <c r="D1276" s="450">
        <f>E1276+F1276+G1276+H1276+I1276+J1276+K1276</f>
        <v>0</v>
      </c>
      <c r="E1276" s="450">
        <v>0</v>
      </c>
      <c r="F1276" s="450">
        <v>0</v>
      </c>
      <c r="G1276" s="450">
        <v>0</v>
      </c>
      <c r="H1276" s="450">
        <v>0</v>
      </c>
      <c r="I1276" s="450">
        <v>0</v>
      </c>
      <c r="J1276" s="450">
        <v>0</v>
      </c>
      <c r="K1276" s="491">
        <v>0</v>
      </c>
      <c r="L1276" s="574">
        <v>0</v>
      </c>
      <c r="M1276" s="456">
        <v>0</v>
      </c>
      <c r="N1276" s="456">
        <v>1295</v>
      </c>
      <c r="O1276" s="456">
        <v>3237114</v>
      </c>
      <c r="P1276" s="574">
        <v>0</v>
      </c>
      <c r="Q1276" s="456">
        <v>0</v>
      </c>
      <c r="R1276" s="575">
        <v>0</v>
      </c>
      <c r="S1276" s="456">
        <v>0</v>
      </c>
      <c r="T1276" s="574">
        <v>0</v>
      </c>
      <c r="U1276" s="417">
        <v>0</v>
      </c>
      <c r="V1276" s="241"/>
      <c r="W1276" s="241">
        <f>O1276/N1276</f>
        <v>2499.7019305019303</v>
      </c>
      <c r="X1276" s="241"/>
      <c r="AD1276" s="1">
        <f>J1276/'часть 1'!I1309</f>
        <v>0</v>
      </c>
    </row>
    <row r="1277" spans="1:30" ht="15.75">
      <c r="A1277" s="410">
        <v>216</v>
      </c>
      <c r="B1277" s="312" t="s">
        <v>741</v>
      </c>
      <c r="C1277" s="450">
        <f>'часть 1'!L1310</f>
        <v>3071501</v>
      </c>
      <c r="D1277" s="450">
        <f>E1277+F1277+G1277+H1277+I1277+J1277+K1277</f>
        <v>0</v>
      </c>
      <c r="E1277" s="450">
        <v>0</v>
      </c>
      <c r="F1277" s="450">
        <v>0</v>
      </c>
      <c r="G1277" s="450">
        <v>0</v>
      </c>
      <c r="H1277" s="450">
        <v>0</v>
      </c>
      <c r="I1277" s="450">
        <v>0</v>
      </c>
      <c r="J1277" s="450">
        <v>0</v>
      </c>
      <c r="K1277" s="491">
        <v>0</v>
      </c>
      <c r="L1277" s="574">
        <v>0</v>
      </c>
      <c r="M1277" s="456">
        <v>0</v>
      </c>
      <c r="N1277" s="456">
        <v>1228.2</v>
      </c>
      <c r="O1277" s="456">
        <v>3071501</v>
      </c>
      <c r="P1277" s="574">
        <v>0</v>
      </c>
      <c r="Q1277" s="456">
        <v>0</v>
      </c>
      <c r="R1277" s="575">
        <v>0</v>
      </c>
      <c r="S1277" s="456">
        <v>0</v>
      </c>
      <c r="T1277" s="574">
        <v>0</v>
      </c>
      <c r="U1277" s="417">
        <v>0</v>
      </c>
      <c r="V1277" s="241"/>
      <c r="W1277" s="241">
        <f>O1277/N1277</f>
        <v>2500.8150138413939</v>
      </c>
      <c r="X1277" s="241"/>
    </row>
    <row r="1278" spans="1:30" ht="15.75">
      <c r="A1278" s="410">
        <v>218</v>
      </c>
      <c r="B1278" s="312" t="s">
        <v>742</v>
      </c>
      <c r="C1278" s="450">
        <f>'часть 1'!L1311</f>
        <v>3698811</v>
      </c>
      <c r="D1278" s="450">
        <f>E1278+F1278+G1278+H1278+I1278+J1278+K1278</f>
        <v>3698811</v>
      </c>
      <c r="E1278" s="450">
        <v>0</v>
      </c>
      <c r="F1278" s="450">
        <v>0</v>
      </c>
      <c r="G1278" s="450">
        <v>0</v>
      </c>
      <c r="H1278" s="450">
        <v>0</v>
      </c>
      <c r="I1278" s="450">
        <v>3698811</v>
      </c>
      <c r="J1278" s="450">
        <v>0</v>
      </c>
      <c r="K1278" s="491">
        <v>0</v>
      </c>
      <c r="L1278" s="574">
        <v>0</v>
      </c>
      <c r="M1278" s="456">
        <v>0</v>
      </c>
      <c r="N1278" s="456">
        <v>0</v>
      </c>
      <c r="O1278" s="456">
        <v>0</v>
      </c>
      <c r="P1278" s="574">
        <v>0</v>
      </c>
      <c r="Q1278" s="456">
        <v>0</v>
      </c>
      <c r="R1278" s="575">
        <v>0</v>
      </c>
      <c r="S1278" s="456">
        <v>0</v>
      </c>
      <c r="T1278" s="574">
        <v>0</v>
      </c>
      <c r="U1278" s="417">
        <v>0</v>
      </c>
      <c r="V1278" s="241"/>
      <c r="W1278" s="241"/>
      <c r="X1278" s="241"/>
      <c r="AC1278" s="1">
        <f>I1278/'часть 1'!I1311</f>
        <v>781.28268712454701</v>
      </c>
    </row>
    <row r="1279" spans="1:30">
      <c r="A1279" s="410"/>
      <c r="B1279" s="462"/>
      <c r="C1279" s="450"/>
      <c r="D1279" s="450"/>
      <c r="E1279" s="450"/>
      <c r="F1279" s="450"/>
      <c r="G1279" s="450"/>
      <c r="H1279" s="450"/>
      <c r="I1279" s="450"/>
      <c r="J1279" s="450"/>
      <c r="K1279" s="450"/>
      <c r="L1279" s="574"/>
      <c r="M1279" s="456"/>
      <c r="N1279" s="456"/>
      <c r="O1279" s="456"/>
      <c r="P1279" s="574"/>
      <c r="Q1279" s="456"/>
      <c r="R1279" s="575"/>
      <c r="S1279" s="456"/>
      <c r="T1279" s="574"/>
      <c r="U1279" s="417"/>
      <c r="V1279" s="241"/>
      <c r="W1279" s="241"/>
      <c r="X1279" s="241"/>
    </row>
    <row r="1280" spans="1:30">
      <c r="A1280" s="410"/>
      <c r="B1280" s="462"/>
      <c r="C1280" s="450"/>
      <c r="D1280" s="450"/>
      <c r="E1280" s="450"/>
      <c r="F1280" s="450"/>
      <c r="G1280" s="450"/>
      <c r="H1280" s="450"/>
      <c r="I1280" s="450"/>
      <c r="J1280" s="450"/>
      <c r="K1280" s="491"/>
      <c r="L1280" s="574"/>
      <c r="M1280" s="456"/>
      <c r="N1280" s="456"/>
      <c r="O1280" s="456"/>
      <c r="P1280" s="574"/>
      <c r="Q1280" s="456"/>
      <c r="R1280" s="575"/>
      <c r="S1280" s="456"/>
      <c r="T1280" s="574"/>
      <c r="U1280" s="417"/>
      <c r="V1280" s="241"/>
      <c r="W1280" s="241"/>
      <c r="X1280" s="241"/>
    </row>
    <row r="1281" spans="1:24">
      <c r="A1281" s="410"/>
      <c r="B1281" s="462"/>
      <c r="C1281" s="450"/>
      <c r="D1281" s="450"/>
      <c r="E1281" s="450"/>
      <c r="F1281" s="450"/>
      <c r="G1281" s="450"/>
      <c r="H1281" s="450"/>
      <c r="I1281" s="450"/>
      <c r="J1281" s="450"/>
      <c r="K1281" s="450"/>
      <c r="L1281" s="574"/>
      <c r="M1281" s="456"/>
      <c r="N1281" s="456"/>
      <c r="O1281" s="456"/>
      <c r="P1281" s="574"/>
      <c r="Q1281" s="456"/>
      <c r="R1281" s="575"/>
      <c r="S1281" s="456"/>
      <c r="T1281" s="574"/>
      <c r="U1281" s="417"/>
      <c r="V1281" s="241"/>
      <c r="W1281" s="241"/>
      <c r="X1281" s="241"/>
    </row>
    <row r="1282" spans="1:24">
      <c r="A1282" s="410"/>
      <c r="B1282" s="462"/>
      <c r="C1282" s="450"/>
      <c r="D1282" s="450"/>
      <c r="E1282" s="450"/>
      <c r="F1282" s="450"/>
      <c r="G1282" s="450"/>
      <c r="H1282" s="450"/>
      <c r="I1282" s="450"/>
      <c r="J1282" s="450"/>
      <c r="K1282" s="450"/>
      <c r="L1282" s="574"/>
      <c r="M1282" s="456"/>
      <c r="N1282" s="456"/>
      <c r="O1282" s="456"/>
      <c r="P1282" s="574"/>
      <c r="Q1282" s="456"/>
      <c r="R1282" s="575"/>
      <c r="S1282" s="456"/>
      <c r="T1282" s="574"/>
      <c r="U1282" s="417"/>
      <c r="V1282" s="241"/>
      <c r="W1282" s="241"/>
      <c r="X1282" s="241"/>
    </row>
    <row r="1283" spans="1:24">
      <c r="A1283" s="410"/>
      <c r="B1283" s="462"/>
      <c r="C1283" s="450"/>
      <c r="D1283" s="450"/>
      <c r="E1283" s="450"/>
      <c r="F1283" s="450"/>
      <c r="G1283" s="450"/>
      <c r="H1283" s="450"/>
      <c r="I1283" s="450"/>
      <c r="J1283" s="450"/>
      <c r="K1283" s="491"/>
      <c r="L1283" s="574"/>
      <c r="M1283" s="456"/>
      <c r="N1283" s="456"/>
      <c r="O1283" s="456"/>
      <c r="P1283" s="574"/>
      <c r="Q1283" s="456"/>
      <c r="R1283" s="575"/>
      <c r="S1283" s="456"/>
      <c r="T1283" s="574"/>
      <c r="U1283" s="417"/>
      <c r="V1283" s="241"/>
      <c r="W1283" s="241"/>
      <c r="X1283" s="241"/>
    </row>
    <row r="1284" spans="1:24">
      <c r="A1284" s="410"/>
      <c r="B1284" s="462"/>
      <c r="C1284" s="450"/>
      <c r="D1284" s="450"/>
      <c r="E1284" s="450"/>
      <c r="F1284" s="450"/>
      <c r="G1284" s="450"/>
      <c r="H1284" s="450"/>
      <c r="I1284" s="450"/>
      <c r="J1284" s="450"/>
      <c r="K1284" s="491"/>
      <c r="L1284" s="574"/>
      <c r="M1284" s="456"/>
      <c r="N1284" s="456"/>
      <c r="O1284" s="456"/>
      <c r="P1284" s="574"/>
      <c r="Q1284" s="456"/>
      <c r="R1284" s="575"/>
      <c r="S1284" s="456"/>
      <c r="T1284" s="574"/>
      <c r="U1284" s="417"/>
      <c r="V1284" s="241"/>
      <c r="W1284" s="241"/>
      <c r="X1284" s="241"/>
    </row>
    <row r="1285" spans="1:24">
      <c r="A1285" s="410"/>
      <c r="B1285" s="462"/>
      <c r="C1285" s="450"/>
      <c r="D1285" s="450"/>
      <c r="E1285" s="450"/>
      <c r="F1285" s="450"/>
      <c r="G1285" s="450"/>
      <c r="H1285" s="450"/>
      <c r="I1285" s="450"/>
      <c r="J1285" s="450"/>
      <c r="K1285" s="491"/>
      <c r="L1285" s="574"/>
      <c r="M1285" s="456"/>
      <c r="N1285" s="456"/>
      <c r="O1285" s="456"/>
      <c r="P1285" s="574"/>
      <c r="Q1285" s="456"/>
      <c r="R1285" s="575"/>
      <c r="S1285" s="456"/>
      <c r="T1285" s="574"/>
      <c r="U1285" s="417"/>
      <c r="V1285" s="241"/>
      <c r="W1285" s="241"/>
      <c r="X1285" s="241"/>
    </row>
    <row r="1286" spans="1:24">
      <c r="A1286" s="410"/>
      <c r="B1286" s="462"/>
      <c r="C1286" s="450"/>
      <c r="D1286" s="450"/>
      <c r="E1286" s="450"/>
      <c r="F1286" s="450"/>
      <c r="G1286" s="450"/>
      <c r="H1286" s="450"/>
      <c r="I1286" s="450"/>
      <c r="J1286" s="450"/>
      <c r="K1286" s="491"/>
      <c r="L1286" s="574"/>
      <c r="M1286" s="456"/>
      <c r="N1286" s="456"/>
      <c r="O1286" s="456"/>
      <c r="P1286" s="574"/>
      <c r="Q1286" s="456"/>
      <c r="R1286" s="575"/>
      <c r="S1286" s="456"/>
      <c r="T1286" s="574"/>
      <c r="U1286" s="417"/>
      <c r="V1286" s="241"/>
      <c r="W1286" s="241"/>
      <c r="X1286" s="241"/>
    </row>
    <row r="1287" spans="1:24">
      <c r="A1287" s="410"/>
      <c r="B1287" s="462"/>
      <c r="C1287" s="450"/>
      <c r="D1287" s="450"/>
      <c r="E1287" s="450"/>
      <c r="F1287" s="450"/>
      <c r="G1287" s="450"/>
      <c r="H1287" s="450"/>
      <c r="I1287" s="450"/>
      <c r="J1287" s="450"/>
      <c r="K1287" s="491"/>
      <c r="L1287" s="574"/>
      <c r="M1287" s="456"/>
      <c r="N1287" s="456"/>
      <c r="O1287" s="456"/>
      <c r="P1287" s="574"/>
      <c r="Q1287" s="456"/>
      <c r="R1287" s="575"/>
      <c r="S1287" s="456"/>
      <c r="T1287" s="574"/>
      <c r="U1287" s="417"/>
      <c r="V1287" s="241"/>
      <c r="W1287" s="241"/>
      <c r="X1287" s="241"/>
    </row>
    <row r="1288" spans="1:24" ht="18.600000000000001" customHeight="1">
      <c r="A1288" s="410"/>
      <c r="B1288" s="462" t="s">
        <v>864</v>
      </c>
      <c r="C1288" s="450">
        <f>C1289</f>
        <v>1112894</v>
      </c>
      <c r="D1288" s="450">
        <f t="shared" ref="D1288:V1288" si="152">D1289</f>
        <v>0</v>
      </c>
      <c r="E1288" s="450">
        <f t="shared" si="152"/>
        <v>0</v>
      </c>
      <c r="F1288" s="450">
        <f t="shared" si="152"/>
        <v>0</v>
      </c>
      <c r="G1288" s="450">
        <f t="shared" si="152"/>
        <v>0</v>
      </c>
      <c r="H1288" s="450">
        <f t="shared" si="152"/>
        <v>0</v>
      </c>
      <c r="I1288" s="450">
        <f t="shared" si="152"/>
        <v>0</v>
      </c>
      <c r="J1288" s="450">
        <f t="shared" si="152"/>
        <v>0</v>
      </c>
      <c r="K1288" s="450">
        <f t="shared" si="152"/>
        <v>0</v>
      </c>
      <c r="L1288" s="450">
        <f t="shared" si="152"/>
        <v>0</v>
      </c>
      <c r="M1288" s="450">
        <f t="shared" si="152"/>
        <v>0</v>
      </c>
      <c r="N1288" s="450">
        <f t="shared" si="152"/>
        <v>0</v>
      </c>
      <c r="O1288" s="450">
        <f t="shared" si="152"/>
        <v>0</v>
      </c>
      <c r="P1288" s="450">
        <f t="shared" si="152"/>
        <v>0</v>
      </c>
      <c r="Q1288" s="450">
        <f t="shared" si="152"/>
        <v>0</v>
      </c>
      <c r="R1288" s="450">
        <f t="shared" si="152"/>
        <v>721.5</v>
      </c>
      <c r="S1288" s="450">
        <f t="shared" si="152"/>
        <v>1112894</v>
      </c>
      <c r="T1288" s="450">
        <f t="shared" si="152"/>
        <v>0</v>
      </c>
      <c r="U1288" s="450">
        <f t="shared" si="152"/>
        <v>0</v>
      </c>
      <c r="V1288" s="164">
        <f t="shared" si="152"/>
        <v>0</v>
      </c>
      <c r="W1288" s="241"/>
      <c r="X1288" s="241"/>
    </row>
    <row r="1289" spans="1:24">
      <c r="A1289" s="410"/>
      <c r="B1289" s="462" t="s">
        <v>869</v>
      </c>
      <c r="C1289" s="450">
        <f>'часть 1'!L1321</f>
        <v>1112894</v>
      </c>
      <c r="D1289" s="450">
        <v>0</v>
      </c>
      <c r="E1289" s="450">
        <v>0</v>
      </c>
      <c r="F1289" s="450">
        <v>0</v>
      </c>
      <c r="G1289" s="450">
        <v>0</v>
      </c>
      <c r="H1289" s="450">
        <v>0</v>
      </c>
      <c r="I1289" s="450">
        <v>0</v>
      </c>
      <c r="J1289" s="450">
        <v>0</v>
      </c>
      <c r="K1289" s="491">
        <v>0</v>
      </c>
      <c r="L1289" s="574">
        <v>0</v>
      </c>
      <c r="M1289" s="456">
        <v>0</v>
      </c>
      <c r="N1289" s="491">
        <v>0</v>
      </c>
      <c r="O1289" s="491">
        <v>0</v>
      </c>
      <c r="P1289" s="574">
        <v>0</v>
      </c>
      <c r="Q1289" s="456">
        <v>0</v>
      </c>
      <c r="R1289" s="729">
        <v>721.5</v>
      </c>
      <c r="S1289" s="456">
        <v>1112894</v>
      </c>
      <c r="T1289" s="574">
        <v>0</v>
      </c>
      <c r="U1289" s="417">
        <v>0</v>
      </c>
      <c r="V1289" s="241"/>
      <c r="W1289" s="241"/>
      <c r="X1289" s="241">
        <f>S1289/R1289</f>
        <v>1542.4726264726264</v>
      </c>
    </row>
    <row r="1290" spans="1:24" ht="18.75" customHeight="1">
      <c r="A1290" s="410"/>
      <c r="B1290" s="420" t="s">
        <v>72</v>
      </c>
      <c r="C1290" s="450">
        <f>C1291</f>
        <v>4547991</v>
      </c>
      <c r="D1290" s="450">
        <f t="shared" ref="D1290:V1290" si="153">D1291</f>
        <v>0</v>
      </c>
      <c r="E1290" s="450">
        <f t="shared" si="153"/>
        <v>0</v>
      </c>
      <c r="F1290" s="450">
        <f t="shared" si="153"/>
        <v>0</v>
      </c>
      <c r="G1290" s="450">
        <f t="shared" si="153"/>
        <v>0</v>
      </c>
      <c r="H1290" s="450">
        <f t="shared" si="153"/>
        <v>0</v>
      </c>
      <c r="I1290" s="450">
        <f t="shared" si="153"/>
        <v>0</v>
      </c>
      <c r="J1290" s="450">
        <f t="shared" si="153"/>
        <v>0</v>
      </c>
      <c r="K1290" s="450">
        <f t="shared" si="153"/>
        <v>0</v>
      </c>
      <c r="L1290" s="450">
        <f t="shared" si="153"/>
        <v>0</v>
      </c>
      <c r="M1290" s="450">
        <f t="shared" si="153"/>
        <v>0</v>
      </c>
      <c r="N1290" s="450">
        <f t="shared" si="153"/>
        <v>460</v>
      </c>
      <c r="O1290" s="450">
        <f t="shared" si="153"/>
        <v>1471990</v>
      </c>
      <c r="P1290" s="450">
        <f t="shared" si="153"/>
        <v>0</v>
      </c>
      <c r="Q1290" s="450">
        <f t="shared" si="153"/>
        <v>0</v>
      </c>
      <c r="R1290" s="450">
        <f t="shared" si="153"/>
        <v>2006</v>
      </c>
      <c r="S1290" s="450">
        <f t="shared" si="153"/>
        <v>3076001</v>
      </c>
      <c r="T1290" s="450">
        <f t="shared" si="153"/>
        <v>0</v>
      </c>
      <c r="U1290" s="450">
        <f t="shared" si="153"/>
        <v>0</v>
      </c>
      <c r="V1290" s="164">
        <f t="shared" si="153"/>
        <v>0</v>
      </c>
      <c r="W1290" s="241"/>
      <c r="X1290" s="241"/>
    </row>
    <row r="1291" spans="1:24" ht="30.75" customHeight="1">
      <c r="A1291" s="410"/>
      <c r="B1291" s="420" t="s">
        <v>95</v>
      </c>
      <c r="C1291" s="450">
        <f>C1292+C1293+C1294+C1295</f>
        <v>4547991</v>
      </c>
      <c r="D1291" s="450">
        <f t="shared" ref="D1291:U1291" si="154">D1292+D1293+D1294+D1295</f>
        <v>0</v>
      </c>
      <c r="E1291" s="450">
        <f t="shared" si="154"/>
        <v>0</v>
      </c>
      <c r="F1291" s="450">
        <f t="shared" si="154"/>
        <v>0</v>
      </c>
      <c r="G1291" s="450">
        <f t="shared" si="154"/>
        <v>0</v>
      </c>
      <c r="H1291" s="450">
        <f t="shared" si="154"/>
        <v>0</v>
      </c>
      <c r="I1291" s="450">
        <f t="shared" si="154"/>
        <v>0</v>
      </c>
      <c r="J1291" s="450">
        <f t="shared" si="154"/>
        <v>0</v>
      </c>
      <c r="K1291" s="450">
        <f t="shared" si="154"/>
        <v>0</v>
      </c>
      <c r="L1291" s="450">
        <f t="shared" si="154"/>
        <v>0</v>
      </c>
      <c r="M1291" s="450">
        <f t="shared" si="154"/>
        <v>0</v>
      </c>
      <c r="N1291" s="450">
        <f t="shared" si="154"/>
        <v>460</v>
      </c>
      <c r="O1291" s="450">
        <f t="shared" si="154"/>
        <v>1471990</v>
      </c>
      <c r="P1291" s="450">
        <f t="shared" si="154"/>
        <v>0</v>
      </c>
      <c r="Q1291" s="450">
        <f t="shared" si="154"/>
        <v>0</v>
      </c>
      <c r="R1291" s="450">
        <f t="shared" si="154"/>
        <v>2006</v>
      </c>
      <c r="S1291" s="450">
        <f t="shared" si="154"/>
        <v>3076001</v>
      </c>
      <c r="T1291" s="450">
        <f t="shared" si="154"/>
        <v>0</v>
      </c>
      <c r="U1291" s="450">
        <f t="shared" si="154"/>
        <v>0</v>
      </c>
      <c r="V1291" s="241"/>
      <c r="W1291" s="241"/>
      <c r="X1291" s="241"/>
    </row>
    <row r="1292" spans="1:24" ht="15.75">
      <c r="A1292" s="410">
        <v>231</v>
      </c>
      <c r="B1292" s="288" t="s">
        <v>625</v>
      </c>
      <c r="C1292" s="450">
        <f>'часть 1'!L1324</f>
        <v>2106656</v>
      </c>
      <c r="D1292" s="450">
        <v>0</v>
      </c>
      <c r="E1292" s="450">
        <v>0</v>
      </c>
      <c r="F1292" s="450">
        <v>0</v>
      </c>
      <c r="G1292" s="450">
        <v>0</v>
      </c>
      <c r="H1292" s="450">
        <v>0</v>
      </c>
      <c r="I1292" s="450">
        <v>0</v>
      </c>
      <c r="J1292" s="450">
        <v>0</v>
      </c>
      <c r="K1292" s="450">
        <v>0</v>
      </c>
      <c r="L1292" s="410">
        <v>0</v>
      </c>
      <c r="M1292" s="494">
        <v>0</v>
      </c>
      <c r="N1292" s="412">
        <v>460</v>
      </c>
      <c r="O1292" s="450">
        <v>1471990</v>
      </c>
      <c r="P1292" s="410">
        <v>0</v>
      </c>
      <c r="Q1292" s="450">
        <v>0</v>
      </c>
      <c r="R1292" s="451">
        <v>412</v>
      </c>
      <c r="S1292" s="450">
        <v>634666</v>
      </c>
      <c r="T1292" s="410">
        <v>0</v>
      </c>
      <c r="U1292" s="495">
        <v>0</v>
      </c>
      <c r="V1292" s="241"/>
      <c r="W1292" s="241">
        <f>O1292/N1292</f>
        <v>3199.978260869565</v>
      </c>
      <c r="X1292" s="241">
        <f>S1292/R1292</f>
        <v>1540.4514563106795</v>
      </c>
    </row>
    <row r="1293" spans="1:24" ht="15.75">
      <c r="A1293" s="410">
        <v>232</v>
      </c>
      <c r="B1293" s="288" t="s">
        <v>626</v>
      </c>
      <c r="C1293" s="450">
        <f>'часть 1'!L1325</f>
        <v>649678</v>
      </c>
      <c r="D1293" s="450">
        <v>0</v>
      </c>
      <c r="E1293" s="450">
        <v>0</v>
      </c>
      <c r="F1293" s="450">
        <v>0</v>
      </c>
      <c r="G1293" s="450">
        <v>0</v>
      </c>
      <c r="H1293" s="450">
        <v>0</v>
      </c>
      <c r="I1293" s="450">
        <v>0</v>
      </c>
      <c r="J1293" s="450">
        <v>0</v>
      </c>
      <c r="K1293" s="450">
        <v>0</v>
      </c>
      <c r="L1293" s="410">
        <v>0</v>
      </c>
      <c r="M1293" s="494">
        <v>0</v>
      </c>
      <c r="N1293" s="412">
        <v>0</v>
      </c>
      <c r="O1293" s="450">
        <v>0</v>
      </c>
      <c r="P1293" s="410">
        <v>0</v>
      </c>
      <c r="Q1293" s="450">
        <v>0</v>
      </c>
      <c r="R1293" s="451">
        <v>422</v>
      </c>
      <c r="S1293" s="450">
        <v>649678</v>
      </c>
      <c r="T1293" s="410">
        <v>0</v>
      </c>
      <c r="U1293" s="495">
        <v>0</v>
      </c>
      <c r="V1293" s="241"/>
      <c r="W1293" s="241"/>
      <c r="X1293" s="241">
        <f>S1293/R1293</f>
        <v>1539.5213270142181</v>
      </c>
    </row>
    <row r="1294" spans="1:24" ht="15.75">
      <c r="A1294" s="410">
        <v>233</v>
      </c>
      <c r="B1294" s="288" t="s">
        <v>443</v>
      </c>
      <c r="C1294" s="450">
        <f>'часть 1'!L1326</f>
        <v>1157557</v>
      </c>
      <c r="D1294" s="450">
        <v>0</v>
      </c>
      <c r="E1294" s="450">
        <v>0</v>
      </c>
      <c r="F1294" s="450">
        <v>0</v>
      </c>
      <c r="G1294" s="450">
        <v>0</v>
      </c>
      <c r="H1294" s="450">
        <v>0</v>
      </c>
      <c r="I1294" s="450">
        <v>0</v>
      </c>
      <c r="J1294" s="450">
        <v>0</v>
      </c>
      <c r="K1294" s="450">
        <v>0</v>
      </c>
      <c r="L1294" s="410">
        <v>0</v>
      </c>
      <c r="M1294" s="494">
        <v>0</v>
      </c>
      <c r="N1294" s="412">
        <v>0</v>
      </c>
      <c r="O1294" s="450">
        <v>0</v>
      </c>
      <c r="P1294" s="410">
        <v>0</v>
      </c>
      <c r="Q1294" s="450">
        <v>0</v>
      </c>
      <c r="R1294" s="451">
        <v>760</v>
      </c>
      <c r="S1294" s="450">
        <v>1157557</v>
      </c>
      <c r="T1294" s="410">
        <v>0</v>
      </c>
      <c r="U1294" s="495">
        <v>0</v>
      </c>
      <c r="V1294" s="241"/>
      <c r="W1294" s="241"/>
      <c r="X1294" s="241">
        <f>S1294/R1294</f>
        <v>1523.1013157894736</v>
      </c>
    </row>
    <row r="1295" spans="1:24" ht="15.75">
      <c r="A1295" s="410">
        <v>234</v>
      </c>
      <c r="B1295" s="288" t="s">
        <v>391</v>
      </c>
      <c r="C1295" s="450">
        <f>'часть 1'!L1327</f>
        <v>634100</v>
      </c>
      <c r="D1295" s="450">
        <v>0</v>
      </c>
      <c r="E1295" s="450">
        <v>0</v>
      </c>
      <c r="F1295" s="450">
        <v>0</v>
      </c>
      <c r="G1295" s="450">
        <v>0</v>
      </c>
      <c r="H1295" s="450">
        <v>0</v>
      </c>
      <c r="I1295" s="450">
        <v>0</v>
      </c>
      <c r="J1295" s="450">
        <v>0</v>
      </c>
      <c r="K1295" s="450">
        <v>0</v>
      </c>
      <c r="L1295" s="410">
        <v>0</v>
      </c>
      <c r="M1295" s="494">
        <v>0</v>
      </c>
      <c r="N1295" s="412">
        <v>0</v>
      </c>
      <c r="O1295" s="450">
        <v>0</v>
      </c>
      <c r="P1295" s="410">
        <v>0</v>
      </c>
      <c r="Q1295" s="450">
        <v>0</v>
      </c>
      <c r="R1295" s="451">
        <v>412</v>
      </c>
      <c r="S1295" s="450">
        <v>634100</v>
      </c>
      <c r="T1295" s="410">
        <v>0</v>
      </c>
      <c r="U1295" s="495">
        <v>0</v>
      </c>
      <c r="V1295" s="241"/>
      <c r="W1295" s="241"/>
      <c r="X1295" s="241">
        <f>S1295/R1295</f>
        <v>1539.0776699029127</v>
      </c>
    </row>
    <row r="1296" spans="1:24" ht="15.75">
      <c r="A1296" s="410"/>
      <c r="B1296" s="288"/>
      <c r="C1296" s="450"/>
      <c r="D1296" s="450"/>
      <c r="E1296" s="450"/>
      <c r="F1296" s="450"/>
      <c r="G1296" s="450"/>
      <c r="H1296" s="450"/>
      <c r="I1296" s="450"/>
      <c r="J1296" s="450"/>
      <c r="K1296" s="450"/>
      <c r="L1296" s="410"/>
      <c r="M1296" s="494"/>
      <c r="N1296" s="412"/>
      <c r="O1296" s="450"/>
      <c r="P1296" s="410"/>
      <c r="Q1296" s="450"/>
      <c r="R1296" s="451"/>
      <c r="S1296" s="494"/>
      <c r="T1296" s="410"/>
      <c r="U1296" s="495"/>
      <c r="V1296" s="241"/>
      <c r="W1296" s="241"/>
      <c r="X1296" s="241"/>
    </row>
    <row r="1297" spans="1:30" ht="15.75">
      <c r="A1297" s="410"/>
      <c r="B1297" s="288"/>
      <c r="C1297" s="450"/>
      <c r="D1297" s="450"/>
      <c r="E1297" s="450"/>
      <c r="F1297" s="450"/>
      <c r="G1297" s="450"/>
      <c r="H1297" s="450"/>
      <c r="I1297" s="450"/>
      <c r="J1297" s="450"/>
      <c r="K1297" s="450"/>
      <c r="L1297" s="410"/>
      <c r="M1297" s="494"/>
      <c r="N1297" s="412"/>
      <c r="O1297" s="450"/>
      <c r="P1297" s="410"/>
      <c r="Q1297" s="450"/>
      <c r="R1297" s="451"/>
      <c r="S1297" s="494"/>
      <c r="T1297" s="410"/>
      <c r="U1297" s="495"/>
      <c r="V1297" s="241"/>
      <c r="W1297" s="241"/>
      <c r="X1297" s="241"/>
    </row>
    <row r="1298" spans="1:30" ht="15.75">
      <c r="A1298" s="410"/>
      <c r="B1298" s="288"/>
      <c r="C1298" s="450"/>
      <c r="D1298" s="450"/>
      <c r="E1298" s="450"/>
      <c r="F1298" s="450"/>
      <c r="G1298" s="450"/>
      <c r="H1298" s="450"/>
      <c r="I1298" s="450"/>
      <c r="J1298" s="450"/>
      <c r="K1298" s="450"/>
      <c r="L1298" s="410"/>
      <c r="M1298" s="494"/>
      <c r="N1298" s="412"/>
      <c r="O1298" s="450"/>
      <c r="P1298" s="410"/>
      <c r="Q1298" s="450"/>
      <c r="R1298" s="451"/>
      <c r="S1298" s="494"/>
      <c r="T1298" s="410"/>
      <c r="U1298" s="495"/>
      <c r="V1298" s="241"/>
      <c r="W1298" s="241"/>
      <c r="X1298" s="241"/>
    </row>
    <row r="1299" spans="1:30">
      <c r="A1299" s="166"/>
      <c r="B1299" s="183" t="s">
        <v>41</v>
      </c>
      <c r="C1299" s="160">
        <f>C1300</f>
        <v>12671361</v>
      </c>
      <c r="D1299" s="160">
        <f t="shared" ref="D1299:U1299" si="155">D1300</f>
        <v>8521269</v>
      </c>
      <c r="E1299" s="160">
        <f t="shared" si="155"/>
        <v>0</v>
      </c>
      <c r="F1299" s="160">
        <f t="shared" si="155"/>
        <v>5886903</v>
      </c>
      <c r="G1299" s="160">
        <f t="shared" si="155"/>
        <v>0</v>
      </c>
      <c r="H1299" s="160">
        <f t="shared" si="155"/>
        <v>1602037</v>
      </c>
      <c r="I1299" s="160">
        <f t="shared" si="155"/>
        <v>0</v>
      </c>
      <c r="J1299" s="160">
        <f t="shared" si="155"/>
        <v>1032329</v>
      </c>
      <c r="K1299" s="160">
        <f t="shared" si="155"/>
        <v>0</v>
      </c>
      <c r="L1299" s="160">
        <f t="shared" si="155"/>
        <v>0</v>
      </c>
      <c r="M1299" s="160">
        <f t="shared" si="155"/>
        <v>0</v>
      </c>
      <c r="N1299" s="160">
        <f t="shared" si="155"/>
        <v>1654</v>
      </c>
      <c r="O1299" s="160">
        <f t="shared" si="155"/>
        <v>4150092</v>
      </c>
      <c r="P1299" s="160">
        <f t="shared" si="155"/>
        <v>0</v>
      </c>
      <c r="Q1299" s="160">
        <f t="shared" si="155"/>
        <v>0</v>
      </c>
      <c r="R1299" s="160">
        <f t="shared" si="155"/>
        <v>0</v>
      </c>
      <c r="S1299" s="160">
        <f t="shared" si="155"/>
        <v>0</v>
      </c>
      <c r="T1299" s="160">
        <f t="shared" si="155"/>
        <v>0</v>
      </c>
      <c r="U1299" s="160">
        <f t="shared" si="155"/>
        <v>0</v>
      </c>
      <c r="V1299" s="241"/>
      <c r="W1299" s="241"/>
      <c r="X1299" s="241"/>
    </row>
    <row r="1300" spans="1:30" ht="30">
      <c r="A1300" s="166"/>
      <c r="B1300" s="163" t="s">
        <v>96</v>
      </c>
      <c r="C1300" s="164">
        <f>C1301+C1302+C1303+C1304</f>
        <v>12671361</v>
      </c>
      <c r="D1300" s="164">
        <f t="shared" ref="D1300:U1300" si="156">D1301+D1302+D1303+D1304</f>
        <v>8521269</v>
      </c>
      <c r="E1300" s="164">
        <f t="shared" si="156"/>
        <v>0</v>
      </c>
      <c r="F1300" s="164">
        <f t="shared" si="156"/>
        <v>5886903</v>
      </c>
      <c r="G1300" s="164">
        <f t="shared" si="156"/>
        <v>0</v>
      </c>
      <c r="H1300" s="164">
        <f t="shared" si="156"/>
        <v>1602037</v>
      </c>
      <c r="I1300" s="164">
        <f t="shared" si="156"/>
        <v>0</v>
      </c>
      <c r="J1300" s="164">
        <f t="shared" si="156"/>
        <v>1032329</v>
      </c>
      <c r="K1300" s="164">
        <f t="shared" si="156"/>
        <v>0</v>
      </c>
      <c r="L1300" s="164">
        <f t="shared" si="156"/>
        <v>0</v>
      </c>
      <c r="M1300" s="164">
        <f t="shared" si="156"/>
        <v>0</v>
      </c>
      <c r="N1300" s="164">
        <f t="shared" si="156"/>
        <v>1654</v>
      </c>
      <c r="O1300" s="164">
        <f t="shared" si="156"/>
        <v>4150092</v>
      </c>
      <c r="P1300" s="164">
        <f t="shared" si="156"/>
        <v>0</v>
      </c>
      <c r="Q1300" s="164">
        <f t="shared" si="156"/>
        <v>0</v>
      </c>
      <c r="R1300" s="164">
        <f t="shared" si="156"/>
        <v>0</v>
      </c>
      <c r="S1300" s="164">
        <f t="shared" si="156"/>
        <v>0</v>
      </c>
      <c r="T1300" s="164">
        <f t="shared" si="156"/>
        <v>0</v>
      </c>
      <c r="U1300" s="164">
        <f t="shared" si="156"/>
        <v>0</v>
      </c>
      <c r="V1300" s="164">
        <f>V1301+V1302+V1303+V1304</f>
        <v>0</v>
      </c>
      <c r="W1300" s="241"/>
      <c r="X1300" s="241"/>
    </row>
    <row r="1301" spans="1:30" ht="31.5">
      <c r="A1301" s="166">
        <v>238</v>
      </c>
      <c r="B1301" s="697" t="s">
        <v>831</v>
      </c>
      <c r="C1301" s="164">
        <f>'часть 1'!L1333</f>
        <v>4056611</v>
      </c>
      <c r="D1301" s="164">
        <f>E1301+F1301+G1301+H1301+I1301+J1301+K1301</f>
        <v>4056611</v>
      </c>
      <c r="E1301" s="164">
        <v>0</v>
      </c>
      <c r="F1301" s="164">
        <v>4056611</v>
      </c>
      <c r="G1301" s="164">
        <v>0</v>
      </c>
      <c r="H1301" s="164">
        <v>0</v>
      </c>
      <c r="I1301" s="164">
        <v>0</v>
      </c>
      <c r="J1301" s="164">
        <v>0</v>
      </c>
      <c r="K1301" s="164">
        <v>0</v>
      </c>
      <c r="L1301" s="162">
        <v>0</v>
      </c>
      <c r="M1301" s="167">
        <v>0</v>
      </c>
      <c r="N1301" s="167">
        <v>0</v>
      </c>
      <c r="O1301" s="164">
        <v>0</v>
      </c>
      <c r="P1301" s="161">
        <v>0</v>
      </c>
      <c r="Q1301" s="160">
        <v>0</v>
      </c>
      <c r="R1301" s="161">
        <v>0</v>
      </c>
      <c r="S1301" s="160">
        <v>0</v>
      </c>
      <c r="T1301" s="172">
        <v>0</v>
      </c>
      <c r="U1301" s="245">
        <v>0</v>
      </c>
      <c r="V1301" s="241"/>
      <c r="W1301" s="241"/>
      <c r="X1301" s="241"/>
      <c r="AA1301" s="1">
        <f>F1301/'часть 1'!I1333</f>
        <v>997.98047638025787</v>
      </c>
    </row>
    <row r="1302" spans="1:30" ht="31.5">
      <c r="A1302" s="166">
        <v>239</v>
      </c>
      <c r="B1302" s="697" t="s">
        <v>832</v>
      </c>
      <c r="C1302" s="164">
        <f>'часть 1'!L1334</f>
        <v>2157151</v>
      </c>
      <c r="D1302" s="164">
        <f>E1302+F1302+G1302+H1302+I1302+J1302+K1302</f>
        <v>0</v>
      </c>
      <c r="E1302" s="164">
        <v>0</v>
      </c>
      <c r="F1302" s="164">
        <v>0</v>
      </c>
      <c r="G1302" s="164">
        <v>0</v>
      </c>
      <c r="H1302" s="164">
        <v>0</v>
      </c>
      <c r="I1302" s="164">
        <v>0</v>
      </c>
      <c r="J1302" s="164">
        <v>0</v>
      </c>
      <c r="K1302" s="164">
        <v>0</v>
      </c>
      <c r="L1302" s="162">
        <v>0</v>
      </c>
      <c r="M1302" s="167">
        <v>0</v>
      </c>
      <c r="N1302" s="167">
        <v>860</v>
      </c>
      <c r="O1302" s="164">
        <v>2157151</v>
      </c>
      <c r="P1302" s="161">
        <v>0</v>
      </c>
      <c r="Q1302" s="160">
        <v>0</v>
      </c>
      <c r="R1302" s="161">
        <v>0</v>
      </c>
      <c r="S1302" s="160">
        <v>0</v>
      </c>
      <c r="T1302" s="172">
        <v>0</v>
      </c>
      <c r="U1302" s="245">
        <v>0</v>
      </c>
      <c r="V1302" s="241"/>
      <c r="W1302" s="241">
        <f>O1302/N1302</f>
        <v>2508.3151162790696</v>
      </c>
      <c r="X1302" s="241"/>
    </row>
    <row r="1303" spans="1:30" ht="24" customHeight="1">
      <c r="A1303" s="166">
        <v>240</v>
      </c>
      <c r="B1303" s="697" t="s">
        <v>833</v>
      </c>
      <c r="C1303" s="164">
        <f>'часть 1'!L1335</f>
        <v>1992941</v>
      </c>
      <c r="D1303" s="164">
        <f>E1303+F1303+G1303+H1303+I1303+J1303+K1303</f>
        <v>0</v>
      </c>
      <c r="E1303" s="164">
        <v>0</v>
      </c>
      <c r="F1303" s="164">
        <v>0</v>
      </c>
      <c r="G1303" s="164">
        <v>0</v>
      </c>
      <c r="H1303" s="164">
        <v>0</v>
      </c>
      <c r="I1303" s="164">
        <v>0</v>
      </c>
      <c r="J1303" s="164">
        <v>0</v>
      </c>
      <c r="K1303" s="164">
        <v>0</v>
      </c>
      <c r="L1303" s="162">
        <v>0</v>
      </c>
      <c r="M1303" s="167">
        <v>0</v>
      </c>
      <c r="N1303" s="167">
        <v>794</v>
      </c>
      <c r="O1303" s="164">
        <v>1992941</v>
      </c>
      <c r="P1303" s="161">
        <v>0</v>
      </c>
      <c r="Q1303" s="160">
        <v>0</v>
      </c>
      <c r="R1303" s="161">
        <v>0</v>
      </c>
      <c r="S1303" s="160">
        <v>0</v>
      </c>
      <c r="T1303" s="172">
        <v>0</v>
      </c>
      <c r="U1303" s="245">
        <v>0</v>
      </c>
      <c r="V1303" s="241"/>
      <c r="W1303" s="241">
        <f>O1303/N1303</f>
        <v>2510.001259445844</v>
      </c>
      <c r="X1303" s="241"/>
    </row>
    <row r="1304" spans="1:30" ht="19.899999999999999" customHeight="1">
      <c r="A1304" s="166"/>
      <c r="B1304" s="184" t="s">
        <v>948</v>
      </c>
      <c r="C1304" s="164">
        <f>'часть 1'!L1336</f>
        <v>4464658</v>
      </c>
      <c r="D1304" s="164">
        <f>E1304+F1304+G1304+H1304+I1304+J1304+K1304</f>
        <v>4464658</v>
      </c>
      <c r="E1304" s="164">
        <v>0</v>
      </c>
      <c r="F1304" s="164">
        <v>1830292</v>
      </c>
      <c r="G1304" s="164">
        <v>0</v>
      </c>
      <c r="H1304" s="164">
        <v>1602037</v>
      </c>
      <c r="I1304" s="164">
        <v>0</v>
      </c>
      <c r="J1304" s="164">
        <v>1032329</v>
      </c>
      <c r="K1304" s="164">
        <v>0</v>
      </c>
      <c r="L1304" s="162">
        <v>0</v>
      </c>
      <c r="M1304" s="167">
        <v>0</v>
      </c>
      <c r="N1304" s="160">
        <v>0</v>
      </c>
      <c r="O1304" s="160">
        <v>0</v>
      </c>
      <c r="P1304" s="161">
        <v>0</v>
      </c>
      <c r="Q1304" s="160">
        <v>0</v>
      </c>
      <c r="R1304" s="161">
        <v>0</v>
      </c>
      <c r="S1304" s="160">
        <v>0</v>
      </c>
      <c r="T1304" s="172">
        <v>0</v>
      </c>
      <c r="U1304" s="245">
        <v>0</v>
      </c>
      <c r="V1304" s="241"/>
      <c r="W1304" s="241"/>
      <c r="X1304" s="241"/>
      <c r="AA1304" s="1">
        <f>F1304/'часть 1'!I1336</f>
        <v>927.85764980229146</v>
      </c>
      <c r="AB1304" s="1">
        <f>H1304/'часть 1'!I1336</f>
        <v>812.14488492345129</v>
      </c>
      <c r="AD1304" s="1">
        <f>J1304/'часть 1'!I1336</f>
        <v>523.33417824191429</v>
      </c>
    </row>
    <row r="1305" spans="1:30">
      <c r="A1305" s="166"/>
      <c r="B1305" s="163"/>
      <c r="C1305" s="164"/>
      <c r="D1305" s="164"/>
      <c r="E1305" s="164"/>
      <c r="F1305" s="164"/>
      <c r="G1305" s="164"/>
      <c r="H1305" s="164"/>
      <c r="I1305" s="164"/>
      <c r="J1305" s="164"/>
      <c r="K1305" s="164"/>
      <c r="L1305" s="162"/>
      <c r="M1305" s="167"/>
      <c r="N1305" s="167"/>
      <c r="O1305" s="164"/>
      <c r="P1305" s="161"/>
      <c r="Q1305" s="177"/>
      <c r="R1305" s="179"/>
      <c r="S1305" s="177"/>
      <c r="T1305" s="178"/>
      <c r="U1305" s="248"/>
      <c r="V1305" s="241"/>
      <c r="W1305" s="241"/>
      <c r="X1305" s="241"/>
    </row>
    <row r="1306" spans="1:30">
      <c r="A1306" s="166"/>
      <c r="B1306" s="184" t="s">
        <v>68</v>
      </c>
      <c r="C1306" s="164">
        <f>C1307</f>
        <v>0</v>
      </c>
      <c r="D1306" s="164">
        <f t="shared" ref="D1306:U1306" si="157">D1307</f>
        <v>0</v>
      </c>
      <c r="E1306" s="164">
        <f t="shared" si="157"/>
        <v>0</v>
      </c>
      <c r="F1306" s="164">
        <f t="shared" si="157"/>
        <v>0</v>
      </c>
      <c r="G1306" s="164">
        <f t="shared" si="157"/>
        <v>0</v>
      </c>
      <c r="H1306" s="164">
        <f t="shared" si="157"/>
        <v>0</v>
      </c>
      <c r="I1306" s="164">
        <f t="shared" si="157"/>
        <v>0</v>
      </c>
      <c r="J1306" s="164">
        <f t="shared" si="157"/>
        <v>0</v>
      </c>
      <c r="K1306" s="164">
        <f t="shared" si="157"/>
        <v>0</v>
      </c>
      <c r="L1306" s="164">
        <f t="shared" si="157"/>
        <v>0</v>
      </c>
      <c r="M1306" s="164">
        <f t="shared" si="157"/>
        <v>0</v>
      </c>
      <c r="N1306" s="164">
        <f t="shared" si="157"/>
        <v>0</v>
      </c>
      <c r="O1306" s="164">
        <f t="shared" si="157"/>
        <v>0</v>
      </c>
      <c r="P1306" s="164">
        <f t="shared" si="157"/>
        <v>0</v>
      </c>
      <c r="Q1306" s="164">
        <f t="shared" si="157"/>
        <v>0</v>
      </c>
      <c r="R1306" s="164">
        <f t="shared" si="157"/>
        <v>0</v>
      </c>
      <c r="S1306" s="164">
        <f t="shared" si="157"/>
        <v>0</v>
      </c>
      <c r="T1306" s="164">
        <f t="shared" si="157"/>
        <v>0</v>
      </c>
      <c r="U1306" s="164">
        <f t="shared" si="157"/>
        <v>0</v>
      </c>
      <c r="V1306" s="241"/>
      <c r="W1306" s="241"/>
      <c r="X1306" s="241"/>
    </row>
    <row r="1307" spans="1:30" ht="30">
      <c r="A1307" s="410"/>
      <c r="B1307" s="449" t="s">
        <v>97</v>
      </c>
      <c r="C1307" s="450">
        <v>0</v>
      </c>
      <c r="D1307" s="450">
        <v>0</v>
      </c>
      <c r="E1307" s="450">
        <v>0</v>
      </c>
      <c r="F1307" s="450">
        <v>0</v>
      </c>
      <c r="G1307" s="450">
        <v>0</v>
      </c>
      <c r="H1307" s="450">
        <v>0</v>
      </c>
      <c r="I1307" s="450">
        <v>0</v>
      </c>
      <c r="J1307" s="450">
        <v>0</v>
      </c>
      <c r="K1307" s="450">
        <v>0</v>
      </c>
      <c r="L1307" s="410">
        <v>0</v>
      </c>
      <c r="M1307" s="450">
        <v>0</v>
      </c>
      <c r="N1307" s="450">
        <v>0</v>
      </c>
      <c r="O1307" s="450">
        <v>0</v>
      </c>
      <c r="P1307" s="451">
        <v>0</v>
      </c>
      <c r="Q1307" s="450">
        <v>0</v>
      </c>
      <c r="R1307" s="451">
        <v>0</v>
      </c>
      <c r="S1307" s="450">
        <v>0</v>
      </c>
      <c r="T1307" s="410">
        <v>0</v>
      </c>
      <c r="U1307" s="452">
        <v>0</v>
      </c>
      <c r="V1307" s="241"/>
      <c r="W1307" s="241"/>
      <c r="X1307" s="241"/>
    </row>
    <row r="1308" spans="1:30">
      <c r="A1308" s="410"/>
      <c r="B1308" s="462"/>
      <c r="C1308" s="419"/>
      <c r="D1308" s="419"/>
      <c r="E1308" s="419"/>
      <c r="F1308" s="419"/>
      <c r="G1308" s="419"/>
      <c r="H1308" s="419"/>
      <c r="I1308" s="419"/>
      <c r="J1308" s="419"/>
      <c r="K1308" s="419"/>
      <c r="L1308" s="453"/>
      <c r="M1308" s="419"/>
      <c r="N1308" s="419"/>
      <c r="O1308" s="419"/>
      <c r="P1308" s="454"/>
      <c r="Q1308" s="419"/>
      <c r="R1308" s="454"/>
      <c r="S1308" s="419"/>
      <c r="T1308" s="453"/>
      <c r="U1308" s="455"/>
      <c r="V1308" s="241"/>
      <c r="W1308" s="241"/>
      <c r="X1308" s="241"/>
    </row>
    <row r="1309" spans="1:30" s="14" customFormat="1">
      <c r="A1309" s="166"/>
      <c r="B1309" s="182" t="s">
        <v>43</v>
      </c>
      <c r="C1309" s="177">
        <v>23032470</v>
      </c>
      <c r="D1309" s="177"/>
      <c r="E1309" s="177"/>
      <c r="F1309" s="177"/>
      <c r="G1309" s="177"/>
      <c r="H1309" s="177"/>
      <c r="I1309" s="177"/>
      <c r="J1309" s="177"/>
      <c r="K1309" s="177">
        <v>0</v>
      </c>
      <c r="L1309" s="179">
        <v>0</v>
      </c>
      <c r="M1309" s="177">
        <v>0</v>
      </c>
      <c r="N1309" s="177">
        <v>11598.699999999999</v>
      </c>
      <c r="O1309" s="177">
        <v>23032470</v>
      </c>
      <c r="P1309" s="179">
        <v>0</v>
      </c>
      <c r="Q1309" s="177">
        <v>0</v>
      </c>
      <c r="R1309" s="179">
        <v>0</v>
      </c>
      <c r="S1309" s="177">
        <v>0</v>
      </c>
      <c r="T1309" s="179">
        <v>0</v>
      </c>
      <c r="U1309" s="248">
        <v>0</v>
      </c>
      <c r="V1309" s="241"/>
      <c r="W1309" s="241"/>
      <c r="X1309" s="241"/>
    </row>
    <row r="1310" spans="1:30" ht="30">
      <c r="A1310" s="166"/>
      <c r="B1310" s="180" t="s">
        <v>125</v>
      </c>
      <c r="C1310" s="177">
        <v>20696312</v>
      </c>
      <c r="D1310" s="177"/>
      <c r="E1310" s="177"/>
      <c r="F1310" s="177"/>
      <c r="G1310" s="177"/>
      <c r="H1310" s="177"/>
      <c r="I1310" s="177"/>
      <c r="J1310" s="177"/>
      <c r="K1310" s="177">
        <v>0</v>
      </c>
      <c r="L1310" s="178">
        <v>0</v>
      </c>
      <c r="M1310" s="177">
        <v>0</v>
      </c>
      <c r="N1310" s="177">
        <v>10402.699999999999</v>
      </c>
      <c r="O1310" s="177">
        <v>20696312</v>
      </c>
      <c r="P1310" s="179">
        <v>0</v>
      </c>
      <c r="Q1310" s="177">
        <v>0</v>
      </c>
      <c r="R1310" s="179">
        <v>0</v>
      </c>
      <c r="S1310" s="177">
        <v>0</v>
      </c>
      <c r="T1310" s="178">
        <v>0</v>
      </c>
      <c r="U1310" s="248">
        <v>0</v>
      </c>
      <c r="V1310" s="241"/>
      <c r="W1310" s="241"/>
      <c r="X1310" s="241"/>
    </row>
    <row r="1311" spans="1:30" customFormat="1">
      <c r="A1311" s="166">
        <v>244</v>
      </c>
      <c r="B1311" s="185" t="s">
        <v>405</v>
      </c>
      <c r="C1311" s="186">
        <v>2301804</v>
      </c>
      <c r="D1311" s="186"/>
      <c r="E1311" s="186"/>
      <c r="F1311" s="186"/>
      <c r="G1311" s="186"/>
      <c r="H1311" s="186"/>
      <c r="I1311" s="186"/>
      <c r="J1311" s="186"/>
      <c r="K1311" s="187">
        <v>0</v>
      </c>
      <c r="L1311" s="188">
        <v>0</v>
      </c>
      <c r="M1311" s="187">
        <v>0</v>
      </c>
      <c r="N1311" s="189">
        <v>1167</v>
      </c>
      <c r="O1311" s="190">
        <v>2301804</v>
      </c>
      <c r="P1311" s="191">
        <v>0</v>
      </c>
      <c r="Q1311" s="187">
        <v>0</v>
      </c>
      <c r="R1311" s="191">
        <v>0</v>
      </c>
      <c r="S1311" s="187">
        <v>0</v>
      </c>
      <c r="T1311" s="192">
        <v>0</v>
      </c>
      <c r="U1311" s="249">
        <v>0</v>
      </c>
      <c r="V1311" s="241"/>
      <c r="W1311" s="241"/>
      <c r="X1311" s="241"/>
    </row>
    <row r="1312" spans="1:30" customFormat="1">
      <c r="A1312" s="166">
        <v>245</v>
      </c>
      <c r="B1312" s="185" t="s">
        <v>393</v>
      </c>
      <c r="C1312" s="186">
        <v>1743478</v>
      </c>
      <c r="D1312" s="186"/>
      <c r="E1312" s="186"/>
      <c r="F1312" s="186"/>
      <c r="G1312" s="186"/>
      <c r="H1312" s="186"/>
      <c r="I1312" s="186"/>
      <c r="J1312" s="186"/>
      <c r="K1312" s="193">
        <v>0</v>
      </c>
      <c r="L1312" s="169">
        <v>0</v>
      </c>
      <c r="M1312" s="193">
        <v>0</v>
      </c>
      <c r="N1312" s="194">
        <v>880</v>
      </c>
      <c r="O1312" s="190">
        <v>1743478</v>
      </c>
      <c r="P1312" s="191">
        <v>0</v>
      </c>
      <c r="Q1312" s="187">
        <v>0</v>
      </c>
      <c r="R1312" s="191">
        <v>0</v>
      </c>
      <c r="S1312" s="187">
        <v>0</v>
      </c>
      <c r="T1312" s="192">
        <v>0</v>
      </c>
      <c r="U1312" s="249">
        <v>0</v>
      </c>
      <c r="V1312" s="241"/>
      <c r="W1312" s="241"/>
      <c r="X1312" s="241"/>
    </row>
    <row r="1313" spans="1:35" customFormat="1">
      <c r="A1313" s="166">
        <v>246</v>
      </c>
      <c r="B1313" s="185" t="s">
        <v>406</v>
      </c>
      <c r="C1313" s="186">
        <v>2485001</v>
      </c>
      <c r="D1313" s="186"/>
      <c r="E1313" s="186"/>
      <c r="F1313" s="186"/>
      <c r="G1313" s="186"/>
      <c r="H1313" s="186"/>
      <c r="I1313" s="186"/>
      <c r="J1313" s="186"/>
      <c r="K1313" s="187">
        <v>0</v>
      </c>
      <c r="L1313" s="188">
        <v>0</v>
      </c>
      <c r="M1313" s="187">
        <v>0</v>
      </c>
      <c r="N1313" s="195">
        <v>1268.4000000000001</v>
      </c>
      <c r="O1313" s="190">
        <v>2485001</v>
      </c>
      <c r="P1313" s="191">
        <v>0</v>
      </c>
      <c r="Q1313" s="187">
        <v>0</v>
      </c>
      <c r="R1313" s="191">
        <v>0</v>
      </c>
      <c r="S1313" s="187">
        <v>0</v>
      </c>
      <c r="T1313" s="192">
        <v>0</v>
      </c>
      <c r="U1313" s="249">
        <v>0</v>
      </c>
      <c r="V1313" s="241"/>
      <c r="W1313" s="241"/>
      <c r="X1313" s="241"/>
    </row>
    <row r="1314" spans="1:35" customFormat="1">
      <c r="A1314" s="166">
        <v>247</v>
      </c>
      <c r="B1314" s="185" t="s">
        <v>402</v>
      </c>
      <c r="C1314" s="186">
        <v>1237591</v>
      </c>
      <c r="D1314" s="186"/>
      <c r="E1314" s="186"/>
      <c r="F1314" s="186"/>
      <c r="G1314" s="186"/>
      <c r="H1314" s="186"/>
      <c r="I1314" s="186"/>
      <c r="J1314" s="186"/>
      <c r="K1314" s="187">
        <v>0</v>
      </c>
      <c r="L1314" s="188">
        <v>0</v>
      </c>
      <c r="M1314" s="187">
        <v>0</v>
      </c>
      <c r="N1314" s="189">
        <v>620</v>
      </c>
      <c r="O1314" s="190">
        <v>1237591</v>
      </c>
      <c r="P1314" s="191">
        <v>0</v>
      </c>
      <c r="Q1314" s="187">
        <v>0</v>
      </c>
      <c r="R1314" s="191">
        <v>0</v>
      </c>
      <c r="S1314" s="187">
        <v>0</v>
      </c>
      <c r="T1314" s="192">
        <v>0</v>
      </c>
      <c r="U1314" s="249">
        <v>0</v>
      </c>
      <c r="V1314" s="241"/>
      <c r="W1314" s="241"/>
      <c r="X1314" s="241"/>
      <c r="Y1314" s="34"/>
      <c r="Z1314" s="34"/>
      <c r="AA1314" s="34"/>
      <c r="AB1314" s="34"/>
      <c r="AC1314" s="34"/>
      <c r="AD1314" s="34"/>
      <c r="AE1314" s="34"/>
      <c r="AF1314" s="34"/>
      <c r="AG1314" s="34"/>
      <c r="AH1314" s="34"/>
      <c r="AI1314" s="34"/>
    </row>
    <row r="1315" spans="1:35" s="33" customFormat="1">
      <c r="A1315" s="166">
        <v>248</v>
      </c>
      <c r="B1315" s="185" t="s">
        <v>397</v>
      </c>
      <c r="C1315" s="186">
        <v>1448078</v>
      </c>
      <c r="D1315" s="186"/>
      <c r="E1315" s="186"/>
      <c r="F1315" s="186"/>
      <c r="G1315" s="186"/>
      <c r="H1315" s="186"/>
      <c r="I1315" s="186"/>
      <c r="J1315" s="186"/>
      <c r="K1315" s="187">
        <v>0</v>
      </c>
      <c r="L1315" s="188">
        <v>0</v>
      </c>
      <c r="M1315" s="187">
        <v>0</v>
      </c>
      <c r="N1315" s="195">
        <v>729</v>
      </c>
      <c r="O1315" s="190">
        <v>1448078</v>
      </c>
      <c r="P1315" s="191">
        <v>0</v>
      </c>
      <c r="Q1315" s="187">
        <v>0</v>
      </c>
      <c r="R1315" s="191">
        <v>0</v>
      </c>
      <c r="S1315" s="187">
        <v>0</v>
      </c>
      <c r="T1315" s="192">
        <v>0</v>
      </c>
      <c r="U1315" s="249">
        <v>0</v>
      </c>
      <c r="V1315" s="241"/>
      <c r="W1315" s="241"/>
      <c r="X1315" s="241"/>
    </row>
    <row r="1316" spans="1:35" customFormat="1">
      <c r="A1316" s="166">
        <v>249</v>
      </c>
      <c r="B1316" s="185" t="s">
        <v>398</v>
      </c>
      <c r="C1316" s="186">
        <v>1963797</v>
      </c>
      <c r="D1316" s="186"/>
      <c r="E1316" s="186"/>
      <c r="F1316" s="186"/>
      <c r="G1316" s="186"/>
      <c r="H1316" s="186"/>
      <c r="I1316" s="186"/>
      <c r="J1316" s="186"/>
      <c r="K1316" s="187">
        <v>0</v>
      </c>
      <c r="L1316" s="188">
        <v>0</v>
      </c>
      <c r="M1316" s="187">
        <v>0</v>
      </c>
      <c r="N1316" s="189">
        <v>991.4</v>
      </c>
      <c r="O1316" s="190">
        <v>1963797</v>
      </c>
      <c r="P1316" s="191">
        <v>0</v>
      </c>
      <c r="Q1316" s="187">
        <v>0</v>
      </c>
      <c r="R1316" s="191">
        <v>0</v>
      </c>
      <c r="S1316" s="187">
        <v>0</v>
      </c>
      <c r="T1316" s="192">
        <v>0</v>
      </c>
      <c r="U1316" s="249">
        <v>0</v>
      </c>
      <c r="V1316" s="241"/>
      <c r="W1316" s="241"/>
      <c r="X1316" s="241"/>
    </row>
    <row r="1317" spans="1:35" customFormat="1">
      <c r="A1317" s="166">
        <v>250</v>
      </c>
      <c r="B1317" s="185" t="s">
        <v>399</v>
      </c>
      <c r="C1317" s="186">
        <v>2119530</v>
      </c>
      <c r="D1317" s="186"/>
      <c r="E1317" s="186"/>
      <c r="F1317" s="186"/>
      <c r="G1317" s="186"/>
      <c r="H1317" s="186"/>
      <c r="I1317" s="186"/>
      <c r="J1317" s="186"/>
      <c r="K1317" s="187">
        <v>0</v>
      </c>
      <c r="L1317" s="188">
        <v>0</v>
      </c>
      <c r="M1317" s="187">
        <v>0</v>
      </c>
      <c r="N1317" s="189">
        <v>1054.5</v>
      </c>
      <c r="O1317" s="190">
        <v>2119530</v>
      </c>
      <c r="P1317" s="191">
        <v>0</v>
      </c>
      <c r="Q1317" s="187">
        <v>0</v>
      </c>
      <c r="R1317" s="191">
        <v>0</v>
      </c>
      <c r="S1317" s="187">
        <v>0</v>
      </c>
      <c r="T1317" s="192">
        <v>0</v>
      </c>
      <c r="U1317" s="249">
        <v>0</v>
      </c>
      <c r="V1317" s="241"/>
      <c r="W1317" s="241"/>
      <c r="X1317" s="241"/>
    </row>
    <row r="1318" spans="1:35" customFormat="1">
      <c r="A1318" s="166">
        <v>251</v>
      </c>
      <c r="B1318" s="185" t="s">
        <v>403</v>
      </c>
      <c r="C1318" s="186">
        <v>1098163</v>
      </c>
      <c r="D1318" s="186"/>
      <c r="E1318" s="186"/>
      <c r="F1318" s="186"/>
      <c r="G1318" s="186"/>
      <c r="H1318" s="186"/>
      <c r="I1318" s="186"/>
      <c r="J1318" s="186"/>
      <c r="K1318" s="187">
        <v>0</v>
      </c>
      <c r="L1318" s="188">
        <v>0</v>
      </c>
      <c r="M1318" s="187">
        <v>0</v>
      </c>
      <c r="N1318" s="189">
        <v>548</v>
      </c>
      <c r="O1318" s="190">
        <v>1098163</v>
      </c>
      <c r="P1318" s="191">
        <v>0</v>
      </c>
      <c r="Q1318" s="187">
        <v>0</v>
      </c>
      <c r="R1318" s="191">
        <v>0</v>
      </c>
      <c r="S1318" s="187">
        <v>0</v>
      </c>
      <c r="T1318" s="192">
        <v>0</v>
      </c>
      <c r="U1318" s="249">
        <v>0</v>
      </c>
      <c r="V1318" s="241"/>
      <c r="W1318" s="241"/>
      <c r="X1318" s="241"/>
      <c r="Y1318" s="34"/>
      <c r="Z1318" s="34"/>
      <c r="AA1318" s="34"/>
      <c r="AB1318" s="34"/>
      <c r="AC1318" s="34"/>
      <c r="AD1318" s="34"/>
      <c r="AE1318" s="34"/>
      <c r="AF1318" s="34"/>
      <c r="AG1318" s="34"/>
      <c r="AH1318" s="34"/>
      <c r="AI1318" s="34"/>
    </row>
    <row r="1319" spans="1:35" customFormat="1">
      <c r="A1319" s="166">
        <v>252</v>
      </c>
      <c r="B1319" s="185" t="s">
        <v>404</v>
      </c>
      <c r="C1319" s="186">
        <v>1241309</v>
      </c>
      <c r="D1319" s="186"/>
      <c r="E1319" s="186"/>
      <c r="F1319" s="186"/>
      <c r="G1319" s="186"/>
      <c r="H1319" s="186"/>
      <c r="I1319" s="186"/>
      <c r="J1319" s="186"/>
      <c r="K1319" s="187">
        <v>0</v>
      </c>
      <c r="L1319" s="188">
        <v>0</v>
      </c>
      <c r="M1319" s="187">
        <v>0</v>
      </c>
      <c r="N1319" s="189">
        <v>622</v>
      </c>
      <c r="O1319" s="190">
        <v>1241309</v>
      </c>
      <c r="P1319" s="191">
        <v>0</v>
      </c>
      <c r="Q1319" s="187">
        <v>0</v>
      </c>
      <c r="R1319" s="191">
        <v>0</v>
      </c>
      <c r="S1319" s="187">
        <v>0</v>
      </c>
      <c r="T1319" s="192">
        <v>0</v>
      </c>
      <c r="U1319" s="249">
        <v>0</v>
      </c>
      <c r="V1319" s="241"/>
      <c r="W1319" s="241"/>
      <c r="X1319" s="241"/>
    </row>
    <row r="1320" spans="1:35" s="34" customFormat="1">
      <c r="A1320" s="166">
        <v>253</v>
      </c>
      <c r="B1320" s="185" t="s">
        <v>400</v>
      </c>
      <c r="C1320" s="186">
        <v>1041360</v>
      </c>
      <c r="D1320" s="186"/>
      <c r="E1320" s="186"/>
      <c r="F1320" s="186"/>
      <c r="G1320" s="186"/>
      <c r="H1320" s="186"/>
      <c r="I1320" s="186"/>
      <c r="J1320" s="186"/>
      <c r="K1320" s="187">
        <v>0</v>
      </c>
      <c r="L1320" s="188">
        <v>0</v>
      </c>
      <c r="M1320" s="187">
        <v>0</v>
      </c>
      <c r="N1320" s="189">
        <v>520</v>
      </c>
      <c r="O1320" s="190">
        <v>1041360</v>
      </c>
      <c r="P1320" s="191">
        <v>0</v>
      </c>
      <c r="Q1320" s="187">
        <v>0</v>
      </c>
      <c r="R1320" s="191">
        <v>0</v>
      </c>
      <c r="S1320" s="187">
        <v>0</v>
      </c>
      <c r="T1320" s="192">
        <v>0</v>
      </c>
      <c r="U1320" s="249">
        <v>0</v>
      </c>
      <c r="V1320" s="241"/>
      <c r="W1320" s="241"/>
      <c r="X1320" s="241"/>
      <c r="Y1320"/>
      <c r="Z1320"/>
      <c r="AA1320"/>
      <c r="AB1320"/>
      <c r="AC1320"/>
      <c r="AD1320"/>
      <c r="AE1320"/>
      <c r="AF1320"/>
      <c r="AG1320"/>
      <c r="AH1320"/>
      <c r="AI1320"/>
    </row>
    <row r="1321" spans="1:35" s="34" customFormat="1">
      <c r="A1321" s="166">
        <v>254</v>
      </c>
      <c r="B1321" s="185" t="s">
        <v>401</v>
      </c>
      <c r="C1321" s="186">
        <v>1138866</v>
      </c>
      <c r="D1321" s="186"/>
      <c r="E1321" s="186"/>
      <c r="F1321" s="186"/>
      <c r="G1321" s="186"/>
      <c r="H1321" s="186"/>
      <c r="I1321" s="186"/>
      <c r="J1321" s="186"/>
      <c r="K1321" s="187">
        <v>0</v>
      </c>
      <c r="L1321" s="188">
        <v>0</v>
      </c>
      <c r="M1321" s="187">
        <v>0</v>
      </c>
      <c r="N1321" s="189">
        <v>570</v>
      </c>
      <c r="O1321" s="190">
        <v>1138866</v>
      </c>
      <c r="P1321" s="191">
        <v>0</v>
      </c>
      <c r="Q1321" s="187">
        <v>0</v>
      </c>
      <c r="R1321" s="191">
        <v>0</v>
      </c>
      <c r="S1321" s="187">
        <v>0</v>
      </c>
      <c r="T1321" s="192">
        <v>0</v>
      </c>
      <c r="U1321" s="249">
        <v>0</v>
      </c>
      <c r="V1321" s="241"/>
      <c r="W1321" s="241"/>
      <c r="X1321" s="241"/>
      <c r="Y1321"/>
      <c r="Z1321"/>
      <c r="AA1321"/>
      <c r="AB1321"/>
      <c r="AC1321"/>
      <c r="AD1321"/>
      <c r="AE1321"/>
      <c r="AF1321"/>
      <c r="AG1321"/>
      <c r="AH1321"/>
      <c r="AI1321"/>
    </row>
    <row r="1322" spans="1:35" customFormat="1">
      <c r="A1322" s="166">
        <v>255</v>
      </c>
      <c r="B1322" s="185" t="s">
        <v>394</v>
      </c>
      <c r="C1322" s="186">
        <v>848546</v>
      </c>
      <c r="D1322" s="186"/>
      <c r="E1322" s="186"/>
      <c r="F1322" s="186"/>
      <c r="G1322" s="186"/>
      <c r="H1322" s="186"/>
      <c r="I1322" s="186"/>
      <c r="J1322" s="186"/>
      <c r="K1322" s="187">
        <v>0</v>
      </c>
      <c r="L1322" s="188">
        <v>0</v>
      </c>
      <c r="M1322" s="187">
        <v>0</v>
      </c>
      <c r="N1322" s="195">
        <v>421.2</v>
      </c>
      <c r="O1322" s="190">
        <v>848546</v>
      </c>
      <c r="P1322" s="191">
        <v>0</v>
      </c>
      <c r="Q1322" s="187">
        <v>0</v>
      </c>
      <c r="R1322" s="191">
        <v>0</v>
      </c>
      <c r="S1322" s="187">
        <v>0</v>
      </c>
      <c r="T1322" s="192">
        <v>0</v>
      </c>
      <c r="U1322" s="249">
        <v>0</v>
      </c>
      <c r="V1322" s="241"/>
      <c r="W1322" s="241"/>
      <c r="X1322" s="241"/>
    </row>
    <row r="1323" spans="1:35" customFormat="1">
      <c r="A1323" s="166">
        <v>256</v>
      </c>
      <c r="B1323" s="185" t="s">
        <v>395</v>
      </c>
      <c r="C1323" s="186">
        <v>848706</v>
      </c>
      <c r="D1323" s="186"/>
      <c r="E1323" s="186"/>
      <c r="F1323" s="186"/>
      <c r="G1323" s="186"/>
      <c r="H1323" s="186"/>
      <c r="I1323" s="186"/>
      <c r="J1323" s="186"/>
      <c r="K1323" s="187">
        <v>0</v>
      </c>
      <c r="L1323" s="188">
        <v>0</v>
      </c>
      <c r="M1323" s="187">
        <v>0</v>
      </c>
      <c r="N1323" s="195">
        <v>421.2</v>
      </c>
      <c r="O1323" s="190">
        <v>848706</v>
      </c>
      <c r="P1323" s="191">
        <v>0</v>
      </c>
      <c r="Q1323" s="187">
        <v>0</v>
      </c>
      <c r="R1323" s="191">
        <v>0</v>
      </c>
      <c r="S1323" s="187">
        <v>0</v>
      </c>
      <c r="T1323" s="192">
        <v>0</v>
      </c>
      <c r="U1323" s="249">
        <v>0</v>
      </c>
      <c r="V1323" s="241"/>
      <c r="W1323" s="241"/>
      <c r="X1323" s="241"/>
      <c r="Y1323" s="35"/>
      <c r="Z1323" s="35"/>
      <c r="AA1323" s="35"/>
      <c r="AB1323" s="35"/>
      <c r="AC1323" s="35"/>
      <c r="AD1323" s="35"/>
      <c r="AE1323" s="35"/>
      <c r="AF1323" s="35"/>
      <c r="AG1323" s="35"/>
      <c r="AH1323" s="35"/>
    </row>
    <row r="1324" spans="1:35" customFormat="1">
      <c r="A1324" s="166">
        <v>257</v>
      </c>
      <c r="B1324" s="185" t="s">
        <v>396</v>
      </c>
      <c r="C1324" s="186">
        <v>1180083</v>
      </c>
      <c r="D1324" s="186"/>
      <c r="E1324" s="186"/>
      <c r="F1324" s="186"/>
      <c r="G1324" s="186"/>
      <c r="H1324" s="186"/>
      <c r="I1324" s="186"/>
      <c r="J1324" s="186"/>
      <c r="K1324" s="187">
        <v>0</v>
      </c>
      <c r="L1324" s="188">
        <v>0</v>
      </c>
      <c r="M1324" s="187">
        <v>0</v>
      </c>
      <c r="N1324" s="195">
        <v>590</v>
      </c>
      <c r="O1324" s="190">
        <v>1180083</v>
      </c>
      <c r="P1324" s="191">
        <v>0</v>
      </c>
      <c r="Q1324" s="187">
        <v>0</v>
      </c>
      <c r="R1324" s="191">
        <v>0</v>
      </c>
      <c r="S1324" s="187">
        <v>0</v>
      </c>
      <c r="T1324" s="192">
        <v>0</v>
      </c>
      <c r="U1324" s="249">
        <v>0</v>
      </c>
      <c r="V1324" s="241"/>
      <c r="W1324" s="241"/>
      <c r="X1324" s="241"/>
    </row>
    <row r="1325" spans="1:35" customFormat="1" ht="30">
      <c r="A1325" s="166"/>
      <c r="B1325" s="180" t="s">
        <v>210</v>
      </c>
      <c r="C1325" s="186">
        <v>2336158</v>
      </c>
      <c r="D1325" s="186"/>
      <c r="E1325" s="186"/>
      <c r="F1325" s="186"/>
      <c r="G1325" s="186"/>
      <c r="H1325" s="186"/>
      <c r="I1325" s="186"/>
      <c r="J1325" s="186"/>
      <c r="K1325" s="186">
        <v>0</v>
      </c>
      <c r="L1325" s="188">
        <v>0</v>
      </c>
      <c r="M1325" s="186">
        <v>0</v>
      </c>
      <c r="N1325" s="186">
        <v>1196</v>
      </c>
      <c r="O1325" s="186">
        <v>2336158</v>
      </c>
      <c r="P1325" s="196">
        <v>0</v>
      </c>
      <c r="Q1325" s="186">
        <v>0</v>
      </c>
      <c r="R1325" s="196">
        <v>0</v>
      </c>
      <c r="S1325" s="186">
        <v>0</v>
      </c>
      <c r="T1325" s="188">
        <v>0</v>
      </c>
      <c r="U1325" s="250">
        <v>0</v>
      </c>
      <c r="V1325" s="241"/>
      <c r="W1325" s="241"/>
      <c r="X1325" s="241"/>
    </row>
    <row r="1326" spans="1:35" customFormat="1" ht="30">
      <c r="A1326" s="166">
        <v>258</v>
      </c>
      <c r="B1326" s="197" t="s">
        <v>407</v>
      </c>
      <c r="C1326" s="186">
        <v>1168079</v>
      </c>
      <c r="D1326" s="186"/>
      <c r="E1326" s="186"/>
      <c r="F1326" s="186"/>
      <c r="G1326" s="186"/>
      <c r="H1326" s="186"/>
      <c r="I1326" s="186"/>
      <c r="J1326" s="186"/>
      <c r="K1326" s="187">
        <v>0</v>
      </c>
      <c r="L1326" s="188">
        <v>0</v>
      </c>
      <c r="M1326" s="187">
        <v>0</v>
      </c>
      <c r="N1326" s="195">
        <v>598</v>
      </c>
      <c r="O1326" s="190">
        <v>1168079</v>
      </c>
      <c r="P1326" s="196">
        <v>0</v>
      </c>
      <c r="Q1326" s="187">
        <v>0</v>
      </c>
      <c r="R1326" s="196">
        <v>0</v>
      </c>
      <c r="S1326" s="187">
        <v>0</v>
      </c>
      <c r="T1326" s="188">
        <v>0</v>
      </c>
      <c r="U1326" s="249">
        <v>0</v>
      </c>
      <c r="V1326" s="241"/>
      <c r="W1326" s="241"/>
      <c r="X1326" s="241"/>
    </row>
    <row r="1327" spans="1:35" customFormat="1" ht="30">
      <c r="A1327" s="166">
        <v>259</v>
      </c>
      <c r="B1327" s="197" t="s">
        <v>408</v>
      </c>
      <c r="C1327" s="186">
        <v>1168079</v>
      </c>
      <c r="D1327" s="186"/>
      <c r="E1327" s="186"/>
      <c r="F1327" s="186"/>
      <c r="G1327" s="186"/>
      <c r="H1327" s="186"/>
      <c r="I1327" s="186"/>
      <c r="J1327" s="186"/>
      <c r="K1327" s="187">
        <v>0</v>
      </c>
      <c r="L1327" s="188">
        <v>0</v>
      </c>
      <c r="M1327" s="187">
        <v>0</v>
      </c>
      <c r="N1327" s="195">
        <v>598</v>
      </c>
      <c r="O1327" s="190">
        <v>1168079</v>
      </c>
      <c r="P1327" s="196">
        <v>0</v>
      </c>
      <c r="Q1327" s="187">
        <v>0</v>
      </c>
      <c r="R1327" s="196">
        <v>0</v>
      </c>
      <c r="S1327" s="187">
        <v>0</v>
      </c>
      <c r="T1327" s="188">
        <v>0</v>
      </c>
      <c r="U1327" s="249">
        <v>0</v>
      </c>
      <c r="V1327" s="241"/>
      <c r="W1327" s="241"/>
      <c r="X1327" s="241"/>
    </row>
    <row r="1328" spans="1:35" s="14" customFormat="1">
      <c r="A1328" s="166"/>
      <c r="B1328" s="182" t="s">
        <v>44</v>
      </c>
      <c r="C1328" s="177">
        <f>C1329</f>
        <v>906976</v>
      </c>
      <c r="D1328" s="177">
        <f t="shared" ref="D1328:U1328" si="158">D1329</f>
        <v>0</v>
      </c>
      <c r="E1328" s="177">
        <f t="shared" si="158"/>
        <v>0</v>
      </c>
      <c r="F1328" s="177">
        <f t="shared" si="158"/>
        <v>0</v>
      </c>
      <c r="G1328" s="177">
        <f t="shared" si="158"/>
        <v>0</v>
      </c>
      <c r="H1328" s="177">
        <f t="shared" si="158"/>
        <v>0</v>
      </c>
      <c r="I1328" s="177">
        <f t="shared" si="158"/>
        <v>0</v>
      </c>
      <c r="J1328" s="177">
        <f t="shared" si="158"/>
        <v>0</v>
      </c>
      <c r="K1328" s="177">
        <f t="shared" si="158"/>
        <v>0</v>
      </c>
      <c r="L1328" s="177">
        <f t="shared" si="158"/>
        <v>0</v>
      </c>
      <c r="M1328" s="177">
        <f t="shared" si="158"/>
        <v>0</v>
      </c>
      <c r="N1328" s="177">
        <f t="shared" si="158"/>
        <v>280</v>
      </c>
      <c r="O1328" s="177">
        <f t="shared" si="158"/>
        <v>906976</v>
      </c>
      <c r="P1328" s="177">
        <f t="shared" si="158"/>
        <v>0</v>
      </c>
      <c r="Q1328" s="177">
        <f t="shared" si="158"/>
        <v>0</v>
      </c>
      <c r="R1328" s="177">
        <f t="shared" si="158"/>
        <v>0</v>
      </c>
      <c r="S1328" s="177">
        <f t="shared" si="158"/>
        <v>0</v>
      </c>
      <c r="T1328" s="177">
        <f t="shared" si="158"/>
        <v>0</v>
      </c>
      <c r="U1328" s="177">
        <f t="shared" si="158"/>
        <v>0</v>
      </c>
      <c r="V1328" s="241"/>
      <c r="W1328" s="241"/>
      <c r="X1328" s="241"/>
    </row>
    <row r="1329" spans="1:35" ht="30">
      <c r="A1329" s="166"/>
      <c r="B1329" s="180" t="s">
        <v>435</v>
      </c>
      <c r="C1329" s="177">
        <f>C1330</f>
        <v>906976</v>
      </c>
      <c r="D1329" s="177">
        <f t="shared" ref="D1329:U1329" si="159">D1330</f>
        <v>0</v>
      </c>
      <c r="E1329" s="177">
        <f t="shared" si="159"/>
        <v>0</v>
      </c>
      <c r="F1329" s="177">
        <f t="shared" si="159"/>
        <v>0</v>
      </c>
      <c r="G1329" s="177">
        <f t="shared" si="159"/>
        <v>0</v>
      </c>
      <c r="H1329" s="177">
        <f t="shared" si="159"/>
        <v>0</v>
      </c>
      <c r="I1329" s="177">
        <f t="shared" si="159"/>
        <v>0</v>
      </c>
      <c r="J1329" s="177">
        <f t="shared" si="159"/>
        <v>0</v>
      </c>
      <c r="K1329" s="177">
        <f t="shared" si="159"/>
        <v>0</v>
      </c>
      <c r="L1329" s="177">
        <f t="shared" si="159"/>
        <v>0</v>
      </c>
      <c r="M1329" s="177">
        <f t="shared" si="159"/>
        <v>0</v>
      </c>
      <c r="N1329" s="177">
        <f t="shared" si="159"/>
        <v>280</v>
      </c>
      <c r="O1329" s="177">
        <f t="shared" si="159"/>
        <v>906976</v>
      </c>
      <c r="P1329" s="177">
        <f t="shared" si="159"/>
        <v>0</v>
      </c>
      <c r="Q1329" s="177">
        <f t="shared" si="159"/>
        <v>0</v>
      </c>
      <c r="R1329" s="177">
        <f t="shared" si="159"/>
        <v>0</v>
      </c>
      <c r="S1329" s="177">
        <f t="shared" si="159"/>
        <v>0</v>
      </c>
      <c r="T1329" s="177">
        <f t="shared" si="159"/>
        <v>0</v>
      </c>
      <c r="U1329" s="177">
        <f t="shared" si="159"/>
        <v>0</v>
      </c>
      <c r="V1329" s="177">
        <f>V1330</f>
        <v>0</v>
      </c>
      <c r="W1329" s="177"/>
      <c r="X1329" s="177"/>
      <c r="Y1329" s="177"/>
      <c r="Z1329" s="177"/>
      <c r="AA1329" s="177"/>
      <c r="AB1329" s="177"/>
      <c r="AC1329" s="177"/>
      <c r="AD1329" s="177"/>
      <c r="AE1329" s="177"/>
      <c r="AF1329" s="177"/>
      <c r="AG1329" s="177"/>
      <c r="AH1329" s="177"/>
      <c r="AI1329" s="177"/>
    </row>
    <row r="1330" spans="1:35">
      <c r="A1330" s="410">
        <v>260</v>
      </c>
      <c r="B1330" s="420" t="s">
        <v>768</v>
      </c>
      <c r="C1330" s="419">
        <f>'часть 1'!L1362</f>
        <v>906976</v>
      </c>
      <c r="D1330" s="419">
        <v>0</v>
      </c>
      <c r="E1330" s="419">
        <v>0</v>
      </c>
      <c r="F1330" s="419">
        <v>0</v>
      </c>
      <c r="G1330" s="419">
        <v>0</v>
      </c>
      <c r="H1330" s="419">
        <v>0</v>
      </c>
      <c r="I1330" s="419">
        <v>0</v>
      </c>
      <c r="J1330" s="419">
        <v>0</v>
      </c>
      <c r="K1330" s="419">
        <v>0</v>
      </c>
      <c r="L1330" s="453">
        <v>0</v>
      </c>
      <c r="M1330" s="419">
        <v>0</v>
      </c>
      <c r="N1330" s="412">
        <v>280</v>
      </c>
      <c r="O1330" s="419">
        <v>906976</v>
      </c>
      <c r="P1330" s="454">
        <v>0</v>
      </c>
      <c r="Q1330" s="419">
        <v>0</v>
      </c>
      <c r="R1330" s="454">
        <v>0</v>
      </c>
      <c r="S1330" s="419">
        <v>0</v>
      </c>
      <c r="T1330" s="453">
        <v>0</v>
      </c>
      <c r="U1330" s="455">
        <v>0</v>
      </c>
      <c r="V1330" s="241"/>
      <c r="W1330" s="241">
        <f>O1330/N1330</f>
        <v>3239.2</v>
      </c>
      <c r="X1330" s="241"/>
    </row>
    <row r="1331" spans="1:35">
      <c r="A1331" s="410"/>
      <c r="B1331" s="420"/>
      <c r="C1331" s="419"/>
      <c r="D1331" s="419"/>
      <c r="E1331" s="419"/>
      <c r="F1331" s="419"/>
      <c r="G1331" s="419"/>
      <c r="H1331" s="419"/>
      <c r="I1331" s="419"/>
      <c r="J1331" s="419"/>
      <c r="K1331" s="419"/>
      <c r="L1331" s="453"/>
      <c r="M1331" s="419"/>
      <c r="N1331" s="412"/>
      <c r="O1331" s="419"/>
      <c r="P1331" s="454"/>
      <c r="Q1331" s="419"/>
      <c r="R1331" s="454"/>
      <c r="S1331" s="419"/>
      <c r="T1331" s="453"/>
      <c r="U1331" s="455"/>
      <c r="V1331" s="241"/>
      <c r="W1331" s="241"/>
      <c r="X1331" s="241"/>
    </row>
    <row r="1332" spans="1:35" ht="15.6" customHeight="1">
      <c r="A1332" s="166"/>
      <c r="B1332" s="182" t="s">
        <v>45</v>
      </c>
      <c r="C1332" s="177">
        <f t="shared" ref="C1332:V1332" si="160">C1333+C1335+C1337+C1340+C1341+C1343+C1345</f>
        <v>11109566</v>
      </c>
      <c r="D1332" s="177">
        <f t="shared" si="160"/>
        <v>0</v>
      </c>
      <c r="E1332" s="177">
        <f t="shared" si="160"/>
        <v>0</v>
      </c>
      <c r="F1332" s="177">
        <f t="shared" si="160"/>
        <v>0</v>
      </c>
      <c r="G1332" s="177">
        <f t="shared" si="160"/>
        <v>0</v>
      </c>
      <c r="H1332" s="177">
        <f t="shared" si="160"/>
        <v>0</v>
      </c>
      <c r="I1332" s="177">
        <f t="shared" si="160"/>
        <v>0</v>
      </c>
      <c r="J1332" s="177">
        <f t="shared" si="160"/>
        <v>0</v>
      </c>
      <c r="K1332" s="177">
        <f t="shared" si="160"/>
        <v>0</v>
      </c>
      <c r="L1332" s="177">
        <f t="shared" si="160"/>
        <v>0</v>
      </c>
      <c r="M1332" s="177">
        <f t="shared" si="160"/>
        <v>0</v>
      </c>
      <c r="N1332" s="177">
        <f t="shared" si="160"/>
        <v>3487.1000000000004</v>
      </c>
      <c r="O1332" s="177">
        <f t="shared" si="160"/>
        <v>10208116</v>
      </c>
      <c r="P1332" s="177">
        <f t="shared" si="160"/>
        <v>0</v>
      </c>
      <c r="Q1332" s="177">
        <f t="shared" si="160"/>
        <v>0</v>
      </c>
      <c r="R1332" s="177">
        <f t="shared" si="160"/>
        <v>590</v>
      </c>
      <c r="S1332" s="177">
        <f t="shared" si="160"/>
        <v>901450</v>
      </c>
      <c r="T1332" s="177">
        <f t="shared" si="160"/>
        <v>0</v>
      </c>
      <c r="U1332" s="177">
        <f t="shared" si="160"/>
        <v>0</v>
      </c>
      <c r="V1332" s="177" t="e">
        <f t="shared" si="160"/>
        <v>#REF!</v>
      </c>
      <c r="W1332" s="241"/>
      <c r="X1332" s="241"/>
    </row>
    <row r="1333" spans="1:35" ht="30">
      <c r="A1333" s="410"/>
      <c r="B1333" s="420" t="s">
        <v>98</v>
      </c>
      <c r="C1333" s="419">
        <f>C1334</f>
        <v>2377747</v>
      </c>
      <c r="D1333" s="419">
        <f t="shared" ref="D1333:V1333" si="161">D1334</f>
        <v>0</v>
      </c>
      <c r="E1333" s="419">
        <f t="shared" si="161"/>
        <v>0</v>
      </c>
      <c r="F1333" s="419">
        <f t="shared" si="161"/>
        <v>0</v>
      </c>
      <c r="G1333" s="419">
        <f t="shared" si="161"/>
        <v>0</v>
      </c>
      <c r="H1333" s="419">
        <f t="shared" si="161"/>
        <v>0</v>
      </c>
      <c r="I1333" s="419">
        <f t="shared" si="161"/>
        <v>0</v>
      </c>
      <c r="J1333" s="419">
        <f t="shared" si="161"/>
        <v>0</v>
      </c>
      <c r="K1333" s="419">
        <f t="shared" si="161"/>
        <v>0</v>
      </c>
      <c r="L1333" s="419">
        <f t="shared" si="161"/>
        <v>0</v>
      </c>
      <c r="M1333" s="419">
        <f t="shared" si="161"/>
        <v>0</v>
      </c>
      <c r="N1333" s="419">
        <f t="shared" si="161"/>
        <v>949.2</v>
      </c>
      <c r="O1333" s="419">
        <f t="shared" si="161"/>
        <v>2377747</v>
      </c>
      <c r="P1333" s="419">
        <f t="shared" si="161"/>
        <v>0</v>
      </c>
      <c r="Q1333" s="419">
        <f t="shared" si="161"/>
        <v>0</v>
      </c>
      <c r="R1333" s="419">
        <f t="shared" si="161"/>
        <v>0</v>
      </c>
      <c r="S1333" s="419">
        <f t="shared" si="161"/>
        <v>0</v>
      </c>
      <c r="T1333" s="419">
        <f t="shared" si="161"/>
        <v>0</v>
      </c>
      <c r="U1333" s="419">
        <f t="shared" si="161"/>
        <v>0</v>
      </c>
      <c r="V1333" s="419">
        <f t="shared" si="161"/>
        <v>0</v>
      </c>
      <c r="W1333" s="241"/>
      <c r="X1333" s="241"/>
    </row>
    <row r="1334" spans="1:35">
      <c r="A1334" s="410">
        <v>262</v>
      </c>
      <c r="B1334" s="420" t="s">
        <v>798</v>
      </c>
      <c r="C1334" s="419">
        <f>'часть 1'!L1366</f>
        <v>2377747</v>
      </c>
      <c r="D1334" s="419">
        <v>0</v>
      </c>
      <c r="E1334" s="419">
        <v>0</v>
      </c>
      <c r="F1334" s="419">
        <v>0</v>
      </c>
      <c r="G1334" s="419">
        <v>0</v>
      </c>
      <c r="H1334" s="419">
        <v>0</v>
      </c>
      <c r="I1334" s="419">
        <v>0</v>
      </c>
      <c r="J1334" s="419">
        <v>0</v>
      </c>
      <c r="K1334" s="419">
        <v>0</v>
      </c>
      <c r="L1334" s="453">
        <v>0</v>
      </c>
      <c r="M1334" s="419">
        <v>0</v>
      </c>
      <c r="N1334" s="412">
        <v>949.2</v>
      </c>
      <c r="O1334" s="419">
        <v>2377747</v>
      </c>
      <c r="P1334" s="454">
        <v>0</v>
      </c>
      <c r="Q1334" s="419">
        <v>0</v>
      </c>
      <c r="R1334" s="454">
        <v>0</v>
      </c>
      <c r="S1334" s="419">
        <v>0</v>
      </c>
      <c r="T1334" s="453">
        <v>0</v>
      </c>
      <c r="U1334" s="455">
        <v>0</v>
      </c>
      <c r="V1334" s="241"/>
      <c r="W1334" s="241">
        <f>O1334/N1334</f>
        <v>2505.0010535187525</v>
      </c>
      <c r="X1334" s="241"/>
    </row>
    <row r="1335" spans="1:35" ht="30">
      <c r="A1335" s="410"/>
      <c r="B1335" s="420" t="s">
        <v>688</v>
      </c>
      <c r="C1335" s="419">
        <f t="shared" ref="C1335:U1335" si="162">C1336</f>
        <v>901450</v>
      </c>
      <c r="D1335" s="419">
        <f t="shared" si="162"/>
        <v>0</v>
      </c>
      <c r="E1335" s="419">
        <f t="shared" si="162"/>
        <v>0</v>
      </c>
      <c r="F1335" s="419">
        <f t="shared" si="162"/>
        <v>0</v>
      </c>
      <c r="G1335" s="419">
        <f t="shared" si="162"/>
        <v>0</v>
      </c>
      <c r="H1335" s="419">
        <f t="shared" si="162"/>
        <v>0</v>
      </c>
      <c r="I1335" s="419">
        <f t="shared" si="162"/>
        <v>0</v>
      </c>
      <c r="J1335" s="419">
        <f t="shared" si="162"/>
        <v>0</v>
      </c>
      <c r="K1335" s="419">
        <f t="shared" si="162"/>
        <v>0</v>
      </c>
      <c r="L1335" s="419">
        <f t="shared" si="162"/>
        <v>0</v>
      </c>
      <c r="M1335" s="419">
        <f t="shared" si="162"/>
        <v>0</v>
      </c>
      <c r="N1335" s="419">
        <f t="shared" si="162"/>
        <v>0</v>
      </c>
      <c r="O1335" s="419">
        <f t="shared" si="162"/>
        <v>0</v>
      </c>
      <c r="P1335" s="419">
        <f t="shared" si="162"/>
        <v>0</v>
      </c>
      <c r="Q1335" s="419">
        <f t="shared" si="162"/>
        <v>0</v>
      </c>
      <c r="R1335" s="419">
        <f t="shared" si="162"/>
        <v>590</v>
      </c>
      <c r="S1335" s="419">
        <f t="shared" si="162"/>
        <v>901450</v>
      </c>
      <c r="T1335" s="419">
        <f t="shared" si="162"/>
        <v>0</v>
      </c>
      <c r="U1335" s="419">
        <f t="shared" si="162"/>
        <v>0</v>
      </c>
      <c r="V1335" s="241"/>
      <c r="W1335" s="241"/>
      <c r="X1335" s="241"/>
    </row>
    <row r="1336" spans="1:35" ht="30">
      <c r="A1336" s="410"/>
      <c r="B1336" s="420" t="s">
        <v>691</v>
      </c>
      <c r="C1336" s="419">
        <f>'часть 1'!L1368</f>
        <v>901450</v>
      </c>
      <c r="D1336" s="419">
        <v>0</v>
      </c>
      <c r="E1336" s="419">
        <v>0</v>
      </c>
      <c r="F1336" s="419">
        <v>0</v>
      </c>
      <c r="G1336" s="419">
        <v>0</v>
      </c>
      <c r="H1336" s="419">
        <v>0</v>
      </c>
      <c r="I1336" s="419">
        <v>0</v>
      </c>
      <c r="J1336" s="419">
        <v>0</v>
      </c>
      <c r="K1336" s="419">
        <v>0</v>
      </c>
      <c r="L1336" s="453">
        <v>0</v>
      </c>
      <c r="M1336" s="419">
        <v>0</v>
      </c>
      <c r="N1336" s="412">
        <v>0</v>
      </c>
      <c r="O1336" s="419">
        <v>0</v>
      </c>
      <c r="P1336" s="454">
        <v>0</v>
      </c>
      <c r="Q1336" s="419">
        <v>0</v>
      </c>
      <c r="R1336" s="454">
        <v>590</v>
      </c>
      <c r="S1336" s="419">
        <v>901450</v>
      </c>
      <c r="T1336" s="453">
        <v>0</v>
      </c>
      <c r="U1336" s="455">
        <v>0</v>
      </c>
      <c r="V1336" s="241"/>
      <c r="W1336" s="241"/>
      <c r="X1336" s="241">
        <f>S1336/R1336</f>
        <v>1527.8813559322034</v>
      </c>
    </row>
    <row r="1337" spans="1:35" ht="30">
      <c r="A1337" s="410"/>
      <c r="B1337" s="420" t="s">
        <v>99</v>
      </c>
      <c r="C1337" s="419">
        <f>C1338+C1339</f>
        <v>1696092</v>
      </c>
      <c r="D1337" s="419">
        <f t="shared" ref="D1337:V1337" si="163">D1338+D1339</f>
        <v>0</v>
      </c>
      <c r="E1337" s="419">
        <f t="shared" si="163"/>
        <v>0</v>
      </c>
      <c r="F1337" s="419">
        <f t="shared" si="163"/>
        <v>0</v>
      </c>
      <c r="G1337" s="419">
        <f t="shared" si="163"/>
        <v>0</v>
      </c>
      <c r="H1337" s="419">
        <f t="shared" si="163"/>
        <v>0</v>
      </c>
      <c r="I1337" s="419">
        <f t="shared" si="163"/>
        <v>0</v>
      </c>
      <c r="J1337" s="419">
        <f t="shared" si="163"/>
        <v>0</v>
      </c>
      <c r="K1337" s="419">
        <f t="shared" si="163"/>
        <v>0</v>
      </c>
      <c r="L1337" s="419">
        <f t="shared" si="163"/>
        <v>0</v>
      </c>
      <c r="M1337" s="419">
        <f t="shared" si="163"/>
        <v>0</v>
      </c>
      <c r="N1337" s="419">
        <f t="shared" si="163"/>
        <v>522.70000000000005</v>
      </c>
      <c r="O1337" s="419">
        <f t="shared" si="163"/>
        <v>1696092</v>
      </c>
      <c r="P1337" s="419">
        <f t="shared" si="163"/>
        <v>0</v>
      </c>
      <c r="Q1337" s="419">
        <f t="shared" si="163"/>
        <v>0</v>
      </c>
      <c r="R1337" s="419">
        <f t="shared" si="163"/>
        <v>0</v>
      </c>
      <c r="S1337" s="419">
        <f t="shared" si="163"/>
        <v>0</v>
      </c>
      <c r="T1337" s="419">
        <f t="shared" si="163"/>
        <v>0</v>
      </c>
      <c r="U1337" s="419">
        <f t="shared" si="163"/>
        <v>0</v>
      </c>
      <c r="V1337" s="177">
        <f t="shared" si="163"/>
        <v>0</v>
      </c>
      <c r="W1337" s="241"/>
      <c r="X1337" s="241"/>
    </row>
    <row r="1338" spans="1:35" ht="30">
      <c r="A1338" s="410">
        <v>265</v>
      </c>
      <c r="B1338" s="420" t="s">
        <v>803</v>
      </c>
      <c r="C1338" s="419">
        <f>'часть 1'!L1370</f>
        <v>851963</v>
      </c>
      <c r="D1338" s="419">
        <v>0</v>
      </c>
      <c r="E1338" s="419">
        <v>0</v>
      </c>
      <c r="F1338" s="419">
        <v>0</v>
      </c>
      <c r="G1338" s="419">
        <v>0</v>
      </c>
      <c r="H1338" s="419">
        <v>0</v>
      </c>
      <c r="I1338" s="419">
        <v>0</v>
      </c>
      <c r="J1338" s="419">
        <v>0</v>
      </c>
      <c r="K1338" s="419">
        <v>0</v>
      </c>
      <c r="L1338" s="453">
        <v>0</v>
      </c>
      <c r="M1338" s="419">
        <v>0</v>
      </c>
      <c r="N1338" s="491">
        <v>262.60000000000002</v>
      </c>
      <c r="O1338" s="419">
        <v>851963</v>
      </c>
      <c r="P1338" s="454">
        <v>0</v>
      </c>
      <c r="Q1338" s="419">
        <v>0</v>
      </c>
      <c r="R1338" s="454">
        <v>0</v>
      </c>
      <c r="S1338" s="419">
        <v>0</v>
      </c>
      <c r="T1338" s="453">
        <v>0</v>
      </c>
      <c r="U1338" s="455">
        <v>0</v>
      </c>
      <c r="V1338" s="241"/>
      <c r="W1338" s="241">
        <f>O1338/N1338</f>
        <v>3244.3373952779889</v>
      </c>
      <c r="X1338" s="241"/>
    </row>
    <row r="1339" spans="1:35" ht="30">
      <c r="A1339" s="410">
        <v>266</v>
      </c>
      <c r="B1339" s="420" t="s">
        <v>804</v>
      </c>
      <c r="C1339" s="419">
        <f>'часть 1'!L1371</f>
        <v>844129</v>
      </c>
      <c r="D1339" s="419">
        <v>0</v>
      </c>
      <c r="E1339" s="419">
        <v>0</v>
      </c>
      <c r="F1339" s="419">
        <v>0</v>
      </c>
      <c r="G1339" s="419">
        <v>0</v>
      </c>
      <c r="H1339" s="419">
        <v>0</v>
      </c>
      <c r="I1339" s="419">
        <v>0</v>
      </c>
      <c r="J1339" s="419">
        <v>0</v>
      </c>
      <c r="K1339" s="419">
        <v>0</v>
      </c>
      <c r="L1339" s="453">
        <v>0</v>
      </c>
      <c r="M1339" s="419">
        <v>0</v>
      </c>
      <c r="N1339" s="491">
        <v>260.10000000000002</v>
      </c>
      <c r="O1339" s="419">
        <v>844129</v>
      </c>
      <c r="P1339" s="454">
        <v>0</v>
      </c>
      <c r="Q1339" s="419">
        <v>0</v>
      </c>
      <c r="R1339" s="454">
        <v>0</v>
      </c>
      <c r="S1339" s="419">
        <v>0</v>
      </c>
      <c r="T1339" s="453">
        <v>0</v>
      </c>
      <c r="U1339" s="455">
        <v>0</v>
      </c>
      <c r="V1339" s="241"/>
      <c r="W1339" s="241">
        <f>O1339/N1339</f>
        <v>3245.4017685505573</v>
      </c>
      <c r="X1339" s="241"/>
    </row>
    <row r="1340" spans="1:35" ht="30">
      <c r="A1340" s="410"/>
      <c r="B1340" s="420" t="s">
        <v>100</v>
      </c>
      <c r="C1340" s="419">
        <v>0</v>
      </c>
      <c r="D1340" s="419">
        <v>0</v>
      </c>
      <c r="E1340" s="419">
        <v>0</v>
      </c>
      <c r="F1340" s="419">
        <v>0</v>
      </c>
      <c r="G1340" s="419">
        <v>0</v>
      </c>
      <c r="H1340" s="419">
        <v>0</v>
      </c>
      <c r="I1340" s="419">
        <v>0</v>
      </c>
      <c r="J1340" s="419">
        <v>0</v>
      </c>
      <c r="K1340" s="419">
        <v>0</v>
      </c>
      <c r="L1340" s="419">
        <v>0</v>
      </c>
      <c r="M1340" s="419">
        <v>0</v>
      </c>
      <c r="N1340" s="419">
        <v>0</v>
      </c>
      <c r="O1340" s="419">
        <v>0</v>
      </c>
      <c r="P1340" s="419">
        <v>0</v>
      </c>
      <c r="Q1340" s="419">
        <v>0</v>
      </c>
      <c r="R1340" s="419">
        <v>0</v>
      </c>
      <c r="S1340" s="419">
        <v>0</v>
      </c>
      <c r="T1340" s="419">
        <v>0</v>
      </c>
      <c r="U1340" s="419">
        <v>0</v>
      </c>
      <c r="V1340" s="419" t="e">
        <f>#REF!</f>
        <v>#REF!</v>
      </c>
      <c r="W1340" s="241"/>
      <c r="X1340" s="241"/>
    </row>
    <row r="1341" spans="1:35" ht="30">
      <c r="A1341" s="410"/>
      <c r="B1341" s="420" t="s">
        <v>101</v>
      </c>
      <c r="C1341" s="419">
        <f>C1342</f>
        <v>1648047</v>
      </c>
      <c r="D1341" s="419">
        <f t="shared" ref="D1341:U1341" si="164">D1342</f>
        <v>0</v>
      </c>
      <c r="E1341" s="419">
        <f t="shared" si="164"/>
        <v>0</v>
      </c>
      <c r="F1341" s="419">
        <f t="shared" si="164"/>
        <v>0</v>
      </c>
      <c r="G1341" s="419">
        <f t="shared" si="164"/>
        <v>0</v>
      </c>
      <c r="H1341" s="419">
        <f t="shared" si="164"/>
        <v>0</v>
      </c>
      <c r="I1341" s="419">
        <f t="shared" si="164"/>
        <v>0</v>
      </c>
      <c r="J1341" s="419">
        <f t="shared" si="164"/>
        <v>0</v>
      </c>
      <c r="K1341" s="419">
        <f t="shared" si="164"/>
        <v>0</v>
      </c>
      <c r="L1341" s="419">
        <f t="shared" si="164"/>
        <v>0</v>
      </c>
      <c r="M1341" s="419">
        <f t="shared" si="164"/>
        <v>0</v>
      </c>
      <c r="N1341" s="419">
        <f t="shared" si="164"/>
        <v>515.20000000000005</v>
      </c>
      <c r="O1341" s="419">
        <f t="shared" si="164"/>
        <v>1648047</v>
      </c>
      <c r="P1341" s="419">
        <f t="shared" si="164"/>
        <v>0</v>
      </c>
      <c r="Q1341" s="419">
        <f t="shared" si="164"/>
        <v>0</v>
      </c>
      <c r="R1341" s="419">
        <f t="shared" si="164"/>
        <v>0</v>
      </c>
      <c r="S1341" s="419">
        <f t="shared" si="164"/>
        <v>0</v>
      </c>
      <c r="T1341" s="419">
        <f t="shared" si="164"/>
        <v>0</v>
      </c>
      <c r="U1341" s="419">
        <f t="shared" si="164"/>
        <v>0</v>
      </c>
      <c r="V1341" s="241"/>
      <c r="W1341" s="241"/>
      <c r="X1341" s="241"/>
    </row>
    <row r="1342" spans="1:35" ht="30">
      <c r="A1342" s="410">
        <v>268</v>
      </c>
      <c r="B1342" s="420" t="s">
        <v>926</v>
      </c>
      <c r="C1342" s="419">
        <f>'часть 1'!L1374</f>
        <v>1648047</v>
      </c>
      <c r="D1342" s="419">
        <v>0</v>
      </c>
      <c r="E1342" s="419">
        <v>0</v>
      </c>
      <c r="F1342" s="419">
        <v>0</v>
      </c>
      <c r="G1342" s="419">
        <v>0</v>
      </c>
      <c r="H1342" s="419">
        <v>0</v>
      </c>
      <c r="I1342" s="419">
        <v>0</v>
      </c>
      <c r="J1342" s="419">
        <v>0</v>
      </c>
      <c r="K1342" s="419">
        <v>0</v>
      </c>
      <c r="L1342" s="453">
        <v>0</v>
      </c>
      <c r="M1342" s="419">
        <v>0</v>
      </c>
      <c r="N1342" s="412">
        <v>515.20000000000005</v>
      </c>
      <c r="O1342" s="419">
        <v>1648047</v>
      </c>
      <c r="P1342" s="454">
        <v>0</v>
      </c>
      <c r="Q1342" s="419">
        <v>0</v>
      </c>
      <c r="R1342" s="454">
        <v>0</v>
      </c>
      <c r="S1342" s="419">
        <v>0</v>
      </c>
      <c r="T1342" s="453">
        <v>0</v>
      </c>
      <c r="U1342" s="455">
        <v>0</v>
      </c>
      <c r="V1342" s="241"/>
      <c r="W1342" s="241">
        <f>O1342/N1342</f>
        <v>3198.8489906832297</v>
      </c>
      <c r="X1342" s="241"/>
    </row>
    <row r="1343" spans="1:35" ht="30">
      <c r="A1343" s="410"/>
      <c r="B1343" s="420" t="s">
        <v>126</v>
      </c>
      <c r="C1343" s="419">
        <f>C1344</f>
        <v>2577836</v>
      </c>
      <c r="D1343" s="419">
        <f t="shared" ref="D1343:U1343" si="165">D1344</f>
        <v>0</v>
      </c>
      <c r="E1343" s="419">
        <f t="shared" si="165"/>
        <v>0</v>
      </c>
      <c r="F1343" s="419">
        <f t="shared" si="165"/>
        <v>0</v>
      </c>
      <c r="G1343" s="419">
        <f t="shared" si="165"/>
        <v>0</v>
      </c>
      <c r="H1343" s="419">
        <f t="shared" si="165"/>
        <v>0</v>
      </c>
      <c r="I1343" s="419">
        <f t="shared" si="165"/>
        <v>0</v>
      </c>
      <c r="J1343" s="419">
        <f t="shared" si="165"/>
        <v>0</v>
      </c>
      <c r="K1343" s="419">
        <f t="shared" si="165"/>
        <v>0</v>
      </c>
      <c r="L1343" s="419">
        <f t="shared" si="165"/>
        <v>0</v>
      </c>
      <c r="M1343" s="419">
        <f t="shared" si="165"/>
        <v>0</v>
      </c>
      <c r="N1343" s="419">
        <f t="shared" si="165"/>
        <v>811.2</v>
      </c>
      <c r="O1343" s="419">
        <f t="shared" si="165"/>
        <v>2577836</v>
      </c>
      <c r="P1343" s="419">
        <f t="shared" si="165"/>
        <v>0</v>
      </c>
      <c r="Q1343" s="419">
        <f t="shared" si="165"/>
        <v>0</v>
      </c>
      <c r="R1343" s="419">
        <f t="shared" si="165"/>
        <v>0</v>
      </c>
      <c r="S1343" s="419">
        <f t="shared" si="165"/>
        <v>0</v>
      </c>
      <c r="T1343" s="419">
        <f t="shared" si="165"/>
        <v>0</v>
      </c>
      <c r="U1343" s="419">
        <f t="shared" si="165"/>
        <v>0</v>
      </c>
      <c r="V1343" s="241"/>
      <c r="W1343" s="241"/>
      <c r="X1343" s="241"/>
    </row>
    <row r="1344" spans="1:35" ht="30">
      <c r="A1344" s="410">
        <v>270</v>
      </c>
      <c r="B1344" s="420" t="s">
        <v>812</v>
      </c>
      <c r="C1344" s="419">
        <v>2577836</v>
      </c>
      <c r="D1344" s="419">
        <v>0</v>
      </c>
      <c r="E1344" s="419">
        <v>0</v>
      </c>
      <c r="F1344" s="419">
        <v>0</v>
      </c>
      <c r="G1344" s="419">
        <v>0</v>
      </c>
      <c r="H1344" s="419">
        <v>0</v>
      </c>
      <c r="I1344" s="419">
        <v>0</v>
      </c>
      <c r="J1344" s="419">
        <v>0</v>
      </c>
      <c r="K1344" s="419">
        <v>0</v>
      </c>
      <c r="L1344" s="453">
        <v>0</v>
      </c>
      <c r="M1344" s="419">
        <v>0</v>
      </c>
      <c r="N1344" s="419">
        <v>811.2</v>
      </c>
      <c r="O1344" s="419">
        <v>2577836</v>
      </c>
      <c r="P1344" s="454">
        <v>0</v>
      </c>
      <c r="Q1344" s="419">
        <v>0</v>
      </c>
      <c r="R1344" s="454">
        <v>0</v>
      </c>
      <c r="S1344" s="419">
        <v>0</v>
      </c>
      <c r="T1344" s="453">
        <v>0</v>
      </c>
      <c r="U1344" s="455">
        <v>0</v>
      </c>
      <c r="V1344" s="241"/>
      <c r="W1344" s="241">
        <f>O1344/N1344</f>
        <v>3177.8057199211044</v>
      </c>
      <c r="X1344" s="241"/>
    </row>
    <row r="1345" spans="1:26" ht="30.6" customHeight="1">
      <c r="A1345" s="410"/>
      <c r="B1345" s="420" t="s">
        <v>861</v>
      </c>
      <c r="C1345" s="419">
        <f>C1346</f>
        <v>1908394</v>
      </c>
      <c r="D1345" s="419">
        <f t="shared" ref="D1345:V1345" si="166">D1346</f>
        <v>0</v>
      </c>
      <c r="E1345" s="419">
        <f t="shared" si="166"/>
        <v>0</v>
      </c>
      <c r="F1345" s="419">
        <f t="shared" si="166"/>
        <v>0</v>
      </c>
      <c r="G1345" s="419">
        <f t="shared" si="166"/>
        <v>0</v>
      </c>
      <c r="H1345" s="419">
        <f t="shared" si="166"/>
        <v>0</v>
      </c>
      <c r="I1345" s="419">
        <f t="shared" si="166"/>
        <v>0</v>
      </c>
      <c r="J1345" s="419">
        <f t="shared" si="166"/>
        <v>0</v>
      </c>
      <c r="K1345" s="419">
        <f t="shared" si="166"/>
        <v>0</v>
      </c>
      <c r="L1345" s="419">
        <f t="shared" si="166"/>
        <v>0</v>
      </c>
      <c r="M1345" s="419">
        <f t="shared" si="166"/>
        <v>0</v>
      </c>
      <c r="N1345" s="419">
        <f t="shared" si="166"/>
        <v>688.8</v>
      </c>
      <c r="O1345" s="419">
        <f t="shared" si="166"/>
        <v>1908394</v>
      </c>
      <c r="P1345" s="419">
        <f t="shared" si="166"/>
        <v>0</v>
      </c>
      <c r="Q1345" s="419">
        <f t="shared" si="166"/>
        <v>0</v>
      </c>
      <c r="R1345" s="419">
        <f t="shared" si="166"/>
        <v>0</v>
      </c>
      <c r="S1345" s="419">
        <f t="shared" si="166"/>
        <v>0</v>
      </c>
      <c r="T1345" s="419">
        <f t="shared" si="166"/>
        <v>0</v>
      </c>
      <c r="U1345" s="419">
        <f t="shared" si="166"/>
        <v>0</v>
      </c>
      <c r="V1345" s="177">
        <f t="shared" si="166"/>
        <v>0</v>
      </c>
      <c r="W1345" s="241"/>
      <c r="X1345" s="241"/>
    </row>
    <row r="1346" spans="1:26" ht="27" customHeight="1">
      <c r="A1346" s="410"/>
      <c r="B1346" s="420" t="s">
        <v>862</v>
      </c>
      <c r="C1346" s="419">
        <f>'часть 1'!L1378</f>
        <v>1908394</v>
      </c>
      <c r="D1346" s="419">
        <v>0</v>
      </c>
      <c r="E1346" s="419">
        <v>0</v>
      </c>
      <c r="F1346" s="419">
        <v>0</v>
      </c>
      <c r="G1346" s="419">
        <v>0</v>
      </c>
      <c r="H1346" s="419">
        <v>0</v>
      </c>
      <c r="I1346" s="419">
        <v>0</v>
      </c>
      <c r="J1346" s="419">
        <v>0</v>
      </c>
      <c r="K1346" s="419">
        <v>0</v>
      </c>
      <c r="L1346" s="453">
        <v>0</v>
      </c>
      <c r="M1346" s="419">
        <v>0</v>
      </c>
      <c r="N1346" s="419">
        <v>688.8</v>
      </c>
      <c r="O1346" s="419">
        <v>1908394</v>
      </c>
      <c r="P1346" s="454">
        <v>0</v>
      </c>
      <c r="Q1346" s="419">
        <v>0</v>
      </c>
      <c r="R1346" s="454">
        <v>0</v>
      </c>
      <c r="S1346" s="419">
        <v>0</v>
      </c>
      <c r="T1346" s="453">
        <v>0</v>
      </c>
      <c r="U1346" s="455">
        <v>0</v>
      </c>
      <c r="V1346" s="241"/>
      <c r="W1346" s="241">
        <f>O1346/N1346</f>
        <v>2770.6068524970965</v>
      </c>
      <c r="X1346" s="241"/>
    </row>
    <row r="1347" spans="1:26">
      <c r="A1347" s="166"/>
      <c r="B1347" s="182" t="s">
        <v>46</v>
      </c>
      <c r="C1347" s="177">
        <f>C1348</f>
        <v>684446</v>
      </c>
      <c r="D1347" s="177">
        <f t="shared" ref="D1347:U1347" si="167">D1348</f>
        <v>0</v>
      </c>
      <c r="E1347" s="177">
        <f t="shared" si="167"/>
        <v>0</v>
      </c>
      <c r="F1347" s="177">
        <f t="shared" si="167"/>
        <v>0</v>
      </c>
      <c r="G1347" s="177">
        <f t="shared" si="167"/>
        <v>0</v>
      </c>
      <c r="H1347" s="177">
        <f t="shared" si="167"/>
        <v>0</v>
      </c>
      <c r="I1347" s="177">
        <f t="shared" si="167"/>
        <v>0</v>
      </c>
      <c r="J1347" s="177">
        <f t="shared" si="167"/>
        <v>0</v>
      </c>
      <c r="K1347" s="177">
        <f t="shared" si="167"/>
        <v>0</v>
      </c>
      <c r="L1347" s="177">
        <f t="shared" si="167"/>
        <v>0</v>
      </c>
      <c r="M1347" s="177">
        <f t="shared" si="167"/>
        <v>0</v>
      </c>
      <c r="N1347" s="177">
        <f t="shared" si="167"/>
        <v>0</v>
      </c>
      <c r="O1347" s="177">
        <f t="shared" si="167"/>
        <v>0</v>
      </c>
      <c r="P1347" s="177">
        <f t="shared" si="167"/>
        <v>0</v>
      </c>
      <c r="Q1347" s="177">
        <f t="shared" si="167"/>
        <v>0</v>
      </c>
      <c r="R1347" s="177">
        <f t="shared" si="167"/>
        <v>445.3</v>
      </c>
      <c r="S1347" s="177">
        <f t="shared" si="167"/>
        <v>684446</v>
      </c>
      <c r="T1347" s="177">
        <f t="shared" si="167"/>
        <v>0</v>
      </c>
      <c r="U1347" s="177">
        <f t="shared" si="167"/>
        <v>0</v>
      </c>
      <c r="V1347" s="241"/>
      <c r="W1347" s="241"/>
      <c r="X1347" s="241"/>
    </row>
    <row r="1348" spans="1:26" ht="30">
      <c r="A1348" s="162"/>
      <c r="B1348" s="180" t="s">
        <v>102</v>
      </c>
      <c r="C1348" s="177">
        <f>C1349</f>
        <v>684446</v>
      </c>
      <c r="D1348" s="177">
        <f t="shared" ref="D1348:U1348" si="168">D1349</f>
        <v>0</v>
      </c>
      <c r="E1348" s="177">
        <f t="shared" si="168"/>
        <v>0</v>
      </c>
      <c r="F1348" s="177">
        <f t="shared" si="168"/>
        <v>0</v>
      </c>
      <c r="G1348" s="177">
        <f t="shared" si="168"/>
        <v>0</v>
      </c>
      <c r="H1348" s="177">
        <f t="shared" si="168"/>
        <v>0</v>
      </c>
      <c r="I1348" s="177">
        <f t="shared" si="168"/>
        <v>0</v>
      </c>
      <c r="J1348" s="177">
        <f t="shared" si="168"/>
        <v>0</v>
      </c>
      <c r="K1348" s="177">
        <f t="shared" si="168"/>
        <v>0</v>
      </c>
      <c r="L1348" s="177">
        <f t="shared" si="168"/>
        <v>0</v>
      </c>
      <c r="M1348" s="177">
        <f t="shared" si="168"/>
        <v>0</v>
      </c>
      <c r="N1348" s="177">
        <f t="shared" si="168"/>
        <v>0</v>
      </c>
      <c r="O1348" s="177">
        <f t="shared" si="168"/>
        <v>0</v>
      </c>
      <c r="P1348" s="177">
        <f t="shared" si="168"/>
        <v>0</v>
      </c>
      <c r="Q1348" s="177">
        <f t="shared" si="168"/>
        <v>0</v>
      </c>
      <c r="R1348" s="177">
        <f t="shared" si="168"/>
        <v>445.3</v>
      </c>
      <c r="S1348" s="177">
        <f t="shared" si="168"/>
        <v>684446</v>
      </c>
      <c r="T1348" s="177">
        <f t="shared" si="168"/>
        <v>0</v>
      </c>
      <c r="U1348" s="177">
        <f t="shared" si="168"/>
        <v>0</v>
      </c>
      <c r="V1348" s="241"/>
      <c r="W1348" s="241"/>
      <c r="X1348" s="241"/>
    </row>
    <row r="1349" spans="1:26">
      <c r="A1349" s="410">
        <v>271</v>
      </c>
      <c r="B1349" s="420" t="s">
        <v>592</v>
      </c>
      <c r="C1349" s="419">
        <f>'часть 1'!L1381</f>
        <v>684446</v>
      </c>
      <c r="D1349" s="419">
        <v>0</v>
      </c>
      <c r="E1349" s="419">
        <v>0</v>
      </c>
      <c r="F1349" s="419">
        <v>0</v>
      </c>
      <c r="G1349" s="419">
        <v>0</v>
      </c>
      <c r="H1349" s="419">
        <v>0</v>
      </c>
      <c r="I1349" s="419">
        <v>0</v>
      </c>
      <c r="J1349" s="419">
        <v>0</v>
      </c>
      <c r="K1349" s="419">
        <v>0</v>
      </c>
      <c r="L1349" s="453">
        <v>0</v>
      </c>
      <c r="M1349" s="419">
        <v>0</v>
      </c>
      <c r="N1349" s="450">
        <v>0</v>
      </c>
      <c r="O1349" s="419">
        <v>0</v>
      </c>
      <c r="P1349" s="454">
        <v>0</v>
      </c>
      <c r="Q1349" s="419">
        <v>0</v>
      </c>
      <c r="R1349" s="419">
        <v>445.3</v>
      </c>
      <c r="S1349" s="419">
        <v>684446</v>
      </c>
      <c r="T1349" s="453">
        <v>0</v>
      </c>
      <c r="U1349" s="455">
        <v>0</v>
      </c>
      <c r="V1349" s="241"/>
      <c r="W1349" s="241"/>
      <c r="X1349" s="241">
        <f>S1349/R1349</f>
        <v>1537.0446889737254</v>
      </c>
    </row>
    <row r="1350" spans="1:26">
      <c r="A1350" s="410"/>
      <c r="B1350" s="420"/>
      <c r="C1350" s="419"/>
      <c r="D1350" s="419"/>
      <c r="E1350" s="419"/>
      <c r="F1350" s="419"/>
      <c r="G1350" s="419"/>
      <c r="H1350" s="419"/>
      <c r="I1350" s="419"/>
      <c r="J1350" s="419"/>
      <c r="K1350" s="419"/>
      <c r="L1350" s="453"/>
      <c r="M1350" s="419"/>
      <c r="N1350" s="419"/>
      <c r="O1350" s="419"/>
      <c r="P1350" s="454"/>
      <c r="Q1350" s="419"/>
      <c r="R1350" s="454"/>
      <c r="S1350" s="419"/>
      <c r="T1350" s="453"/>
      <c r="U1350" s="455"/>
      <c r="V1350" s="241"/>
      <c r="W1350" s="241"/>
      <c r="X1350" s="241"/>
    </row>
    <row r="1351" spans="1:26" s="14" customFormat="1" ht="24" customHeight="1">
      <c r="A1351" s="166"/>
      <c r="B1351" s="182" t="s">
        <v>47</v>
      </c>
      <c r="C1351" s="177">
        <f>C1352</f>
        <v>2602688</v>
      </c>
      <c r="D1351" s="177">
        <f t="shared" ref="D1351:V1351" si="169">D1352</f>
        <v>0</v>
      </c>
      <c r="E1351" s="177">
        <f t="shared" si="169"/>
        <v>0</v>
      </c>
      <c r="F1351" s="177">
        <f t="shared" si="169"/>
        <v>0</v>
      </c>
      <c r="G1351" s="177">
        <f t="shared" si="169"/>
        <v>0</v>
      </c>
      <c r="H1351" s="177">
        <f t="shared" si="169"/>
        <v>0</v>
      </c>
      <c r="I1351" s="177">
        <f t="shared" si="169"/>
        <v>0</v>
      </c>
      <c r="J1351" s="177">
        <f t="shared" si="169"/>
        <v>0</v>
      </c>
      <c r="K1351" s="177">
        <f t="shared" si="169"/>
        <v>0</v>
      </c>
      <c r="L1351" s="177">
        <f t="shared" si="169"/>
        <v>0</v>
      </c>
      <c r="M1351" s="177">
        <f t="shared" si="169"/>
        <v>0</v>
      </c>
      <c r="N1351" s="177">
        <f t="shared" si="169"/>
        <v>819.2</v>
      </c>
      <c r="O1351" s="177">
        <f t="shared" si="169"/>
        <v>2602688</v>
      </c>
      <c r="P1351" s="177">
        <f t="shared" si="169"/>
        <v>0</v>
      </c>
      <c r="Q1351" s="177">
        <f t="shared" si="169"/>
        <v>0</v>
      </c>
      <c r="R1351" s="177">
        <f t="shared" si="169"/>
        <v>0</v>
      </c>
      <c r="S1351" s="177">
        <f t="shared" si="169"/>
        <v>0</v>
      </c>
      <c r="T1351" s="177">
        <f t="shared" si="169"/>
        <v>0</v>
      </c>
      <c r="U1351" s="177">
        <f t="shared" si="169"/>
        <v>0</v>
      </c>
      <c r="V1351" s="177">
        <f t="shared" si="169"/>
        <v>0</v>
      </c>
      <c r="W1351" s="241"/>
      <c r="X1351" s="241"/>
    </row>
    <row r="1352" spans="1:26" ht="30">
      <c r="A1352" s="410"/>
      <c r="B1352" s="420" t="s">
        <v>103</v>
      </c>
      <c r="C1352" s="419">
        <f>C1353</f>
        <v>2602688</v>
      </c>
      <c r="D1352" s="419">
        <f t="shared" ref="D1352:V1352" si="170">D1353</f>
        <v>0</v>
      </c>
      <c r="E1352" s="419">
        <f t="shared" si="170"/>
        <v>0</v>
      </c>
      <c r="F1352" s="419">
        <f t="shared" si="170"/>
        <v>0</v>
      </c>
      <c r="G1352" s="419">
        <f t="shared" si="170"/>
        <v>0</v>
      </c>
      <c r="H1352" s="419">
        <f t="shared" si="170"/>
        <v>0</v>
      </c>
      <c r="I1352" s="419">
        <f t="shared" si="170"/>
        <v>0</v>
      </c>
      <c r="J1352" s="419">
        <f t="shared" si="170"/>
        <v>0</v>
      </c>
      <c r="K1352" s="419">
        <f t="shared" si="170"/>
        <v>0</v>
      </c>
      <c r="L1352" s="419">
        <f t="shared" si="170"/>
        <v>0</v>
      </c>
      <c r="M1352" s="419">
        <f t="shared" si="170"/>
        <v>0</v>
      </c>
      <c r="N1352" s="419">
        <f t="shared" si="170"/>
        <v>819.2</v>
      </c>
      <c r="O1352" s="419">
        <f t="shared" si="170"/>
        <v>2602688</v>
      </c>
      <c r="P1352" s="419">
        <f t="shared" si="170"/>
        <v>0</v>
      </c>
      <c r="Q1352" s="419">
        <f t="shared" si="170"/>
        <v>0</v>
      </c>
      <c r="R1352" s="419">
        <f t="shared" si="170"/>
        <v>0</v>
      </c>
      <c r="S1352" s="419">
        <f t="shared" si="170"/>
        <v>0</v>
      </c>
      <c r="T1352" s="419">
        <f t="shared" si="170"/>
        <v>0</v>
      </c>
      <c r="U1352" s="419">
        <f t="shared" si="170"/>
        <v>0</v>
      </c>
      <c r="V1352" s="177">
        <f t="shared" si="170"/>
        <v>0</v>
      </c>
      <c r="W1352" s="241"/>
      <c r="X1352" s="241"/>
    </row>
    <row r="1353" spans="1:26" ht="21" customHeight="1">
      <c r="A1353" s="410">
        <v>273</v>
      </c>
      <c r="B1353" s="420" t="s">
        <v>880</v>
      </c>
      <c r="C1353" s="419">
        <f>'часть 1'!L1385</f>
        <v>2602688</v>
      </c>
      <c r="D1353" s="419">
        <v>0</v>
      </c>
      <c r="E1353" s="419">
        <v>0</v>
      </c>
      <c r="F1353" s="419">
        <v>0</v>
      </c>
      <c r="G1353" s="419">
        <v>0</v>
      </c>
      <c r="H1353" s="419">
        <v>0</v>
      </c>
      <c r="I1353" s="419">
        <v>0</v>
      </c>
      <c r="J1353" s="419">
        <v>0</v>
      </c>
      <c r="K1353" s="419">
        <v>0</v>
      </c>
      <c r="L1353" s="453">
        <v>0</v>
      </c>
      <c r="M1353" s="419">
        <v>0</v>
      </c>
      <c r="N1353" s="419">
        <v>819.2</v>
      </c>
      <c r="O1353" s="419">
        <v>2602688</v>
      </c>
      <c r="P1353" s="454">
        <v>0</v>
      </c>
      <c r="Q1353" s="419">
        <v>0</v>
      </c>
      <c r="R1353" s="454">
        <v>0</v>
      </c>
      <c r="S1353" s="419">
        <v>0</v>
      </c>
      <c r="T1353" s="453">
        <v>0</v>
      </c>
      <c r="U1353" s="455">
        <v>0</v>
      </c>
      <c r="V1353" s="241"/>
      <c r="W1353" s="241">
        <f>O1353/N1353</f>
        <v>3177.109375</v>
      </c>
      <c r="X1353" s="241"/>
    </row>
    <row r="1354" spans="1:26" s="72" customFormat="1">
      <c r="A1354" s="166"/>
      <c r="B1354" s="182" t="s">
        <v>48</v>
      </c>
      <c r="C1354" s="177">
        <v>3947863</v>
      </c>
      <c r="D1354" s="177"/>
      <c r="E1354" s="177"/>
      <c r="F1354" s="177"/>
      <c r="G1354" s="177"/>
      <c r="H1354" s="177"/>
      <c r="I1354" s="177"/>
      <c r="J1354" s="177"/>
      <c r="K1354" s="177">
        <v>163315</v>
      </c>
      <c r="L1354" s="178">
        <v>0</v>
      </c>
      <c r="M1354" s="177">
        <v>0</v>
      </c>
      <c r="N1354" s="177">
        <v>1314.93</v>
      </c>
      <c r="O1354" s="177">
        <v>2673179</v>
      </c>
      <c r="P1354" s="179">
        <v>0</v>
      </c>
      <c r="Q1354" s="177">
        <v>0</v>
      </c>
      <c r="R1354" s="177">
        <v>759.4</v>
      </c>
      <c r="S1354" s="177">
        <v>1111369</v>
      </c>
      <c r="T1354" s="178">
        <v>0</v>
      </c>
      <c r="U1354" s="248">
        <v>0</v>
      </c>
      <c r="V1354" s="241"/>
      <c r="W1354" s="241"/>
      <c r="X1354" s="241"/>
    </row>
    <row r="1355" spans="1:26" ht="30">
      <c r="A1355" s="410"/>
      <c r="B1355" s="420" t="s">
        <v>107</v>
      </c>
      <c r="C1355" s="419">
        <f>C1356</f>
        <v>2102577</v>
      </c>
      <c r="D1355" s="419">
        <f t="shared" ref="D1355:U1355" si="171">D1356</f>
        <v>0</v>
      </c>
      <c r="E1355" s="419">
        <f t="shared" si="171"/>
        <v>0</v>
      </c>
      <c r="F1355" s="419">
        <f t="shared" si="171"/>
        <v>0</v>
      </c>
      <c r="G1355" s="419">
        <f t="shared" si="171"/>
        <v>0</v>
      </c>
      <c r="H1355" s="419">
        <f t="shared" si="171"/>
        <v>0</v>
      </c>
      <c r="I1355" s="419">
        <f t="shared" si="171"/>
        <v>0</v>
      </c>
      <c r="J1355" s="419">
        <f t="shared" si="171"/>
        <v>0</v>
      </c>
      <c r="K1355" s="419">
        <f t="shared" si="171"/>
        <v>0</v>
      </c>
      <c r="L1355" s="419">
        <f t="shared" si="171"/>
        <v>0</v>
      </c>
      <c r="M1355" s="419">
        <f t="shared" si="171"/>
        <v>0</v>
      </c>
      <c r="N1355" s="419">
        <f t="shared" si="171"/>
        <v>1382.27</v>
      </c>
      <c r="O1355" s="419">
        <f t="shared" si="171"/>
        <v>2102577</v>
      </c>
      <c r="P1355" s="419">
        <f t="shared" si="171"/>
        <v>0</v>
      </c>
      <c r="Q1355" s="419">
        <f t="shared" si="171"/>
        <v>0</v>
      </c>
      <c r="R1355" s="419">
        <f t="shared" si="171"/>
        <v>0</v>
      </c>
      <c r="S1355" s="419">
        <f t="shared" si="171"/>
        <v>0</v>
      </c>
      <c r="T1355" s="419">
        <f t="shared" si="171"/>
        <v>0</v>
      </c>
      <c r="U1355" s="419">
        <f t="shared" si="171"/>
        <v>0</v>
      </c>
      <c r="V1355" s="241"/>
      <c r="W1355" s="241"/>
      <c r="X1355" s="241"/>
    </row>
    <row r="1356" spans="1:26">
      <c r="A1356" s="410">
        <v>277</v>
      </c>
      <c r="B1356" s="420" t="s">
        <v>774</v>
      </c>
      <c r="C1356" s="419">
        <f>'часть 1'!L1388</f>
        <v>2102577</v>
      </c>
      <c r="D1356" s="419">
        <v>0</v>
      </c>
      <c r="E1356" s="419">
        <v>0</v>
      </c>
      <c r="F1356" s="419">
        <v>0</v>
      </c>
      <c r="G1356" s="419">
        <v>0</v>
      </c>
      <c r="H1356" s="419">
        <v>0</v>
      </c>
      <c r="I1356" s="419">
        <v>0</v>
      </c>
      <c r="J1356" s="419">
        <v>0</v>
      </c>
      <c r="K1356" s="456">
        <v>0</v>
      </c>
      <c r="L1356" s="416">
        <v>0</v>
      </c>
      <c r="M1356" s="456">
        <v>0</v>
      </c>
      <c r="N1356" s="456">
        <v>1382.27</v>
      </c>
      <c r="O1356" s="459">
        <v>2102577</v>
      </c>
      <c r="P1356" s="500">
        <v>0</v>
      </c>
      <c r="Q1356" s="456">
        <v>0</v>
      </c>
      <c r="R1356" s="456">
        <v>0</v>
      </c>
      <c r="S1356" s="456">
        <v>0</v>
      </c>
      <c r="T1356" s="416">
        <v>0</v>
      </c>
      <c r="U1356" s="417">
        <v>0</v>
      </c>
      <c r="V1356" s="241"/>
      <c r="W1356" s="241">
        <f>O1356/N1356</f>
        <v>1521.1044152010822</v>
      </c>
      <c r="X1356" s="241"/>
      <c r="Y1356" s="20"/>
      <c r="Z1356" s="20"/>
    </row>
    <row r="1357" spans="1:26" ht="30">
      <c r="A1357" s="166"/>
      <c r="B1357" s="180" t="s">
        <v>104</v>
      </c>
      <c r="C1357" s="177">
        <v>553839</v>
      </c>
      <c r="D1357" s="177"/>
      <c r="E1357" s="177"/>
      <c r="F1357" s="177"/>
      <c r="G1357" s="177"/>
      <c r="H1357" s="177"/>
      <c r="I1357" s="177"/>
      <c r="J1357" s="177"/>
      <c r="K1357" s="177">
        <v>0</v>
      </c>
      <c r="L1357" s="178">
        <v>0</v>
      </c>
      <c r="M1357" s="177">
        <v>0</v>
      </c>
      <c r="N1357" s="177">
        <v>270.93</v>
      </c>
      <c r="O1357" s="177">
        <v>553839</v>
      </c>
      <c r="P1357" s="179">
        <v>0</v>
      </c>
      <c r="Q1357" s="177">
        <v>0</v>
      </c>
      <c r="R1357" s="179">
        <v>0</v>
      </c>
      <c r="S1357" s="177">
        <v>0</v>
      </c>
      <c r="T1357" s="178">
        <v>0</v>
      </c>
      <c r="U1357" s="248">
        <v>0</v>
      </c>
      <c r="V1357" s="241"/>
      <c r="W1357" s="241"/>
      <c r="X1357" s="241"/>
    </row>
    <row r="1358" spans="1:26" ht="30">
      <c r="A1358" s="166">
        <v>280</v>
      </c>
      <c r="B1358" s="180" t="s">
        <v>452</v>
      </c>
      <c r="C1358" s="177">
        <v>553839</v>
      </c>
      <c r="D1358" s="177"/>
      <c r="E1358" s="177"/>
      <c r="F1358" s="177"/>
      <c r="G1358" s="177"/>
      <c r="H1358" s="177"/>
      <c r="I1358" s="177"/>
      <c r="J1358" s="177"/>
      <c r="K1358" s="177">
        <v>0</v>
      </c>
      <c r="L1358" s="178">
        <v>0</v>
      </c>
      <c r="M1358" s="177">
        <v>0</v>
      </c>
      <c r="N1358" s="167">
        <v>270.93</v>
      </c>
      <c r="O1358" s="177">
        <v>553839</v>
      </c>
      <c r="P1358" s="179">
        <v>0</v>
      </c>
      <c r="Q1358" s="177">
        <v>0</v>
      </c>
      <c r="R1358" s="179">
        <v>0</v>
      </c>
      <c r="S1358" s="177">
        <v>0</v>
      </c>
      <c r="T1358" s="178">
        <v>0</v>
      </c>
      <c r="U1358" s="248">
        <v>0</v>
      </c>
      <c r="V1358" s="241"/>
      <c r="W1358" s="241"/>
      <c r="X1358" s="241"/>
    </row>
    <row r="1359" spans="1:26">
      <c r="A1359" s="166"/>
      <c r="B1359" s="182" t="s">
        <v>49</v>
      </c>
      <c r="C1359" s="177">
        <v>8949722</v>
      </c>
      <c r="D1359" s="177"/>
      <c r="E1359" s="177"/>
      <c r="F1359" s="177"/>
      <c r="G1359" s="177"/>
      <c r="H1359" s="177"/>
      <c r="I1359" s="177"/>
      <c r="J1359" s="177"/>
      <c r="K1359" s="177">
        <v>0</v>
      </c>
      <c r="L1359" s="178">
        <v>0</v>
      </c>
      <c r="M1359" s="177">
        <v>0</v>
      </c>
      <c r="N1359" s="177">
        <v>3313.5</v>
      </c>
      <c r="O1359" s="177">
        <v>6652861</v>
      </c>
      <c r="P1359" s="179">
        <v>0</v>
      </c>
      <c r="Q1359" s="177">
        <v>0</v>
      </c>
      <c r="R1359" s="177">
        <v>1589</v>
      </c>
      <c r="S1359" s="177">
        <v>2296861</v>
      </c>
      <c r="T1359" s="178">
        <v>0</v>
      </c>
      <c r="U1359" s="248">
        <v>0</v>
      </c>
      <c r="V1359" s="241"/>
      <c r="W1359" s="241"/>
      <c r="X1359" s="241"/>
    </row>
    <row r="1360" spans="1:26" ht="30">
      <c r="A1360" s="166"/>
      <c r="B1360" s="180" t="s">
        <v>105</v>
      </c>
      <c r="C1360" s="177">
        <f>C1361</f>
        <v>1551685</v>
      </c>
      <c r="D1360" s="177">
        <f t="shared" ref="D1360:U1360" si="172">D1361</f>
        <v>0</v>
      </c>
      <c r="E1360" s="177">
        <f t="shared" si="172"/>
        <v>0</v>
      </c>
      <c r="F1360" s="177">
        <f t="shared" si="172"/>
        <v>0</v>
      </c>
      <c r="G1360" s="177">
        <f t="shared" si="172"/>
        <v>0</v>
      </c>
      <c r="H1360" s="177">
        <f t="shared" si="172"/>
        <v>0</v>
      </c>
      <c r="I1360" s="177">
        <f t="shared" si="172"/>
        <v>0</v>
      </c>
      <c r="J1360" s="177">
        <f t="shared" si="172"/>
        <v>0</v>
      </c>
      <c r="K1360" s="177">
        <f t="shared" si="172"/>
        <v>0</v>
      </c>
      <c r="L1360" s="177">
        <f t="shared" si="172"/>
        <v>0</v>
      </c>
      <c r="M1360" s="177">
        <f t="shared" si="172"/>
        <v>0</v>
      </c>
      <c r="N1360" s="177">
        <f t="shared" si="172"/>
        <v>485.1</v>
      </c>
      <c r="O1360" s="177">
        <f t="shared" si="172"/>
        <v>1551685</v>
      </c>
      <c r="P1360" s="177">
        <f t="shared" si="172"/>
        <v>0</v>
      </c>
      <c r="Q1360" s="177">
        <f t="shared" si="172"/>
        <v>0</v>
      </c>
      <c r="R1360" s="177">
        <f t="shared" si="172"/>
        <v>0</v>
      </c>
      <c r="S1360" s="177">
        <f t="shared" si="172"/>
        <v>0</v>
      </c>
      <c r="T1360" s="177">
        <f t="shared" si="172"/>
        <v>0</v>
      </c>
      <c r="U1360" s="177">
        <f t="shared" si="172"/>
        <v>0</v>
      </c>
      <c r="V1360" s="241"/>
      <c r="W1360" s="241"/>
      <c r="X1360" s="241"/>
    </row>
    <row r="1361" spans="1:24" s="14" customFormat="1">
      <c r="A1361" s="410">
        <v>281</v>
      </c>
      <c r="B1361" s="462" t="s">
        <v>483</v>
      </c>
      <c r="C1361" s="419">
        <v>1551685</v>
      </c>
      <c r="D1361" s="419">
        <v>0</v>
      </c>
      <c r="E1361" s="419">
        <v>0</v>
      </c>
      <c r="F1361" s="419">
        <v>0</v>
      </c>
      <c r="G1361" s="419">
        <v>0</v>
      </c>
      <c r="H1361" s="419">
        <v>0</v>
      </c>
      <c r="I1361" s="419">
        <v>0</v>
      </c>
      <c r="J1361" s="419">
        <v>0</v>
      </c>
      <c r="K1361" s="419">
        <v>0</v>
      </c>
      <c r="L1361" s="453">
        <v>0</v>
      </c>
      <c r="M1361" s="419">
        <v>0</v>
      </c>
      <c r="N1361" s="419">
        <v>485.1</v>
      </c>
      <c r="O1361" s="419">
        <v>1551685</v>
      </c>
      <c r="P1361" s="454">
        <v>0</v>
      </c>
      <c r="Q1361" s="419">
        <v>0</v>
      </c>
      <c r="R1361" s="454">
        <v>0</v>
      </c>
      <c r="S1361" s="419">
        <v>0</v>
      </c>
      <c r="T1361" s="453">
        <v>0</v>
      </c>
      <c r="U1361" s="455">
        <v>0</v>
      </c>
      <c r="V1361" s="241"/>
      <c r="W1361" s="241">
        <f>O1361/N1361</f>
        <v>3198.6909915481342</v>
      </c>
      <c r="X1361" s="241"/>
    </row>
    <row r="1362" spans="1:24" s="14" customFormat="1">
      <c r="A1362" s="410"/>
      <c r="B1362" s="462"/>
      <c r="C1362" s="419"/>
      <c r="D1362" s="419"/>
      <c r="E1362" s="419"/>
      <c r="F1362" s="419"/>
      <c r="G1362" s="419"/>
      <c r="H1362" s="419"/>
      <c r="I1362" s="419"/>
      <c r="J1362" s="419"/>
      <c r="K1362" s="419"/>
      <c r="L1362" s="453"/>
      <c r="M1362" s="419"/>
      <c r="N1362" s="419"/>
      <c r="O1362" s="419"/>
      <c r="P1362" s="454"/>
      <c r="Q1362" s="419"/>
      <c r="R1362" s="454"/>
      <c r="S1362" s="419"/>
      <c r="T1362" s="453"/>
      <c r="U1362" s="455"/>
      <c r="V1362" s="241"/>
      <c r="W1362" s="241"/>
      <c r="X1362" s="241"/>
    </row>
    <row r="1363" spans="1:24" s="14" customFormat="1" ht="30">
      <c r="A1363" s="166"/>
      <c r="B1363" s="180" t="s">
        <v>188</v>
      </c>
      <c r="C1363" s="177">
        <v>1905804</v>
      </c>
      <c r="D1363" s="177"/>
      <c r="E1363" s="177"/>
      <c r="F1363" s="177"/>
      <c r="G1363" s="177"/>
      <c r="H1363" s="177"/>
      <c r="I1363" s="177"/>
      <c r="J1363" s="177"/>
      <c r="K1363" s="177">
        <v>0</v>
      </c>
      <c r="L1363" s="178">
        <v>0</v>
      </c>
      <c r="M1363" s="177">
        <v>0</v>
      </c>
      <c r="N1363" s="177">
        <v>968.7</v>
      </c>
      <c r="O1363" s="177">
        <v>1905804</v>
      </c>
      <c r="P1363" s="179">
        <v>0</v>
      </c>
      <c r="Q1363" s="177">
        <v>0</v>
      </c>
      <c r="R1363" s="179">
        <v>0</v>
      </c>
      <c r="S1363" s="177">
        <v>0</v>
      </c>
      <c r="T1363" s="178">
        <v>0</v>
      </c>
      <c r="U1363" s="248">
        <v>0</v>
      </c>
      <c r="V1363" s="241"/>
      <c r="W1363" s="241"/>
      <c r="X1363" s="241"/>
    </row>
    <row r="1364" spans="1:24" s="14" customFormat="1">
      <c r="A1364" s="166">
        <v>283</v>
      </c>
      <c r="B1364" s="180" t="s">
        <v>410</v>
      </c>
      <c r="C1364" s="177">
        <v>958459</v>
      </c>
      <c r="D1364" s="177"/>
      <c r="E1364" s="177"/>
      <c r="F1364" s="177"/>
      <c r="G1364" s="177"/>
      <c r="H1364" s="177"/>
      <c r="I1364" s="177"/>
      <c r="J1364" s="177"/>
      <c r="K1364" s="177">
        <v>0</v>
      </c>
      <c r="L1364" s="178">
        <v>0</v>
      </c>
      <c r="M1364" s="177">
        <v>0</v>
      </c>
      <c r="N1364" s="177">
        <v>487.2</v>
      </c>
      <c r="O1364" s="177">
        <v>958459</v>
      </c>
      <c r="P1364" s="179">
        <v>0</v>
      </c>
      <c r="Q1364" s="177">
        <v>0</v>
      </c>
      <c r="R1364" s="179">
        <v>0</v>
      </c>
      <c r="S1364" s="177">
        <v>0</v>
      </c>
      <c r="T1364" s="178">
        <v>0</v>
      </c>
      <c r="U1364" s="248">
        <v>0</v>
      </c>
      <c r="V1364" s="241"/>
      <c r="W1364" s="241"/>
      <c r="X1364" s="241"/>
    </row>
    <row r="1365" spans="1:24" s="14" customFormat="1">
      <c r="A1365" s="166">
        <v>284</v>
      </c>
      <c r="B1365" s="180" t="s">
        <v>411</v>
      </c>
      <c r="C1365" s="177">
        <v>947345</v>
      </c>
      <c r="D1365" s="177"/>
      <c r="E1365" s="177"/>
      <c r="F1365" s="177"/>
      <c r="G1365" s="177"/>
      <c r="H1365" s="177"/>
      <c r="I1365" s="177"/>
      <c r="J1365" s="177"/>
      <c r="K1365" s="177">
        <v>0</v>
      </c>
      <c r="L1365" s="178">
        <v>0</v>
      </c>
      <c r="M1365" s="177">
        <v>0</v>
      </c>
      <c r="N1365" s="177">
        <v>481.5</v>
      </c>
      <c r="O1365" s="177">
        <v>947345</v>
      </c>
      <c r="P1365" s="179">
        <v>0</v>
      </c>
      <c r="Q1365" s="177">
        <v>0</v>
      </c>
      <c r="R1365" s="179">
        <v>0</v>
      </c>
      <c r="S1365" s="177">
        <v>0</v>
      </c>
      <c r="T1365" s="178">
        <v>0</v>
      </c>
      <c r="U1365" s="248">
        <v>0</v>
      </c>
      <c r="V1365" s="241"/>
      <c r="W1365" s="241"/>
      <c r="X1365" s="241"/>
    </row>
    <row r="1366" spans="1:24" s="14" customFormat="1" ht="30">
      <c r="A1366" s="166"/>
      <c r="B1366" s="180" t="s">
        <v>189</v>
      </c>
      <c r="C1366" s="177">
        <v>820660</v>
      </c>
      <c r="D1366" s="177"/>
      <c r="E1366" s="177"/>
      <c r="F1366" s="177"/>
      <c r="G1366" s="177"/>
      <c r="H1366" s="177"/>
      <c r="I1366" s="177"/>
      <c r="J1366" s="177"/>
      <c r="K1366" s="177">
        <v>0</v>
      </c>
      <c r="L1366" s="178">
        <v>0</v>
      </c>
      <c r="M1366" s="177">
        <v>0</v>
      </c>
      <c r="N1366" s="177">
        <v>406.8</v>
      </c>
      <c r="O1366" s="177">
        <v>820660</v>
      </c>
      <c r="P1366" s="179">
        <v>0</v>
      </c>
      <c r="Q1366" s="177">
        <v>0</v>
      </c>
      <c r="R1366" s="179">
        <v>0</v>
      </c>
      <c r="S1366" s="177">
        <v>0</v>
      </c>
      <c r="T1366" s="178">
        <v>0</v>
      </c>
      <c r="U1366" s="248">
        <v>0</v>
      </c>
      <c r="V1366" s="241"/>
      <c r="W1366" s="241"/>
      <c r="X1366" s="241"/>
    </row>
    <row r="1367" spans="1:24" s="14" customFormat="1">
      <c r="A1367" s="166">
        <v>285</v>
      </c>
      <c r="B1367" s="180" t="s">
        <v>412</v>
      </c>
      <c r="C1367" s="177">
        <v>820660</v>
      </c>
      <c r="D1367" s="177"/>
      <c r="E1367" s="177"/>
      <c r="F1367" s="177"/>
      <c r="G1367" s="177"/>
      <c r="H1367" s="177"/>
      <c r="I1367" s="177"/>
      <c r="J1367" s="177"/>
      <c r="K1367" s="177">
        <v>0</v>
      </c>
      <c r="L1367" s="178">
        <v>0</v>
      </c>
      <c r="M1367" s="177">
        <v>0</v>
      </c>
      <c r="N1367" s="177">
        <v>406.8</v>
      </c>
      <c r="O1367" s="177">
        <v>820660</v>
      </c>
      <c r="P1367" s="179">
        <v>0</v>
      </c>
      <c r="Q1367" s="177">
        <v>0</v>
      </c>
      <c r="R1367" s="179">
        <v>0</v>
      </c>
      <c r="S1367" s="177">
        <v>0</v>
      </c>
      <c r="T1367" s="178">
        <v>0</v>
      </c>
      <c r="U1367" s="248">
        <v>0</v>
      </c>
      <c r="V1367" s="241"/>
      <c r="W1367" s="241"/>
      <c r="X1367" s="241"/>
    </row>
    <row r="1368" spans="1:24" s="14" customFormat="1" ht="30">
      <c r="A1368" s="166"/>
      <c r="B1368" s="180" t="s">
        <v>131</v>
      </c>
      <c r="C1368" s="177">
        <f>C1369</f>
        <v>2802982.3</v>
      </c>
      <c r="D1368" s="177">
        <f t="shared" ref="D1368:V1368" si="173">D1369</f>
        <v>0</v>
      </c>
      <c r="E1368" s="177">
        <f t="shared" si="173"/>
        <v>0</v>
      </c>
      <c r="F1368" s="177">
        <f t="shared" si="173"/>
        <v>0</v>
      </c>
      <c r="G1368" s="177">
        <f t="shared" si="173"/>
        <v>0</v>
      </c>
      <c r="H1368" s="177">
        <f t="shared" si="173"/>
        <v>0</v>
      </c>
      <c r="I1368" s="177">
        <f t="shared" si="173"/>
        <v>0</v>
      </c>
      <c r="J1368" s="177">
        <f t="shared" si="173"/>
        <v>0</v>
      </c>
      <c r="K1368" s="177">
        <f t="shared" si="173"/>
        <v>0</v>
      </c>
      <c r="L1368" s="177">
        <f t="shared" si="173"/>
        <v>0</v>
      </c>
      <c r="M1368" s="177">
        <f t="shared" si="173"/>
        <v>0</v>
      </c>
      <c r="N1368" s="177">
        <f t="shared" si="173"/>
        <v>1929.1</v>
      </c>
      <c r="O1368" s="177">
        <f t="shared" si="173"/>
        <v>2802982.3</v>
      </c>
      <c r="P1368" s="177">
        <f t="shared" si="173"/>
        <v>0</v>
      </c>
      <c r="Q1368" s="177">
        <f t="shared" si="173"/>
        <v>0</v>
      </c>
      <c r="R1368" s="177">
        <f t="shared" si="173"/>
        <v>0</v>
      </c>
      <c r="S1368" s="177">
        <f t="shared" si="173"/>
        <v>0</v>
      </c>
      <c r="T1368" s="177">
        <f t="shared" si="173"/>
        <v>0</v>
      </c>
      <c r="U1368" s="177">
        <f t="shared" si="173"/>
        <v>0</v>
      </c>
      <c r="V1368" s="177">
        <f t="shared" si="173"/>
        <v>0</v>
      </c>
      <c r="W1368" s="241"/>
      <c r="X1368" s="241"/>
    </row>
    <row r="1369" spans="1:24" s="14" customFormat="1" ht="19.899999999999999" customHeight="1">
      <c r="A1369" s="166">
        <v>286</v>
      </c>
      <c r="B1369" s="180" t="s">
        <v>662</v>
      </c>
      <c r="C1369" s="177">
        <v>2802982.3</v>
      </c>
      <c r="D1369" s="177">
        <v>0</v>
      </c>
      <c r="E1369" s="177">
        <v>0</v>
      </c>
      <c r="F1369" s="177">
        <v>0</v>
      </c>
      <c r="G1369" s="177">
        <v>0</v>
      </c>
      <c r="H1369" s="177">
        <v>0</v>
      </c>
      <c r="I1369" s="177">
        <v>0</v>
      </c>
      <c r="J1369" s="177">
        <v>0</v>
      </c>
      <c r="K1369" s="177">
        <v>0</v>
      </c>
      <c r="L1369" s="178">
        <v>0</v>
      </c>
      <c r="M1369" s="177">
        <v>0</v>
      </c>
      <c r="N1369" s="199">
        <v>1929.1</v>
      </c>
      <c r="O1369" s="177">
        <v>2802982.3</v>
      </c>
      <c r="P1369" s="179">
        <v>0</v>
      </c>
      <c r="Q1369" s="177">
        <v>0</v>
      </c>
      <c r="R1369" s="179">
        <v>0</v>
      </c>
      <c r="S1369" s="177">
        <v>0</v>
      </c>
      <c r="T1369" s="178">
        <v>0</v>
      </c>
      <c r="U1369" s="248">
        <v>0</v>
      </c>
      <c r="V1369" s="241"/>
      <c r="W1369" s="241">
        <f>O1369/N1369</f>
        <v>1453</v>
      </c>
      <c r="X1369" s="241"/>
    </row>
    <row r="1370" spans="1:24" s="14" customFormat="1">
      <c r="A1370" s="166"/>
      <c r="B1370" s="180"/>
      <c r="C1370" s="177"/>
      <c r="D1370" s="177"/>
      <c r="E1370" s="177"/>
      <c r="F1370" s="177"/>
      <c r="G1370" s="177"/>
      <c r="H1370" s="177"/>
      <c r="I1370" s="177"/>
      <c r="J1370" s="177"/>
      <c r="K1370" s="177"/>
      <c r="L1370" s="178"/>
      <c r="M1370" s="177"/>
      <c r="N1370" s="177"/>
      <c r="O1370" s="177"/>
      <c r="P1370" s="179"/>
      <c r="Q1370" s="177"/>
      <c r="R1370" s="181"/>
      <c r="S1370" s="177"/>
      <c r="T1370" s="178"/>
      <c r="U1370" s="248"/>
      <c r="V1370" s="241"/>
      <c r="W1370" s="241"/>
      <c r="X1370" s="241"/>
    </row>
    <row r="1371" spans="1:24" ht="21.6" customHeight="1">
      <c r="A1371" s="166"/>
      <c r="B1371" s="182" t="s">
        <v>50</v>
      </c>
      <c r="C1371" s="177">
        <f>C1372</f>
        <v>13218958</v>
      </c>
      <c r="D1371" s="177">
        <f t="shared" ref="D1371:V1371" si="174">D1372</f>
        <v>0</v>
      </c>
      <c r="E1371" s="177">
        <f t="shared" si="174"/>
        <v>0</v>
      </c>
      <c r="F1371" s="177">
        <f t="shared" si="174"/>
        <v>0</v>
      </c>
      <c r="G1371" s="177">
        <f t="shared" si="174"/>
        <v>0</v>
      </c>
      <c r="H1371" s="177">
        <f t="shared" si="174"/>
        <v>0</v>
      </c>
      <c r="I1371" s="177">
        <f t="shared" si="174"/>
        <v>0</v>
      </c>
      <c r="J1371" s="177">
        <f t="shared" si="174"/>
        <v>0</v>
      </c>
      <c r="K1371" s="177">
        <f t="shared" si="174"/>
        <v>0</v>
      </c>
      <c r="L1371" s="177">
        <f t="shared" si="174"/>
        <v>0</v>
      </c>
      <c r="M1371" s="177">
        <f t="shared" si="174"/>
        <v>0</v>
      </c>
      <c r="N1371" s="177">
        <f t="shared" si="174"/>
        <v>4654.3</v>
      </c>
      <c r="O1371" s="177">
        <f t="shared" si="174"/>
        <v>13218958</v>
      </c>
      <c r="P1371" s="177">
        <f t="shared" si="174"/>
        <v>0</v>
      </c>
      <c r="Q1371" s="177">
        <f t="shared" si="174"/>
        <v>0</v>
      </c>
      <c r="R1371" s="177">
        <f t="shared" si="174"/>
        <v>0</v>
      </c>
      <c r="S1371" s="177">
        <f t="shared" si="174"/>
        <v>0</v>
      </c>
      <c r="T1371" s="177">
        <f t="shared" si="174"/>
        <v>0</v>
      </c>
      <c r="U1371" s="177">
        <f t="shared" si="174"/>
        <v>0</v>
      </c>
      <c r="V1371" s="177">
        <f t="shared" si="174"/>
        <v>0</v>
      </c>
      <c r="W1371" s="241"/>
      <c r="X1371" s="241"/>
    </row>
    <row r="1372" spans="1:24" ht="30">
      <c r="A1372" s="166"/>
      <c r="B1372" s="180" t="s">
        <v>106</v>
      </c>
      <c r="C1372" s="177">
        <f>C1373+C1374+C1375+C1376+C1377+C1378+C1379+C1380+C1381</f>
        <v>13218958</v>
      </c>
      <c r="D1372" s="177">
        <f t="shared" ref="D1372:U1372" si="175">D1373+D1374+D1375+D1376+D1377+D1378+D1379+D1380+D1381</f>
        <v>0</v>
      </c>
      <c r="E1372" s="177">
        <f t="shared" si="175"/>
        <v>0</v>
      </c>
      <c r="F1372" s="177">
        <f t="shared" si="175"/>
        <v>0</v>
      </c>
      <c r="G1372" s="177">
        <f t="shared" si="175"/>
        <v>0</v>
      </c>
      <c r="H1372" s="177">
        <f t="shared" si="175"/>
        <v>0</v>
      </c>
      <c r="I1372" s="177">
        <f t="shared" si="175"/>
        <v>0</v>
      </c>
      <c r="J1372" s="177">
        <f t="shared" si="175"/>
        <v>0</v>
      </c>
      <c r="K1372" s="177">
        <f t="shared" si="175"/>
        <v>0</v>
      </c>
      <c r="L1372" s="177">
        <f t="shared" si="175"/>
        <v>0</v>
      </c>
      <c r="M1372" s="177">
        <f t="shared" si="175"/>
        <v>0</v>
      </c>
      <c r="N1372" s="177">
        <f t="shared" si="175"/>
        <v>4654.3</v>
      </c>
      <c r="O1372" s="177">
        <f t="shared" si="175"/>
        <v>13218958</v>
      </c>
      <c r="P1372" s="177">
        <f t="shared" si="175"/>
        <v>0</v>
      </c>
      <c r="Q1372" s="177">
        <f t="shared" si="175"/>
        <v>0</v>
      </c>
      <c r="R1372" s="177">
        <f t="shared" si="175"/>
        <v>0</v>
      </c>
      <c r="S1372" s="177">
        <f t="shared" si="175"/>
        <v>0</v>
      </c>
      <c r="T1372" s="177">
        <f t="shared" si="175"/>
        <v>0</v>
      </c>
      <c r="U1372" s="177">
        <f t="shared" si="175"/>
        <v>0</v>
      </c>
      <c r="V1372" s="241"/>
      <c r="W1372" s="241"/>
      <c r="X1372" s="241"/>
    </row>
    <row r="1373" spans="1:24" ht="15.75">
      <c r="A1373" s="166">
        <v>288</v>
      </c>
      <c r="B1373" s="137" t="s">
        <v>852</v>
      </c>
      <c r="C1373" s="177">
        <f>'часть 1'!L1405</f>
        <v>1024592</v>
      </c>
      <c r="D1373" s="177">
        <v>0</v>
      </c>
      <c r="E1373" s="177">
        <v>0</v>
      </c>
      <c r="F1373" s="177">
        <v>0</v>
      </c>
      <c r="G1373" s="177">
        <v>0</v>
      </c>
      <c r="H1373" s="177">
        <v>0</v>
      </c>
      <c r="I1373" s="177">
        <v>0</v>
      </c>
      <c r="J1373" s="177">
        <v>0</v>
      </c>
      <c r="K1373" s="177">
        <v>0</v>
      </c>
      <c r="L1373" s="178">
        <v>0</v>
      </c>
      <c r="M1373" s="177">
        <v>0</v>
      </c>
      <c r="N1373" s="200">
        <v>410</v>
      </c>
      <c r="O1373" s="177">
        <v>1024592</v>
      </c>
      <c r="P1373" s="179">
        <v>0</v>
      </c>
      <c r="Q1373" s="177">
        <v>0</v>
      </c>
      <c r="R1373" s="179">
        <v>0</v>
      </c>
      <c r="S1373" s="177">
        <v>0</v>
      </c>
      <c r="T1373" s="178">
        <v>0</v>
      </c>
      <c r="U1373" s="248">
        <v>0</v>
      </c>
      <c r="V1373" s="241"/>
      <c r="W1373" s="241">
        <f>O1373/N1373</f>
        <v>2499.0048780487805</v>
      </c>
      <c r="X1373" s="241"/>
    </row>
    <row r="1374" spans="1:24" ht="15.75">
      <c r="A1374" s="166">
        <v>289</v>
      </c>
      <c r="B1374" s="137" t="s">
        <v>853</v>
      </c>
      <c r="C1374" s="177">
        <f>'часть 1'!L1406</f>
        <v>1366296</v>
      </c>
      <c r="D1374" s="177">
        <v>0</v>
      </c>
      <c r="E1374" s="177">
        <v>0</v>
      </c>
      <c r="F1374" s="177">
        <v>0</v>
      </c>
      <c r="G1374" s="177">
        <v>0</v>
      </c>
      <c r="H1374" s="177">
        <v>0</v>
      </c>
      <c r="I1374" s="177">
        <v>0</v>
      </c>
      <c r="J1374" s="177">
        <v>0</v>
      </c>
      <c r="K1374" s="177">
        <v>0</v>
      </c>
      <c r="L1374" s="178">
        <v>0</v>
      </c>
      <c r="M1374" s="177">
        <v>0</v>
      </c>
      <c r="N1374" s="200">
        <v>546</v>
      </c>
      <c r="O1374" s="177">
        <v>1366296</v>
      </c>
      <c r="P1374" s="179">
        <v>0</v>
      </c>
      <c r="Q1374" s="177">
        <v>0</v>
      </c>
      <c r="R1374" s="179">
        <v>0</v>
      </c>
      <c r="S1374" s="177">
        <v>0</v>
      </c>
      <c r="T1374" s="178">
        <v>0</v>
      </c>
      <c r="U1374" s="248">
        <v>0</v>
      </c>
      <c r="V1374" s="241"/>
      <c r="W1374" s="241">
        <f t="shared" ref="W1374:W1381" si="176">O1374/N1374</f>
        <v>2502.3736263736264</v>
      </c>
      <c r="X1374" s="241"/>
    </row>
    <row r="1375" spans="1:24" ht="15.75">
      <c r="A1375" s="166">
        <v>290</v>
      </c>
      <c r="B1375" s="137" t="s">
        <v>854</v>
      </c>
      <c r="C1375" s="177">
        <f>'часть 1'!L1407</f>
        <v>1544253</v>
      </c>
      <c r="D1375" s="177">
        <v>0</v>
      </c>
      <c r="E1375" s="177">
        <v>0</v>
      </c>
      <c r="F1375" s="177">
        <v>0</v>
      </c>
      <c r="G1375" s="177">
        <v>0</v>
      </c>
      <c r="H1375" s="177">
        <v>0</v>
      </c>
      <c r="I1375" s="177">
        <v>0</v>
      </c>
      <c r="J1375" s="177">
        <v>0</v>
      </c>
      <c r="K1375" s="177">
        <v>0</v>
      </c>
      <c r="L1375" s="178">
        <v>0</v>
      </c>
      <c r="M1375" s="177">
        <v>0</v>
      </c>
      <c r="N1375" s="200">
        <v>483</v>
      </c>
      <c r="O1375" s="177">
        <v>1544253</v>
      </c>
      <c r="P1375" s="179">
        <v>0</v>
      </c>
      <c r="Q1375" s="177">
        <v>0</v>
      </c>
      <c r="R1375" s="179">
        <v>0</v>
      </c>
      <c r="S1375" s="177">
        <v>0</v>
      </c>
      <c r="T1375" s="178">
        <v>0</v>
      </c>
      <c r="U1375" s="248">
        <v>0</v>
      </c>
      <c r="V1375" s="241"/>
      <c r="W1375" s="241">
        <f t="shared" si="176"/>
        <v>3197.2111801242236</v>
      </c>
      <c r="X1375" s="241"/>
    </row>
    <row r="1376" spans="1:24" ht="15.75">
      <c r="A1376" s="166">
        <v>291</v>
      </c>
      <c r="B1376" s="137" t="s">
        <v>855</v>
      </c>
      <c r="C1376" s="177">
        <f>'часть 1'!L1408</f>
        <v>1119066</v>
      </c>
      <c r="D1376" s="177">
        <v>0</v>
      </c>
      <c r="E1376" s="177">
        <v>0</v>
      </c>
      <c r="F1376" s="177">
        <v>0</v>
      </c>
      <c r="G1376" s="177">
        <v>0</v>
      </c>
      <c r="H1376" s="177">
        <v>0</v>
      </c>
      <c r="I1376" s="177">
        <v>0</v>
      </c>
      <c r="J1376" s="177">
        <v>0</v>
      </c>
      <c r="K1376" s="177">
        <v>0</v>
      </c>
      <c r="L1376" s="178">
        <v>0</v>
      </c>
      <c r="M1376" s="177">
        <v>0</v>
      </c>
      <c r="N1376" s="200">
        <v>348</v>
      </c>
      <c r="O1376" s="177">
        <v>1119066</v>
      </c>
      <c r="P1376" s="179">
        <v>0</v>
      </c>
      <c r="Q1376" s="177">
        <v>0</v>
      </c>
      <c r="R1376" s="179">
        <v>0</v>
      </c>
      <c r="S1376" s="177">
        <v>0</v>
      </c>
      <c r="T1376" s="178">
        <v>0</v>
      </c>
      <c r="U1376" s="248">
        <v>0</v>
      </c>
      <c r="V1376" s="241"/>
      <c r="W1376" s="241">
        <f t="shared" si="176"/>
        <v>3215.7068965517242</v>
      </c>
      <c r="X1376" s="241"/>
    </row>
    <row r="1377" spans="1:24" ht="15.75">
      <c r="A1377" s="166">
        <v>292</v>
      </c>
      <c r="B1377" s="137" t="s">
        <v>856</v>
      </c>
      <c r="C1377" s="177">
        <f>'часть 1'!L1409</f>
        <v>2060671</v>
      </c>
      <c r="D1377" s="177">
        <v>0</v>
      </c>
      <c r="E1377" s="177">
        <v>0</v>
      </c>
      <c r="F1377" s="177">
        <v>0</v>
      </c>
      <c r="G1377" s="177">
        <v>0</v>
      </c>
      <c r="H1377" s="177">
        <v>0</v>
      </c>
      <c r="I1377" s="177">
        <v>0</v>
      </c>
      <c r="J1377" s="177">
        <v>0</v>
      </c>
      <c r="K1377" s="177">
        <v>0</v>
      </c>
      <c r="L1377" s="178">
        <v>0</v>
      </c>
      <c r="M1377" s="177">
        <v>0</v>
      </c>
      <c r="N1377" s="200">
        <v>647</v>
      </c>
      <c r="O1377" s="177">
        <v>2060671</v>
      </c>
      <c r="P1377" s="179">
        <v>0</v>
      </c>
      <c r="Q1377" s="177">
        <v>0</v>
      </c>
      <c r="R1377" s="179">
        <v>0</v>
      </c>
      <c r="S1377" s="177">
        <v>0</v>
      </c>
      <c r="T1377" s="178">
        <v>0</v>
      </c>
      <c r="U1377" s="248">
        <v>0</v>
      </c>
      <c r="V1377" s="241"/>
      <c r="W1377" s="241">
        <f t="shared" si="176"/>
        <v>3184.9629057187017</v>
      </c>
      <c r="X1377" s="241"/>
    </row>
    <row r="1378" spans="1:24" ht="15.75">
      <c r="A1378" s="166">
        <v>293</v>
      </c>
      <c r="B1378" s="137" t="s">
        <v>850</v>
      </c>
      <c r="C1378" s="177">
        <f>'часть 1'!L1410</f>
        <v>1226134</v>
      </c>
      <c r="D1378" s="177">
        <v>0</v>
      </c>
      <c r="E1378" s="177">
        <v>0</v>
      </c>
      <c r="F1378" s="177">
        <v>0</v>
      </c>
      <c r="G1378" s="177">
        <v>0</v>
      </c>
      <c r="H1378" s="177">
        <v>0</v>
      </c>
      <c r="I1378" s="177">
        <v>0</v>
      </c>
      <c r="J1378" s="177">
        <v>0</v>
      </c>
      <c r="K1378" s="177">
        <v>0</v>
      </c>
      <c r="L1378" s="178">
        <v>0</v>
      </c>
      <c r="M1378" s="177">
        <v>0</v>
      </c>
      <c r="N1378" s="200">
        <v>382</v>
      </c>
      <c r="O1378" s="177">
        <v>1226134</v>
      </c>
      <c r="P1378" s="179">
        <v>0</v>
      </c>
      <c r="Q1378" s="177">
        <v>0</v>
      </c>
      <c r="R1378" s="179">
        <v>0</v>
      </c>
      <c r="S1378" s="177">
        <v>0</v>
      </c>
      <c r="T1378" s="178">
        <v>0</v>
      </c>
      <c r="U1378" s="248">
        <v>0</v>
      </c>
      <c r="V1378" s="241"/>
      <c r="W1378" s="241">
        <f t="shared" si="176"/>
        <v>3209.7748691099478</v>
      </c>
      <c r="X1378" s="241"/>
    </row>
    <row r="1379" spans="1:24" ht="15.75">
      <c r="A1379" s="166">
        <v>294</v>
      </c>
      <c r="B1379" s="137" t="s">
        <v>978</v>
      </c>
      <c r="C1379" s="177">
        <f>'часть 1'!L1411</f>
        <v>1002285</v>
      </c>
      <c r="D1379" s="177">
        <v>0</v>
      </c>
      <c r="E1379" s="177">
        <v>0</v>
      </c>
      <c r="F1379" s="177">
        <v>0</v>
      </c>
      <c r="G1379" s="177">
        <v>0</v>
      </c>
      <c r="H1379" s="177">
        <v>0</v>
      </c>
      <c r="I1379" s="177">
        <v>0</v>
      </c>
      <c r="J1379" s="177">
        <v>0</v>
      </c>
      <c r="K1379" s="177">
        <v>0</v>
      </c>
      <c r="L1379" s="178">
        <v>0</v>
      </c>
      <c r="M1379" s="177">
        <v>0</v>
      </c>
      <c r="N1379" s="200">
        <v>401</v>
      </c>
      <c r="O1379" s="177">
        <v>1002285</v>
      </c>
      <c r="P1379" s="179">
        <v>0</v>
      </c>
      <c r="Q1379" s="177">
        <v>0</v>
      </c>
      <c r="R1379" s="179">
        <v>0</v>
      </c>
      <c r="S1379" s="177">
        <v>0</v>
      </c>
      <c r="T1379" s="178">
        <v>0</v>
      </c>
      <c r="U1379" s="248">
        <v>0</v>
      </c>
      <c r="V1379" s="241"/>
      <c r="W1379" s="241">
        <f t="shared" si="176"/>
        <v>2499.4638403990025</v>
      </c>
      <c r="X1379" s="241"/>
    </row>
    <row r="1380" spans="1:24" ht="15.75">
      <c r="A1380" s="166">
        <v>295</v>
      </c>
      <c r="B1380" s="137" t="s">
        <v>979</v>
      </c>
      <c r="C1380" s="177">
        <f>'часть 1'!L1412</f>
        <v>1296378</v>
      </c>
      <c r="D1380" s="177">
        <v>0</v>
      </c>
      <c r="E1380" s="177">
        <v>0</v>
      </c>
      <c r="F1380" s="177">
        <v>0</v>
      </c>
      <c r="G1380" s="177">
        <v>0</v>
      </c>
      <c r="H1380" s="177">
        <v>0</v>
      </c>
      <c r="I1380" s="177">
        <v>0</v>
      </c>
      <c r="J1380" s="177">
        <v>0</v>
      </c>
      <c r="K1380" s="177">
        <v>0</v>
      </c>
      <c r="L1380" s="178">
        <v>0</v>
      </c>
      <c r="M1380" s="177">
        <v>0</v>
      </c>
      <c r="N1380" s="200">
        <v>407.3</v>
      </c>
      <c r="O1380" s="177">
        <v>1296378</v>
      </c>
      <c r="P1380" s="179">
        <v>0</v>
      </c>
      <c r="Q1380" s="177">
        <v>0</v>
      </c>
      <c r="R1380" s="179">
        <v>0</v>
      </c>
      <c r="S1380" s="177">
        <v>0</v>
      </c>
      <c r="T1380" s="178">
        <v>0</v>
      </c>
      <c r="U1380" s="248">
        <v>0</v>
      </c>
      <c r="V1380" s="241"/>
      <c r="W1380" s="241">
        <f t="shared" si="176"/>
        <v>3182.8578443407805</v>
      </c>
      <c r="X1380" s="241"/>
    </row>
    <row r="1381" spans="1:24" ht="15.75">
      <c r="A1381" s="166">
        <v>296</v>
      </c>
      <c r="B1381" s="137" t="s">
        <v>857</v>
      </c>
      <c r="C1381" s="177">
        <f>'часть 1'!L1413</f>
        <v>2579283</v>
      </c>
      <c r="D1381" s="177">
        <v>0</v>
      </c>
      <c r="E1381" s="177">
        <v>0</v>
      </c>
      <c r="F1381" s="177">
        <v>0</v>
      </c>
      <c r="G1381" s="177">
        <v>0</v>
      </c>
      <c r="H1381" s="177">
        <v>0</v>
      </c>
      <c r="I1381" s="177">
        <v>0</v>
      </c>
      <c r="J1381" s="177">
        <v>0</v>
      </c>
      <c r="K1381" s="177">
        <v>0</v>
      </c>
      <c r="L1381" s="178">
        <v>0</v>
      </c>
      <c r="M1381" s="177">
        <v>0</v>
      </c>
      <c r="N1381" s="200">
        <v>1030</v>
      </c>
      <c r="O1381" s="177">
        <v>2579283</v>
      </c>
      <c r="P1381" s="179">
        <v>0</v>
      </c>
      <c r="Q1381" s="177">
        <v>0</v>
      </c>
      <c r="R1381" s="179">
        <v>0</v>
      </c>
      <c r="S1381" s="177">
        <v>0</v>
      </c>
      <c r="T1381" s="178">
        <v>0</v>
      </c>
      <c r="U1381" s="248">
        <v>0</v>
      </c>
      <c r="V1381" s="241"/>
      <c r="W1381" s="241">
        <f t="shared" si="176"/>
        <v>2504.1582524271844</v>
      </c>
      <c r="X1381" s="241"/>
    </row>
    <row r="1382" spans="1:24">
      <c r="A1382" s="166"/>
      <c r="B1382" s="182" t="s">
        <v>51</v>
      </c>
      <c r="C1382" s="177">
        <v>13321832</v>
      </c>
      <c r="D1382" s="177"/>
      <c r="E1382" s="177"/>
      <c r="F1382" s="177"/>
      <c r="G1382" s="177"/>
      <c r="H1382" s="177"/>
      <c r="I1382" s="177"/>
      <c r="J1382" s="177"/>
      <c r="K1382" s="177">
        <v>148073</v>
      </c>
      <c r="L1382" s="178">
        <v>0</v>
      </c>
      <c r="M1382" s="177">
        <v>0</v>
      </c>
      <c r="N1382" s="177">
        <v>6258.7000000000007</v>
      </c>
      <c r="O1382" s="177">
        <v>12532204</v>
      </c>
      <c r="P1382" s="179">
        <v>0</v>
      </c>
      <c r="Q1382" s="177">
        <v>0</v>
      </c>
      <c r="R1382" s="177">
        <v>440.1</v>
      </c>
      <c r="S1382" s="177">
        <v>641555</v>
      </c>
      <c r="T1382" s="178">
        <v>0</v>
      </c>
      <c r="U1382" s="248">
        <v>0</v>
      </c>
      <c r="V1382" s="241"/>
      <c r="W1382" s="241"/>
      <c r="X1382" s="241"/>
    </row>
    <row r="1383" spans="1:24" ht="30">
      <c r="A1383" s="166"/>
      <c r="B1383" s="180" t="s">
        <v>108</v>
      </c>
      <c r="C1383" s="177">
        <f>C1384+C1385+C1386+C1387+C1388+C1389+C1390</f>
        <v>10822736</v>
      </c>
      <c r="D1383" s="177">
        <f t="shared" ref="D1383:U1383" si="177">D1384+D1385+D1386+D1387+D1388+D1389+D1390</f>
        <v>0</v>
      </c>
      <c r="E1383" s="177">
        <f t="shared" si="177"/>
        <v>0</v>
      </c>
      <c r="F1383" s="177">
        <f t="shared" si="177"/>
        <v>0</v>
      </c>
      <c r="G1383" s="177">
        <f t="shared" si="177"/>
        <v>0</v>
      </c>
      <c r="H1383" s="177">
        <f t="shared" si="177"/>
        <v>0</v>
      </c>
      <c r="I1383" s="177">
        <f t="shared" si="177"/>
        <v>0</v>
      </c>
      <c r="J1383" s="177">
        <f t="shared" si="177"/>
        <v>0</v>
      </c>
      <c r="K1383" s="177">
        <f t="shared" si="177"/>
        <v>0</v>
      </c>
      <c r="L1383" s="177">
        <f t="shared" si="177"/>
        <v>0</v>
      </c>
      <c r="M1383" s="177">
        <f t="shared" si="177"/>
        <v>0</v>
      </c>
      <c r="N1383" s="177">
        <f t="shared" si="177"/>
        <v>3794.9</v>
      </c>
      <c r="O1383" s="177">
        <f t="shared" si="177"/>
        <v>10822736</v>
      </c>
      <c r="P1383" s="177">
        <f t="shared" si="177"/>
        <v>0</v>
      </c>
      <c r="Q1383" s="177">
        <f t="shared" si="177"/>
        <v>0</v>
      </c>
      <c r="R1383" s="177">
        <f t="shared" si="177"/>
        <v>0</v>
      </c>
      <c r="S1383" s="177">
        <f t="shared" si="177"/>
        <v>0</v>
      </c>
      <c r="T1383" s="177">
        <f t="shared" si="177"/>
        <v>0</v>
      </c>
      <c r="U1383" s="177">
        <f t="shared" si="177"/>
        <v>0</v>
      </c>
      <c r="V1383" s="241"/>
      <c r="W1383" s="241"/>
      <c r="X1383" s="241"/>
    </row>
    <row r="1384" spans="1:24" ht="15.75">
      <c r="A1384" s="166">
        <v>298</v>
      </c>
      <c r="B1384" s="223" t="s">
        <v>1014</v>
      </c>
      <c r="C1384" s="177">
        <f>'часть 1'!L1416</f>
        <v>1488075</v>
      </c>
      <c r="D1384" s="177">
        <v>0</v>
      </c>
      <c r="E1384" s="177">
        <v>0</v>
      </c>
      <c r="F1384" s="177">
        <v>0</v>
      </c>
      <c r="G1384" s="177">
        <v>0</v>
      </c>
      <c r="H1384" s="177">
        <v>0</v>
      </c>
      <c r="I1384" s="177">
        <v>0</v>
      </c>
      <c r="J1384" s="177">
        <v>0</v>
      </c>
      <c r="K1384" s="177">
        <v>0</v>
      </c>
      <c r="L1384" s="178">
        <v>0</v>
      </c>
      <c r="M1384" s="177">
        <v>0</v>
      </c>
      <c r="N1384" s="177">
        <v>471</v>
      </c>
      <c r="O1384" s="177">
        <f>'часть 1'!L1416</f>
        <v>1488075</v>
      </c>
      <c r="P1384" s="179">
        <v>0</v>
      </c>
      <c r="Q1384" s="177">
        <v>0</v>
      </c>
      <c r="R1384" s="179">
        <v>0</v>
      </c>
      <c r="S1384" s="177">
        <v>0</v>
      </c>
      <c r="T1384" s="178">
        <v>0</v>
      </c>
      <c r="U1384" s="248">
        <v>0</v>
      </c>
      <c r="V1384" s="241"/>
      <c r="W1384" s="241">
        <f>O1384/N1384</f>
        <v>3159.3949044585988</v>
      </c>
      <c r="X1384" s="241"/>
    </row>
    <row r="1385" spans="1:24" ht="15.75">
      <c r="A1385" s="166">
        <v>299</v>
      </c>
      <c r="B1385" s="223" t="s">
        <v>486</v>
      </c>
      <c r="C1385" s="177">
        <f>'часть 1'!L1417</f>
        <v>1488068</v>
      </c>
      <c r="D1385" s="177">
        <v>0</v>
      </c>
      <c r="E1385" s="177">
        <v>0</v>
      </c>
      <c r="F1385" s="177">
        <v>0</v>
      </c>
      <c r="G1385" s="177">
        <v>0</v>
      </c>
      <c r="H1385" s="177">
        <v>0</v>
      </c>
      <c r="I1385" s="177">
        <v>0</v>
      </c>
      <c r="J1385" s="177">
        <v>0</v>
      </c>
      <c r="K1385" s="177">
        <v>0</v>
      </c>
      <c r="L1385" s="178">
        <v>0</v>
      </c>
      <c r="M1385" s="177">
        <v>0</v>
      </c>
      <c r="N1385" s="177">
        <v>471</v>
      </c>
      <c r="O1385" s="177">
        <f>'часть 1'!L1417</f>
        <v>1488068</v>
      </c>
      <c r="P1385" s="179">
        <v>0</v>
      </c>
      <c r="Q1385" s="177">
        <v>0</v>
      </c>
      <c r="R1385" s="179">
        <v>0</v>
      </c>
      <c r="S1385" s="177">
        <v>0</v>
      </c>
      <c r="T1385" s="178">
        <v>0</v>
      </c>
      <c r="U1385" s="248">
        <v>0</v>
      </c>
      <c r="V1385" s="241"/>
      <c r="W1385" s="241">
        <f t="shared" ref="W1385:W1390" si="178">O1385/N1385</f>
        <v>3159.3800424628448</v>
      </c>
      <c r="X1385" s="241"/>
    </row>
    <row r="1386" spans="1:24" ht="15.75">
      <c r="A1386" s="166">
        <v>300</v>
      </c>
      <c r="B1386" s="223" t="s">
        <v>1015</v>
      </c>
      <c r="C1386" s="177">
        <f>'часть 1'!L1418</f>
        <v>931593</v>
      </c>
      <c r="D1386" s="177">
        <v>0</v>
      </c>
      <c r="E1386" s="177">
        <v>0</v>
      </c>
      <c r="F1386" s="177">
        <v>0</v>
      </c>
      <c r="G1386" s="177">
        <v>0</v>
      </c>
      <c r="H1386" s="177">
        <v>0</v>
      </c>
      <c r="I1386" s="177">
        <v>0</v>
      </c>
      <c r="J1386" s="177">
        <v>0</v>
      </c>
      <c r="K1386" s="177">
        <v>0</v>
      </c>
      <c r="L1386" s="178">
        <v>0</v>
      </c>
      <c r="M1386" s="177">
        <v>0</v>
      </c>
      <c r="N1386" s="177">
        <v>292</v>
      </c>
      <c r="O1386" s="177">
        <f>'часть 1'!L1418</f>
        <v>931593</v>
      </c>
      <c r="P1386" s="179">
        <v>0</v>
      </c>
      <c r="Q1386" s="177">
        <v>0</v>
      </c>
      <c r="R1386" s="179">
        <v>0</v>
      </c>
      <c r="S1386" s="177">
        <v>0</v>
      </c>
      <c r="T1386" s="178">
        <v>0</v>
      </c>
      <c r="U1386" s="248">
        <v>0</v>
      </c>
      <c r="V1386" s="241"/>
      <c r="W1386" s="241">
        <f t="shared" si="178"/>
        <v>3190.3869863013697</v>
      </c>
      <c r="X1386" s="241"/>
    </row>
    <row r="1387" spans="1:24" ht="15.75">
      <c r="A1387" s="166">
        <v>301</v>
      </c>
      <c r="B1387" s="143" t="s">
        <v>1016</v>
      </c>
      <c r="C1387" s="177">
        <f>'часть 1'!L1419</f>
        <v>741660</v>
      </c>
      <c r="D1387" s="177">
        <v>0</v>
      </c>
      <c r="E1387" s="177">
        <v>0</v>
      </c>
      <c r="F1387" s="177">
        <v>0</v>
      </c>
      <c r="G1387" s="177">
        <v>0</v>
      </c>
      <c r="H1387" s="177">
        <v>0</v>
      </c>
      <c r="I1387" s="177">
        <v>0</v>
      </c>
      <c r="J1387" s="177">
        <v>0</v>
      </c>
      <c r="K1387" s="177">
        <v>0</v>
      </c>
      <c r="L1387" s="178">
        <v>0</v>
      </c>
      <c r="M1387" s="177">
        <v>0</v>
      </c>
      <c r="N1387" s="177">
        <v>233.8</v>
      </c>
      <c r="O1387" s="177">
        <f>'часть 1'!L1419</f>
        <v>741660</v>
      </c>
      <c r="P1387" s="179">
        <v>0</v>
      </c>
      <c r="Q1387" s="177">
        <v>0</v>
      </c>
      <c r="R1387" s="179">
        <v>0</v>
      </c>
      <c r="S1387" s="177">
        <v>0</v>
      </c>
      <c r="T1387" s="178">
        <v>0</v>
      </c>
      <c r="U1387" s="248">
        <v>0</v>
      </c>
      <c r="V1387" s="241"/>
      <c r="W1387" s="241">
        <f t="shared" si="178"/>
        <v>3172.198460222412</v>
      </c>
      <c r="X1387" s="241"/>
    </row>
    <row r="1388" spans="1:24" ht="15.75">
      <c r="A1388" s="166">
        <v>302</v>
      </c>
      <c r="B1388" s="223" t="s">
        <v>1017</v>
      </c>
      <c r="C1388" s="177">
        <f>'часть 1'!L1420</f>
        <v>1854480</v>
      </c>
      <c r="D1388" s="177">
        <v>0</v>
      </c>
      <c r="E1388" s="177">
        <v>0</v>
      </c>
      <c r="F1388" s="177">
        <v>0</v>
      </c>
      <c r="G1388" s="177">
        <v>0</v>
      </c>
      <c r="H1388" s="177">
        <v>0</v>
      </c>
      <c r="I1388" s="177">
        <v>0</v>
      </c>
      <c r="J1388" s="177">
        <v>0</v>
      </c>
      <c r="K1388" s="177">
        <v>0</v>
      </c>
      <c r="L1388" s="178">
        <v>0</v>
      </c>
      <c r="M1388" s="177">
        <v>0</v>
      </c>
      <c r="N1388" s="177">
        <v>584.1</v>
      </c>
      <c r="O1388" s="177">
        <f>'часть 1'!L1420</f>
        <v>1854480</v>
      </c>
      <c r="P1388" s="179">
        <v>0</v>
      </c>
      <c r="Q1388" s="177">
        <v>0</v>
      </c>
      <c r="R1388" s="179">
        <v>0</v>
      </c>
      <c r="S1388" s="177">
        <v>0</v>
      </c>
      <c r="T1388" s="178">
        <v>0</v>
      </c>
      <c r="U1388" s="248">
        <v>0</v>
      </c>
      <c r="V1388" s="241"/>
      <c r="W1388" s="241">
        <f t="shared" si="178"/>
        <v>3174.9357986646123</v>
      </c>
      <c r="X1388" s="241"/>
    </row>
    <row r="1389" spans="1:24" ht="15.75">
      <c r="A1389" s="166">
        <v>303</v>
      </c>
      <c r="B1389" s="226" t="s">
        <v>1018</v>
      </c>
      <c r="C1389" s="177">
        <f>'часть 1'!L1421</f>
        <v>2161845</v>
      </c>
      <c r="D1389" s="177">
        <v>0</v>
      </c>
      <c r="E1389" s="177">
        <v>0</v>
      </c>
      <c r="F1389" s="177">
        <v>0</v>
      </c>
      <c r="G1389" s="177">
        <v>0</v>
      </c>
      <c r="H1389" s="177">
        <v>0</v>
      </c>
      <c r="I1389" s="177">
        <v>0</v>
      </c>
      <c r="J1389" s="177">
        <v>0</v>
      </c>
      <c r="K1389" s="177">
        <v>0</v>
      </c>
      <c r="L1389" s="178">
        <v>0</v>
      </c>
      <c r="M1389" s="177">
        <v>0</v>
      </c>
      <c r="N1389" s="177">
        <v>872.5</v>
      </c>
      <c r="O1389" s="177">
        <f>'часть 1'!L1421</f>
        <v>2161845</v>
      </c>
      <c r="P1389" s="179">
        <v>0</v>
      </c>
      <c r="Q1389" s="177">
        <v>0</v>
      </c>
      <c r="R1389" s="179">
        <v>0</v>
      </c>
      <c r="S1389" s="177">
        <v>0</v>
      </c>
      <c r="T1389" s="178">
        <v>0</v>
      </c>
      <c r="U1389" s="248">
        <v>0</v>
      </c>
      <c r="V1389" s="241"/>
      <c r="W1389" s="241">
        <f t="shared" si="178"/>
        <v>2477.7593123209167</v>
      </c>
      <c r="X1389" s="241"/>
    </row>
    <row r="1390" spans="1:24" ht="15.75">
      <c r="A1390" s="166">
        <v>304</v>
      </c>
      <c r="B1390" s="223" t="s">
        <v>1019</v>
      </c>
      <c r="C1390" s="177">
        <f>'часть 1'!L1422</f>
        <v>2157015</v>
      </c>
      <c r="D1390" s="177">
        <v>0</v>
      </c>
      <c r="E1390" s="177">
        <v>0</v>
      </c>
      <c r="F1390" s="177">
        <v>0</v>
      </c>
      <c r="G1390" s="177">
        <v>0</v>
      </c>
      <c r="H1390" s="177">
        <v>0</v>
      </c>
      <c r="I1390" s="177">
        <v>0</v>
      </c>
      <c r="J1390" s="177">
        <v>0</v>
      </c>
      <c r="K1390" s="177">
        <v>0</v>
      </c>
      <c r="L1390" s="178">
        <v>0</v>
      </c>
      <c r="M1390" s="177">
        <v>0</v>
      </c>
      <c r="N1390" s="177">
        <v>870.5</v>
      </c>
      <c r="O1390" s="177">
        <f>'часть 1'!L1422</f>
        <v>2157015</v>
      </c>
      <c r="P1390" s="179">
        <v>0</v>
      </c>
      <c r="Q1390" s="177">
        <v>0</v>
      </c>
      <c r="R1390" s="179">
        <v>0</v>
      </c>
      <c r="S1390" s="177">
        <v>0</v>
      </c>
      <c r="T1390" s="178">
        <v>0</v>
      </c>
      <c r="U1390" s="248">
        <v>0</v>
      </c>
      <c r="V1390" s="241"/>
      <c r="W1390" s="241">
        <f t="shared" si="178"/>
        <v>2477.9035037334866</v>
      </c>
      <c r="X1390" s="241"/>
    </row>
    <row r="1391" spans="1:24" ht="30">
      <c r="A1391" s="410"/>
      <c r="B1391" s="420" t="s">
        <v>882</v>
      </c>
      <c r="C1391" s="419">
        <f>C1392+C1393</f>
        <v>1917878</v>
      </c>
      <c r="D1391" s="419">
        <f t="shared" ref="D1391:U1391" si="179">D1392+D1393</f>
        <v>292645</v>
      </c>
      <c r="E1391" s="419">
        <f t="shared" si="179"/>
        <v>292645</v>
      </c>
      <c r="F1391" s="419">
        <f t="shared" si="179"/>
        <v>0</v>
      </c>
      <c r="G1391" s="419">
        <f t="shared" si="179"/>
        <v>0</v>
      </c>
      <c r="H1391" s="419">
        <f t="shared" si="179"/>
        <v>0</v>
      </c>
      <c r="I1391" s="419">
        <f t="shared" si="179"/>
        <v>0</v>
      </c>
      <c r="J1391" s="419">
        <f t="shared" si="179"/>
        <v>0</v>
      </c>
      <c r="K1391" s="419">
        <f t="shared" si="179"/>
        <v>0</v>
      </c>
      <c r="L1391" s="419">
        <f t="shared" si="179"/>
        <v>0</v>
      </c>
      <c r="M1391" s="419">
        <f t="shared" si="179"/>
        <v>0</v>
      </c>
      <c r="N1391" s="419">
        <f t="shared" si="179"/>
        <v>508.8</v>
      </c>
      <c r="O1391" s="419">
        <f t="shared" si="179"/>
        <v>1625233</v>
      </c>
      <c r="P1391" s="419">
        <f t="shared" si="179"/>
        <v>0</v>
      </c>
      <c r="Q1391" s="419">
        <f t="shared" si="179"/>
        <v>0</v>
      </c>
      <c r="R1391" s="419">
        <f t="shared" si="179"/>
        <v>0</v>
      </c>
      <c r="S1391" s="419">
        <f t="shared" si="179"/>
        <v>0</v>
      </c>
      <c r="T1391" s="419">
        <f t="shared" si="179"/>
        <v>0</v>
      </c>
      <c r="U1391" s="419">
        <f t="shared" si="179"/>
        <v>0</v>
      </c>
      <c r="V1391" s="241"/>
      <c r="W1391" s="241"/>
      <c r="X1391" s="241"/>
    </row>
    <row r="1392" spans="1:24" ht="30">
      <c r="A1392" s="410"/>
      <c r="B1392" s="420" t="s">
        <v>886</v>
      </c>
      <c r="C1392" s="419">
        <f>'часть 1'!L1424</f>
        <v>1625233</v>
      </c>
      <c r="D1392" s="419">
        <f>E1392+F1392+G1392+H1392+I1392+J1392+K1392</f>
        <v>0</v>
      </c>
      <c r="E1392" s="419">
        <v>0</v>
      </c>
      <c r="F1392" s="419">
        <v>0</v>
      </c>
      <c r="G1392" s="419">
        <v>0</v>
      </c>
      <c r="H1392" s="419">
        <v>0</v>
      </c>
      <c r="I1392" s="419">
        <v>0</v>
      </c>
      <c r="J1392" s="419">
        <v>0</v>
      </c>
      <c r="K1392" s="419">
        <v>0</v>
      </c>
      <c r="L1392" s="453">
        <v>0</v>
      </c>
      <c r="M1392" s="419">
        <v>0</v>
      </c>
      <c r="N1392" s="419">
        <v>508.8</v>
      </c>
      <c r="O1392" s="419">
        <v>1625233</v>
      </c>
      <c r="P1392" s="454">
        <v>0</v>
      </c>
      <c r="Q1392" s="419">
        <v>0</v>
      </c>
      <c r="R1392" s="419">
        <v>0</v>
      </c>
      <c r="S1392" s="419">
        <v>0</v>
      </c>
      <c r="T1392" s="453">
        <v>0</v>
      </c>
      <c r="U1392" s="455">
        <v>0</v>
      </c>
      <c r="V1392" s="241"/>
      <c r="W1392" s="241">
        <f>O1392/N1392</f>
        <v>3194.2472484276727</v>
      </c>
      <c r="X1392" s="241"/>
    </row>
    <row r="1393" spans="1:28" ht="22.9" customHeight="1">
      <c r="A1393" s="410"/>
      <c r="B1393" s="420" t="s">
        <v>884</v>
      </c>
      <c r="C1393" s="419">
        <f>'часть 1'!L1425</f>
        <v>292645</v>
      </c>
      <c r="D1393" s="419">
        <f>E1393+F1393+G1393+H1393+I1393+J1393+K1393</f>
        <v>292645</v>
      </c>
      <c r="E1393" s="419">
        <v>292645</v>
      </c>
      <c r="F1393" s="419">
        <v>0</v>
      </c>
      <c r="G1393" s="419">
        <v>0</v>
      </c>
      <c r="H1393" s="419">
        <v>0</v>
      </c>
      <c r="I1393" s="419">
        <v>0</v>
      </c>
      <c r="J1393" s="419">
        <v>0</v>
      </c>
      <c r="K1393" s="419">
        <v>0</v>
      </c>
      <c r="L1393" s="453">
        <v>0</v>
      </c>
      <c r="M1393" s="419">
        <v>0</v>
      </c>
      <c r="N1393" s="419">
        <v>0</v>
      </c>
      <c r="O1393" s="419">
        <v>0</v>
      </c>
      <c r="P1393" s="454">
        <v>0</v>
      </c>
      <c r="Q1393" s="419">
        <v>0</v>
      </c>
      <c r="R1393" s="419">
        <v>0</v>
      </c>
      <c r="S1393" s="419">
        <v>0</v>
      </c>
      <c r="T1393" s="453">
        <v>0</v>
      </c>
      <c r="U1393" s="455">
        <v>0</v>
      </c>
      <c r="V1393" s="241"/>
      <c r="W1393" s="241"/>
      <c r="X1393" s="241"/>
      <c r="Y1393" s="1">
        <f>E1393/'часть 1'!I1425</f>
        <v>566.59244917715387</v>
      </c>
    </row>
    <row r="1394" spans="1:28">
      <c r="A1394" s="166"/>
      <c r="B1394" s="182" t="s">
        <v>52</v>
      </c>
      <c r="C1394" s="177">
        <v>3908951</v>
      </c>
      <c r="D1394" s="177"/>
      <c r="E1394" s="177"/>
      <c r="F1394" s="177"/>
      <c r="G1394" s="177"/>
      <c r="H1394" s="177"/>
      <c r="I1394" s="177"/>
      <c r="J1394" s="177"/>
      <c r="K1394" s="177">
        <v>201010</v>
      </c>
      <c r="L1394" s="178">
        <v>0</v>
      </c>
      <c r="M1394" s="177">
        <v>0</v>
      </c>
      <c r="N1394" s="177">
        <v>1869.42</v>
      </c>
      <c r="O1394" s="177">
        <v>3707941</v>
      </c>
      <c r="P1394" s="179">
        <v>0</v>
      </c>
      <c r="Q1394" s="177">
        <v>0</v>
      </c>
      <c r="R1394" s="179">
        <v>0</v>
      </c>
      <c r="S1394" s="177">
        <v>0</v>
      </c>
      <c r="T1394" s="178">
        <v>0</v>
      </c>
      <c r="U1394" s="248">
        <v>0</v>
      </c>
      <c r="V1394" s="241"/>
      <c r="W1394" s="241"/>
      <c r="X1394" s="241"/>
    </row>
    <row r="1395" spans="1:28" s="14" customFormat="1" ht="30">
      <c r="A1395" s="410"/>
      <c r="B1395" s="420" t="s">
        <v>130</v>
      </c>
      <c r="C1395" s="419">
        <f>C1396</f>
        <v>2385226</v>
      </c>
      <c r="D1395" s="419">
        <f t="shared" ref="D1395:V1395" si="180">D1396</f>
        <v>0</v>
      </c>
      <c r="E1395" s="419">
        <f t="shared" si="180"/>
        <v>0</v>
      </c>
      <c r="F1395" s="419">
        <f t="shared" si="180"/>
        <v>0</v>
      </c>
      <c r="G1395" s="419">
        <f t="shared" si="180"/>
        <v>0</v>
      </c>
      <c r="H1395" s="419">
        <f t="shared" si="180"/>
        <v>0</v>
      </c>
      <c r="I1395" s="419">
        <f t="shared" si="180"/>
        <v>0</v>
      </c>
      <c r="J1395" s="419">
        <f t="shared" si="180"/>
        <v>0</v>
      </c>
      <c r="K1395" s="419">
        <f t="shared" si="180"/>
        <v>0</v>
      </c>
      <c r="L1395" s="419">
        <f t="shared" si="180"/>
        <v>0</v>
      </c>
      <c r="M1395" s="419">
        <f t="shared" si="180"/>
        <v>0</v>
      </c>
      <c r="N1395" s="419">
        <f t="shared" si="180"/>
        <v>751</v>
      </c>
      <c r="O1395" s="419">
        <f t="shared" si="180"/>
        <v>2385226</v>
      </c>
      <c r="P1395" s="419">
        <f t="shared" si="180"/>
        <v>0</v>
      </c>
      <c r="Q1395" s="419">
        <f t="shared" si="180"/>
        <v>0</v>
      </c>
      <c r="R1395" s="419">
        <f t="shared" si="180"/>
        <v>0</v>
      </c>
      <c r="S1395" s="419">
        <f t="shared" si="180"/>
        <v>0</v>
      </c>
      <c r="T1395" s="419">
        <f t="shared" si="180"/>
        <v>0</v>
      </c>
      <c r="U1395" s="419">
        <f t="shared" si="180"/>
        <v>0</v>
      </c>
      <c r="V1395" s="177">
        <f t="shared" si="180"/>
        <v>0</v>
      </c>
      <c r="W1395" s="241"/>
      <c r="X1395" s="241"/>
    </row>
    <row r="1396" spans="1:28">
      <c r="A1396" s="410">
        <v>312</v>
      </c>
      <c r="B1396" s="420" t="s">
        <v>674</v>
      </c>
      <c r="C1396" s="419">
        <v>2385226</v>
      </c>
      <c r="D1396" s="419">
        <v>0</v>
      </c>
      <c r="E1396" s="419">
        <v>0</v>
      </c>
      <c r="F1396" s="419">
        <v>0</v>
      </c>
      <c r="G1396" s="419">
        <v>0</v>
      </c>
      <c r="H1396" s="419">
        <v>0</v>
      </c>
      <c r="I1396" s="419">
        <v>0</v>
      </c>
      <c r="J1396" s="419">
        <v>0</v>
      </c>
      <c r="K1396" s="419">
        <v>0</v>
      </c>
      <c r="L1396" s="454">
        <v>0</v>
      </c>
      <c r="M1396" s="419">
        <v>0</v>
      </c>
      <c r="N1396" s="412">
        <v>751</v>
      </c>
      <c r="O1396" s="419">
        <v>2385226</v>
      </c>
      <c r="P1396" s="454">
        <v>0</v>
      </c>
      <c r="Q1396" s="419">
        <v>0</v>
      </c>
      <c r="R1396" s="454">
        <v>0</v>
      </c>
      <c r="S1396" s="419">
        <v>0</v>
      </c>
      <c r="T1396" s="454">
        <v>0</v>
      </c>
      <c r="U1396" s="455">
        <v>0</v>
      </c>
      <c r="V1396" s="241"/>
      <c r="W1396" s="241">
        <f>O1396/N1396</f>
        <v>3176.0665778961384</v>
      </c>
      <c r="X1396" s="241"/>
    </row>
    <row r="1397" spans="1:28">
      <c r="A1397" s="410"/>
      <c r="B1397" s="420"/>
      <c r="C1397" s="419"/>
      <c r="D1397" s="419"/>
      <c r="E1397" s="419"/>
      <c r="F1397" s="419"/>
      <c r="G1397" s="419"/>
      <c r="H1397" s="419"/>
      <c r="I1397" s="419"/>
      <c r="J1397" s="419"/>
      <c r="K1397" s="419"/>
      <c r="L1397" s="454"/>
      <c r="M1397" s="419"/>
      <c r="N1397" s="412"/>
      <c r="O1397" s="419"/>
      <c r="P1397" s="454"/>
      <c r="Q1397" s="419"/>
      <c r="R1397" s="454"/>
      <c r="S1397" s="419"/>
      <c r="T1397" s="454"/>
      <c r="U1397" s="455"/>
      <c r="V1397" s="241"/>
      <c r="W1397" s="241"/>
      <c r="X1397" s="241"/>
    </row>
    <row r="1398" spans="1:28" ht="30">
      <c r="A1398" s="166"/>
      <c r="B1398" s="180" t="s">
        <v>109</v>
      </c>
      <c r="C1398" s="177">
        <v>201010</v>
      </c>
      <c r="D1398" s="177"/>
      <c r="E1398" s="177"/>
      <c r="F1398" s="177"/>
      <c r="G1398" s="177"/>
      <c r="H1398" s="177"/>
      <c r="I1398" s="177"/>
      <c r="J1398" s="177"/>
      <c r="K1398" s="177">
        <v>201010</v>
      </c>
      <c r="L1398" s="178">
        <v>0</v>
      </c>
      <c r="M1398" s="177">
        <v>0</v>
      </c>
      <c r="N1398" s="177">
        <v>0</v>
      </c>
      <c r="O1398" s="177">
        <v>0</v>
      </c>
      <c r="P1398" s="179">
        <v>0</v>
      </c>
      <c r="Q1398" s="177">
        <v>0</v>
      </c>
      <c r="R1398" s="179">
        <v>0</v>
      </c>
      <c r="S1398" s="177">
        <v>0</v>
      </c>
      <c r="T1398" s="178">
        <v>0</v>
      </c>
      <c r="U1398" s="248">
        <v>0</v>
      </c>
      <c r="V1398" s="241"/>
      <c r="W1398" s="241"/>
      <c r="X1398" s="241"/>
    </row>
    <row r="1399" spans="1:28">
      <c r="A1399" s="166">
        <v>314</v>
      </c>
      <c r="B1399" s="182" t="s">
        <v>414</v>
      </c>
      <c r="C1399" s="177">
        <v>201010</v>
      </c>
      <c r="D1399" s="177"/>
      <c r="E1399" s="177"/>
      <c r="F1399" s="177"/>
      <c r="G1399" s="177"/>
      <c r="H1399" s="177"/>
      <c r="I1399" s="177"/>
      <c r="J1399" s="177"/>
      <c r="K1399" s="177">
        <v>201010</v>
      </c>
      <c r="L1399" s="178">
        <v>0</v>
      </c>
      <c r="M1399" s="177">
        <v>0</v>
      </c>
      <c r="N1399" s="177">
        <v>0</v>
      </c>
      <c r="O1399" s="177">
        <v>0</v>
      </c>
      <c r="P1399" s="179">
        <v>0</v>
      </c>
      <c r="Q1399" s="177">
        <v>0</v>
      </c>
      <c r="R1399" s="179">
        <v>0</v>
      </c>
      <c r="S1399" s="177">
        <v>0</v>
      </c>
      <c r="T1399" s="178">
        <v>0</v>
      </c>
      <c r="U1399" s="248">
        <v>0</v>
      </c>
      <c r="V1399" s="241"/>
      <c r="W1399" s="241"/>
      <c r="X1399" s="241"/>
    </row>
    <row r="1400" spans="1:28" ht="30">
      <c r="A1400" s="166"/>
      <c r="B1400" s="180" t="s">
        <v>198</v>
      </c>
      <c r="C1400" s="177">
        <v>1091336</v>
      </c>
      <c r="D1400" s="177"/>
      <c r="E1400" s="177"/>
      <c r="F1400" s="177"/>
      <c r="G1400" s="177"/>
      <c r="H1400" s="177"/>
      <c r="I1400" s="177"/>
      <c r="J1400" s="177"/>
      <c r="K1400" s="177">
        <v>0</v>
      </c>
      <c r="L1400" s="178">
        <v>0</v>
      </c>
      <c r="M1400" s="177">
        <v>0</v>
      </c>
      <c r="N1400" s="177">
        <v>554.41999999999996</v>
      </c>
      <c r="O1400" s="177">
        <v>1091336</v>
      </c>
      <c r="P1400" s="179">
        <v>0</v>
      </c>
      <c r="Q1400" s="177">
        <v>0</v>
      </c>
      <c r="R1400" s="179">
        <v>0</v>
      </c>
      <c r="S1400" s="177">
        <v>0</v>
      </c>
      <c r="T1400" s="178">
        <v>0</v>
      </c>
      <c r="U1400" s="248">
        <v>0</v>
      </c>
      <c r="V1400" s="241"/>
      <c r="W1400" s="241"/>
      <c r="X1400" s="241"/>
    </row>
    <row r="1401" spans="1:28" ht="30">
      <c r="A1401" s="166">
        <v>315</v>
      </c>
      <c r="B1401" s="180" t="s">
        <v>444</v>
      </c>
      <c r="C1401" s="177">
        <v>1091336</v>
      </c>
      <c r="D1401" s="177"/>
      <c r="E1401" s="177"/>
      <c r="F1401" s="177"/>
      <c r="G1401" s="177"/>
      <c r="H1401" s="177"/>
      <c r="I1401" s="177"/>
      <c r="J1401" s="177"/>
      <c r="K1401" s="177">
        <v>0</v>
      </c>
      <c r="L1401" s="178">
        <v>0</v>
      </c>
      <c r="M1401" s="177">
        <v>0</v>
      </c>
      <c r="N1401" s="177">
        <v>554.41999999999996</v>
      </c>
      <c r="O1401" s="177">
        <v>1091336</v>
      </c>
      <c r="P1401" s="179">
        <v>0</v>
      </c>
      <c r="Q1401" s="177">
        <v>0</v>
      </c>
      <c r="R1401" s="179">
        <v>0</v>
      </c>
      <c r="S1401" s="177">
        <v>0</v>
      </c>
      <c r="T1401" s="178">
        <v>0</v>
      </c>
      <c r="U1401" s="248">
        <v>0</v>
      </c>
      <c r="V1401" s="241"/>
      <c r="W1401" s="241"/>
      <c r="X1401" s="241"/>
    </row>
    <row r="1402" spans="1:28">
      <c r="A1402" s="166"/>
      <c r="B1402" s="182" t="s">
        <v>53</v>
      </c>
      <c r="C1402" s="177">
        <v>51240898.530000001</v>
      </c>
      <c r="D1402" s="177"/>
      <c r="E1402" s="177"/>
      <c r="F1402" s="177"/>
      <c r="G1402" s="177"/>
      <c r="H1402" s="177"/>
      <c r="I1402" s="177"/>
      <c r="J1402" s="177"/>
      <c r="K1402" s="177">
        <v>1666943.13</v>
      </c>
      <c r="L1402" s="178">
        <v>16</v>
      </c>
      <c r="M1402" s="177">
        <f>M1403+M1418+M1420+M1423+M1430+M1431+M1433</f>
        <v>0</v>
      </c>
      <c r="N1402" s="177">
        <f>N1403+N1418+N1420+N1423+N1430+N1431+N1433</f>
        <v>17736.52</v>
      </c>
      <c r="O1402" s="177">
        <f>O1403+O1418+O1420+O1423+O1430+O1431+O1433</f>
        <v>45386855.920000002</v>
      </c>
      <c r="P1402" s="179">
        <v>0</v>
      </c>
      <c r="Q1402" s="177">
        <v>0</v>
      </c>
      <c r="R1402" s="177">
        <v>3776.66</v>
      </c>
      <c r="S1402" s="177">
        <v>2073719.84</v>
      </c>
      <c r="T1402" s="179">
        <v>0</v>
      </c>
      <c r="U1402" s="248">
        <v>0</v>
      </c>
      <c r="V1402" s="241"/>
      <c r="W1402" s="241"/>
      <c r="X1402" s="241"/>
    </row>
    <row r="1403" spans="1:28" ht="30">
      <c r="A1403" s="410"/>
      <c r="B1403" s="420" t="s">
        <v>88</v>
      </c>
      <c r="C1403" s="419">
        <f>C1404+C1405+C1406+C1407+C1408+C1409++C1410+C1411+C1412+C1413+C1414</f>
        <v>29036828</v>
      </c>
      <c r="D1403" s="419">
        <f t="shared" ref="D1403:V1403" si="181">D1404+D1405+D1406+D1407+D1408+D1409++D1410+D1411+D1412+D1413+D1414</f>
        <v>0</v>
      </c>
      <c r="E1403" s="419">
        <f t="shared" si="181"/>
        <v>0</v>
      </c>
      <c r="F1403" s="419">
        <f t="shared" si="181"/>
        <v>0</v>
      </c>
      <c r="G1403" s="419">
        <f t="shared" si="181"/>
        <v>0</v>
      </c>
      <c r="H1403" s="419">
        <f t="shared" si="181"/>
        <v>0</v>
      </c>
      <c r="I1403" s="419">
        <f t="shared" si="181"/>
        <v>0</v>
      </c>
      <c r="J1403" s="419">
        <f t="shared" si="181"/>
        <v>0</v>
      </c>
      <c r="K1403" s="419">
        <f t="shared" si="181"/>
        <v>0</v>
      </c>
      <c r="L1403" s="419">
        <f t="shared" si="181"/>
        <v>0</v>
      </c>
      <c r="M1403" s="419">
        <f t="shared" si="181"/>
        <v>0</v>
      </c>
      <c r="N1403" s="419">
        <f t="shared" si="181"/>
        <v>11589.4</v>
      </c>
      <c r="O1403" s="419">
        <f t="shared" si="181"/>
        <v>29036828</v>
      </c>
      <c r="P1403" s="419">
        <f t="shared" si="181"/>
        <v>0</v>
      </c>
      <c r="Q1403" s="419">
        <f t="shared" si="181"/>
        <v>0</v>
      </c>
      <c r="R1403" s="419">
        <f t="shared" si="181"/>
        <v>0</v>
      </c>
      <c r="S1403" s="419">
        <f t="shared" si="181"/>
        <v>0</v>
      </c>
      <c r="T1403" s="419">
        <f t="shared" si="181"/>
        <v>0</v>
      </c>
      <c r="U1403" s="419">
        <f t="shared" si="181"/>
        <v>0</v>
      </c>
      <c r="V1403" s="177">
        <f t="shared" si="181"/>
        <v>0</v>
      </c>
      <c r="W1403" s="241"/>
      <c r="X1403" s="241"/>
    </row>
    <row r="1404" spans="1:28" s="15" customFormat="1" ht="15.75">
      <c r="A1404" s="410">
        <v>316</v>
      </c>
      <c r="B1404" s="755" t="s">
        <v>756</v>
      </c>
      <c r="C1404" s="419">
        <f>'часть 1'!L1436</f>
        <v>3116315</v>
      </c>
      <c r="D1404" s="419">
        <v>0</v>
      </c>
      <c r="E1404" s="419">
        <v>0</v>
      </c>
      <c r="F1404" s="419">
        <v>0</v>
      </c>
      <c r="G1404" s="419">
        <v>0</v>
      </c>
      <c r="H1404" s="419">
        <v>0</v>
      </c>
      <c r="I1404" s="419">
        <v>0</v>
      </c>
      <c r="J1404" s="419">
        <v>0</v>
      </c>
      <c r="K1404" s="419">
        <v>0</v>
      </c>
      <c r="L1404" s="453">
        <v>0</v>
      </c>
      <c r="M1404" s="419">
        <v>0</v>
      </c>
      <c r="N1404" s="419">
        <v>1246.5999999999999</v>
      </c>
      <c r="O1404" s="419">
        <f>C1404</f>
        <v>3116315</v>
      </c>
      <c r="P1404" s="454">
        <v>0</v>
      </c>
      <c r="Q1404" s="419">
        <v>0</v>
      </c>
      <c r="R1404" s="454">
        <v>0</v>
      </c>
      <c r="S1404" s="419">
        <v>0</v>
      </c>
      <c r="T1404" s="453">
        <v>0</v>
      </c>
      <c r="U1404" s="455">
        <v>0</v>
      </c>
      <c r="V1404" s="241"/>
      <c r="W1404" s="241">
        <f>O1404/N1404</f>
        <v>2499.8515963420505</v>
      </c>
      <c r="X1404" s="241"/>
    </row>
    <row r="1405" spans="1:28" s="15" customFormat="1" ht="15.75">
      <c r="A1405" s="410">
        <v>317</v>
      </c>
      <c r="B1405" s="755" t="s">
        <v>754</v>
      </c>
      <c r="C1405" s="419">
        <f>'часть 1'!L1437</f>
        <v>2952420</v>
      </c>
      <c r="D1405" s="419">
        <v>0</v>
      </c>
      <c r="E1405" s="419">
        <v>0</v>
      </c>
      <c r="F1405" s="419">
        <v>0</v>
      </c>
      <c r="G1405" s="419">
        <v>0</v>
      </c>
      <c r="H1405" s="419">
        <v>0</v>
      </c>
      <c r="I1405" s="419">
        <v>0</v>
      </c>
      <c r="J1405" s="419">
        <v>0</v>
      </c>
      <c r="K1405" s="419">
        <v>0</v>
      </c>
      <c r="L1405" s="453">
        <v>0</v>
      </c>
      <c r="M1405" s="419">
        <v>0</v>
      </c>
      <c r="N1405" s="419">
        <v>1180.8</v>
      </c>
      <c r="O1405" s="419">
        <f t="shared" ref="O1405:O1414" si="182">C1405</f>
        <v>2952420</v>
      </c>
      <c r="P1405" s="454">
        <v>0</v>
      </c>
      <c r="Q1405" s="419">
        <v>0</v>
      </c>
      <c r="R1405" s="454">
        <v>0</v>
      </c>
      <c r="S1405" s="419">
        <v>0</v>
      </c>
      <c r="T1405" s="453">
        <v>0</v>
      </c>
      <c r="U1405" s="455">
        <v>0</v>
      </c>
      <c r="V1405" s="241"/>
      <c r="W1405" s="241">
        <f t="shared" ref="W1405:W1414" si="183">O1405/N1405</f>
        <v>2500.3556910569105</v>
      </c>
      <c r="X1405" s="241"/>
    </row>
    <row r="1406" spans="1:28" s="15" customFormat="1" ht="15.75">
      <c r="A1406" s="410">
        <v>318</v>
      </c>
      <c r="B1406" s="755" t="s">
        <v>755</v>
      </c>
      <c r="C1406" s="419">
        <f>'часть 1'!L1438</f>
        <v>2857647</v>
      </c>
      <c r="D1406" s="459">
        <v>0</v>
      </c>
      <c r="E1406" s="459">
        <v>0</v>
      </c>
      <c r="F1406" s="459">
        <v>0</v>
      </c>
      <c r="G1406" s="459">
        <v>0</v>
      </c>
      <c r="H1406" s="459">
        <v>0</v>
      </c>
      <c r="I1406" s="459">
        <v>0</v>
      </c>
      <c r="J1406" s="459">
        <v>0</v>
      </c>
      <c r="K1406" s="770">
        <v>0</v>
      </c>
      <c r="L1406" s="453">
        <v>0</v>
      </c>
      <c r="M1406" s="419">
        <v>0</v>
      </c>
      <c r="N1406" s="459">
        <v>1142</v>
      </c>
      <c r="O1406" s="419">
        <f t="shared" si="182"/>
        <v>2857647</v>
      </c>
      <c r="P1406" s="454">
        <v>0</v>
      </c>
      <c r="Q1406" s="419">
        <v>0</v>
      </c>
      <c r="R1406" s="454">
        <v>0</v>
      </c>
      <c r="S1406" s="419">
        <v>0</v>
      </c>
      <c r="T1406" s="453">
        <v>0</v>
      </c>
      <c r="U1406" s="455">
        <v>0</v>
      </c>
      <c r="V1406" s="241"/>
      <c r="W1406" s="241">
        <f t="shared" si="183"/>
        <v>2502.3178633975481</v>
      </c>
      <c r="X1406" s="241"/>
    </row>
    <row r="1407" spans="1:28" s="15" customFormat="1" ht="15.75">
      <c r="A1407" s="410">
        <v>319</v>
      </c>
      <c r="B1407" s="755" t="s">
        <v>759</v>
      </c>
      <c r="C1407" s="419">
        <f>'часть 1'!L1439</f>
        <v>1532580</v>
      </c>
      <c r="D1407" s="419">
        <v>0</v>
      </c>
      <c r="E1407" s="419">
        <v>0</v>
      </c>
      <c r="F1407" s="419">
        <v>0</v>
      </c>
      <c r="G1407" s="419">
        <v>0</v>
      </c>
      <c r="H1407" s="419">
        <v>0</v>
      </c>
      <c r="I1407" s="419">
        <v>0</v>
      </c>
      <c r="J1407" s="419">
        <v>0</v>
      </c>
      <c r="K1407" s="419">
        <v>0</v>
      </c>
      <c r="L1407" s="453">
        <v>0</v>
      </c>
      <c r="M1407" s="419">
        <v>0</v>
      </c>
      <c r="N1407" s="419">
        <v>600</v>
      </c>
      <c r="O1407" s="419">
        <f t="shared" si="182"/>
        <v>1532580</v>
      </c>
      <c r="P1407" s="454">
        <v>0</v>
      </c>
      <c r="Q1407" s="419">
        <v>0</v>
      </c>
      <c r="R1407" s="419">
        <v>0</v>
      </c>
      <c r="S1407" s="419">
        <v>0</v>
      </c>
      <c r="T1407" s="453">
        <v>0</v>
      </c>
      <c r="U1407" s="455">
        <v>0</v>
      </c>
      <c r="V1407" s="241"/>
      <c r="W1407" s="241">
        <f t="shared" si="183"/>
        <v>2554.3000000000002</v>
      </c>
      <c r="X1407" s="241"/>
    </row>
    <row r="1408" spans="1:28" s="15" customFormat="1" ht="15.75">
      <c r="A1408" s="410">
        <v>320</v>
      </c>
      <c r="B1408" s="755" t="s">
        <v>760</v>
      </c>
      <c r="C1408" s="419">
        <f>'часть 1'!L1440</f>
        <v>2654053</v>
      </c>
      <c r="D1408" s="459">
        <v>0</v>
      </c>
      <c r="E1408" s="459">
        <v>0</v>
      </c>
      <c r="F1408" s="459">
        <v>0</v>
      </c>
      <c r="G1408" s="459">
        <v>0</v>
      </c>
      <c r="H1408" s="459">
        <v>0</v>
      </c>
      <c r="I1408" s="459">
        <v>0</v>
      </c>
      <c r="J1408" s="459">
        <v>0</v>
      </c>
      <c r="K1408" s="456">
        <v>0</v>
      </c>
      <c r="L1408" s="416">
        <v>0</v>
      </c>
      <c r="M1408" s="459">
        <v>0</v>
      </c>
      <c r="N1408" s="419">
        <v>1060</v>
      </c>
      <c r="O1408" s="419">
        <f t="shared" si="182"/>
        <v>2654053</v>
      </c>
      <c r="P1408" s="454">
        <v>0</v>
      </c>
      <c r="Q1408" s="419">
        <v>0</v>
      </c>
      <c r="R1408" s="454">
        <v>0</v>
      </c>
      <c r="S1408" s="419">
        <v>0</v>
      </c>
      <c r="T1408" s="453">
        <v>0</v>
      </c>
      <c r="U1408" s="455">
        <v>0</v>
      </c>
      <c r="V1408" s="241"/>
      <c r="W1408" s="241">
        <f t="shared" si="183"/>
        <v>2503.8235849056605</v>
      </c>
      <c r="X1408" s="241"/>
      <c r="Y1408" s="5"/>
      <c r="Z1408" s="5"/>
      <c r="AA1408" s="21"/>
      <c r="AB1408" s="21"/>
    </row>
    <row r="1409" spans="1:28" s="15" customFormat="1" ht="15.75">
      <c r="A1409" s="410">
        <v>321</v>
      </c>
      <c r="B1409" s="755" t="s">
        <v>761</v>
      </c>
      <c r="C1409" s="419">
        <f>'часть 1'!L1441</f>
        <v>2653957</v>
      </c>
      <c r="D1409" s="459">
        <v>0</v>
      </c>
      <c r="E1409" s="459">
        <v>0</v>
      </c>
      <c r="F1409" s="459">
        <v>0</v>
      </c>
      <c r="G1409" s="459">
        <v>0</v>
      </c>
      <c r="H1409" s="459">
        <v>0</v>
      </c>
      <c r="I1409" s="459">
        <v>0</v>
      </c>
      <c r="J1409" s="459">
        <v>0</v>
      </c>
      <c r="K1409" s="456">
        <v>0</v>
      </c>
      <c r="L1409" s="416">
        <v>0</v>
      </c>
      <c r="M1409" s="456">
        <v>0</v>
      </c>
      <c r="N1409" s="419">
        <v>1060</v>
      </c>
      <c r="O1409" s="419">
        <f t="shared" si="182"/>
        <v>2653957</v>
      </c>
      <c r="P1409" s="454">
        <v>0</v>
      </c>
      <c r="Q1409" s="419">
        <v>0</v>
      </c>
      <c r="R1409" s="454">
        <v>0</v>
      </c>
      <c r="S1409" s="419">
        <v>0</v>
      </c>
      <c r="T1409" s="453">
        <v>0</v>
      </c>
      <c r="U1409" s="455">
        <v>0</v>
      </c>
      <c r="V1409" s="241"/>
      <c r="W1409" s="241">
        <f t="shared" si="183"/>
        <v>2503.7330188679243</v>
      </c>
      <c r="X1409" s="241"/>
      <c r="Y1409" s="5"/>
      <c r="Z1409" s="5"/>
      <c r="AA1409" s="21"/>
      <c r="AB1409" s="21"/>
    </row>
    <row r="1410" spans="1:28" s="15" customFormat="1" ht="15.75">
      <c r="A1410" s="410">
        <v>322</v>
      </c>
      <c r="B1410" s="755" t="s">
        <v>762</v>
      </c>
      <c r="C1410" s="419">
        <f>'часть 1'!L1442</f>
        <v>2653904</v>
      </c>
      <c r="D1410" s="459">
        <v>0</v>
      </c>
      <c r="E1410" s="459">
        <v>0</v>
      </c>
      <c r="F1410" s="459">
        <v>0</v>
      </c>
      <c r="G1410" s="459">
        <v>0</v>
      </c>
      <c r="H1410" s="459">
        <v>0</v>
      </c>
      <c r="I1410" s="459">
        <v>0</v>
      </c>
      <c r="J1410" s="459">
        <v>0</v>
      </c>
      <c r="K1410" s="456">
        <v>0</v>
      </c>
      <c r="L1410" s="416">
        <v>0</v>
      </c>
      <c r="M1410" s="459">
        <v>0</v>
      </c>
      <c r="N1410" s="419">
        <v>1060</v>
      </c>
      <c r="O1410" s="419">
        <f t="shared" si="182"/>
        <v>2653904</v>
      </c>
      <c r="P1410" s="454">
        <v>0</v>
      </c>
      <c r="Q1410" s="419">
        <v>0</v>
      </c>
      <c r="R1410" s="454">
        <v>0</v>
      </c>
      <c r="S1410" s="419">
        <v>0</v>
      </c>
      <c r="T1410" s="453">
        <v>0</v>
      </c>
      <c r="U1410" s="455">
        <v>0</v>
      </c>
      <c r="V1410" s="241"/>
      <c r="W1410" s="241">
        <f t="shared" si="183"/>
        <v>2503.6830188679246</v>
      </c>
      <c r="X1410" s="241"/>
      <c r="Y1410" s="5"/>
      <c r="Z1410" s="5"/>
      <c r="AA1410" s="21"/>
      <c r="AB1410" s="21"/>
    </row>
    <row r="1411" spans="1:28" s="15" customFormat="1" ht="15.75">
      <c r="A1411" s="410">
        <v>323</v>
      </c>
      <c r="B1411" s="755" t="s">
        <v>763</v>
      </c>
      <c r="C1411" s="419">
        <f>'часть 1'!L1443</f>
        <v>2653979</v>
      </c>
      <c r="D1411" s="419">
        <v>0</v>
      </c>
      <c r="E1411" s="419">
        <v>0</v>
      </c>
      <c r="F1411" s="419">
        <v>0</v>
      </c>
      <c r="G1411" s="419">
        <v>0</v>
      </c>
      <c r="H1411" s="419">
        <v>0</v>
      </c>
      <c r="I1411" s="419">
        <v>0</v>
      </c>
      <c r="J1411" s="419">
        <v>0</v>
      </c>
      <c r="K1411" s="419">
        <v>0</v>
      </c>
      <c r="L1411" s="453">
        <v>0</v>
      </c>
      <c r="M1411" s="419">
        <v>0</v>
      </c>
      <c r="N1411" s="419">
        <v>1060</v>
      </c>
      <c r="O1411" s="419">
        <f t="shared" si="182"/>
        <v>2653979</v>
      </c>
      <c r="P1411" s="454">
        <v>0</v>
      </c>
      <c r="Q1411" s="419">
        <v>0</v>
      </c>
      <c r="R1411" s="419">
        <v>0</v>
      </c>
      <c r="S1411" s="419">
        <v>0</v>
      </c>
      <c r="T1411" s="453">
        <v>0</v>
      </c>
      <c r="U1411" s="455">
        <v>0</v>
      </c>
      <c r="V1411" s="241"/>
      <c r="W1411" s="241">
        <f t="shared" si="183"/>
        <v>2503.7537735849055</v>
      </c>
      <c r="X1411" s="241"/>
    </row>
    <row r="1412" spans="1:28" s="15" customFormat="1" ht="15.75">
      <c r="A1412" s="410">
        <v>324</v>
      </c>
      <c r="B1412" s="755" t="s">
        <v>764</v>
      </c>
      <c r="C1412" s="419">
        <f>'часть 1'!L1444</f>
        <v>2654063</v>
      </c>
      <c r="D1412" s="459">
        <v>0</v>
      </c>
      <c r="E1412" s="459">
        <v>0</v>
      </c>
      <c r="F1412" s="459">
        <v>0</v>
      </c>
      <c r="G1412" s="459">
        <v>0</v>
      </c>
      <c r="H1412" s="459">
        <v>0</v>
      </c>
      <c r="I1412" s="459">
        <v>0</v>
      </c>
      <c r="J1412" s="459">
        <v>0</v>
      </c>
      <c r="K1412" s="456">
        <v>0</v>
      </c>
      <c r="L1412" s="416">
        <v>0</v>
      </c>
      <c r="M1412" s="412">
        <v>0</v>
      </c>
      <c r="N1412" s="419">
        <v>1060</v>
      </c>
      <c r="O1412" s="419">
        <f t="shared" si="182"/>
        <v>2654063</v>
      </c>
      <c r="P1412" s="454">
        <v>0</v>
      </c>
      <c r="Q1412" s="419">
        <v>0</v>
      </c>
      <c r="R1412" s="454">
        <v>0</v>
      </c>
      <c r="S1412" s="419">
        <v>0</v>
      </c>
      <c r="T1412" s="453">
        <v>0</v>
      </c>
      <c r="U1412" s="455">
        <v>0</v>
      </c>
      <c r="V1412" s="241"/>
      <c r="W1412" s="241">
        <f t="shared" si="183"/>
        <v>2503.8330188679247</v>
      </c>
      <c r="X1412" s="241"/>
      <c r="Y1412" s="5"/>
      <c r="Z1412" s="5"/>
      <c r="AA1412" s="21"/>
      <c r="AB1412" s="21"/>
    </row>
    <row r="1413" spans="1:28" s="15" customFormat="1" ht="15.75">
      <c r="A1413" s="410">
        <v>325</v>
      </c>
      <c r="B1413" s="755" t="s">
        <v>765</v>
      </c>
      <c r="C1413" s="419">
        <f>'часть 1'!L1445</f>
        <v>2653996</v>
      </c>
      <c r="D1413" s="459">
        <v>0</v>
      </c>
      <c r="E1413" s="459">
        <v>0</v>
      </c>
      <c r="F1413" s="459">
        <v>0</v>
      </c>
      <c r="G1413" s="459">
        <v>0</v>
      </c>
      <c r="H1413" s="459">
        <v>0</v>
      </c>
      <c r="I1413" s="459">
        <v>0</v>
      </c>
      <c r="J1413" s="459">
        <v>0</v>
      </c>
      <c r="K1413" s="456">
        <v>0</v>
      </c>
      <c r="L1413" s="416">
        <v>0</v>
      </c>
      <c r="M1413" s="459">
        <v>0</v>
      </c>
      <c r="N1413" s="419">
        <v>1060</v>
      </c>
      <c r="O1413" s="419">
        <f t="shared" si="182"/>
        <v>2653996</v>
      </c>
      <c r="P1413" s="454">
        <v>0</v>
      </c>
      <c r="Q1413" s="419">
        <v>0</v>
      </c>
      <c r="R1413" s="454">
        <v>0</v>
      </c>
      <c r="S1413" s="419">
        <v>0</v>
      </c>
      <c r="T1413" s="453">
        <v>0</v>
      </c>
      <c r="U1413" s="455">
        <v>0</v>
      </c>
      <c r="V1413" s="241"/>
      <c r="W1413" s="241">
        <f t="shared" si="183"/>
        <v>2503.7698113207548</v>
      </c>
      <c r="X1413" s="241"/>
      <c r="Y1413" s="5"/>
      <c r="Z1413" s="5"/>
      <c r="AA1413" s="21"/>
      <c r="AB1413" s="21"/>
    </row>
    <row r="1414" spans="1:28" s="15" customFormat="1" ht="15.75">
      <c r="A1414" s="410">
        <v>326</v>
      </c>
      <c r="B1414" s="755" t="s">
        <v>766</v>
      </c>
      <c r="C1414" s="419">
        <f>'часть 1'!L1446</f>
        <v>2653914</v>
      </c>
      <c r="D1414" s="459">
        <v>0</v>
      </c>
      <c r="E1414" s="459">
        <v>0</v>
      </c>
      <c r="F1414" s="459">
        <v>0</v>
      </c>
      <c r="G1414" s="459">
        <v>0</v>
      </c>
      <c r="H1414" s="459">
        <v>0</v>
      </c>
      <c r="I1414" s="459">
        <v>0</v>
      </c>
      <c r="J1414" s="459">
        <v>0</v>
      </c>
      <c r="K1414" s="456">
        <v>0</v>
      </c>
      <c r="L1414" s="416">
        <v>0</v>
      </c>
      <c r="M1414" s="456">
        <v>0</v>
      </c>
      <c r="N1414" s="419">
        <v>1060</v>
      </c>
      <c r="O1414" s="419">
        <f t="shared" si="182"/>
        <v>2653914</v>
      </c>
      <c r="P1414" s="454">
        <v>0</v>
      </c>
      <c r="Q1414" s="419">
        <v>0</v>
      </c>
      <c r="R1414" s="454">
        <v>0</v>
      </c>
      <c r="S1414" s="419">
        <v>0</v>
      </c>
      <c r="T1414" s="453">
        <v>0</v>
      </c>
      <c r="U1414" s="455">
        <v>0</v>
      </c>
      <c r="V1414" s="241"/>
      <c r="W1414" s="241">
        <f t="shared" si="183"/>
        <v>2503.6924528301888</v>
      </c>
      <c r="X1414" s="241"/>
      <c r="Y1414" s="5"/>
      <c r="Z1414" s="5"/>
      <c r="AA1414" s="21"/>
      <c r="AB1414" s="21"/>
    </row>
    <row r="1415" spans="1:28" s="15" customFormat="1">
      <c r="A1415" s="410"/>
      <c r="B1415" s="420"/>
      <c r="C1415" s="459"/>
      <c r="D1415" s="459"/>
      <c r="E1415" s="459"/>
      <c r="F1415" s="459"/>
      <c r="G1415" s="459"/>
      <c r="H1415" s="459"/>
      <c r="I1415" s="459"/>
      <c r="J1415" s="459"/>
      <c r="K1415" s="456"/>
      <c r="L1415" s="416"/>
      <c r="M1415" s="456"/>
      <c r="N1415" s="419"/>
      <c r="O1415" s="419"/>
      <c r="P1415" s="454"/>
      <c r="Q1415" s="419"/>
      <c r="R1415" s="454"/>
      <c r="S1415" s="419"/>
      <c r="T1415" s="453"/>
      <c r="U1415" s="455"/>
      <c r="V1415" s="241"/>
      <c r="W1415" s="241"/>
      <c r="X1415" s="241"/>
      <c r="Y1415" s="5"/>
      <c r="Z1415" s="5"/>
      <c r="AA1415" s="21"/>
      <c r="AB1415" s="21"/>
    </row>
    <row r="1416" spans="1:28" s="15" customFormat="1">
      <c r="A1416" s="410"/>
      <c r="B1416" s="420"/>
      <c r="C1416" s="459"/>
      <c r="D1416" s="459"/>
      <c r="E1416" s="459"/>
      <c r="F1416" s="459"/>
      <c r="G1416" s="459"/>
      <c r="H1416" s="459"/>
      <c r="I1416" s="459"/>
      <c r="J1416" s="459"/>
      <c r="K1416" s="456"/>
      <c r="L1416" s="416"/>
      <c r="M1416" s="459"/>
      <c r="N1416" s="419"/>
      <c r="O1416" s="419"/>
      <c r="P1416" s="454"/>
      <c r="Q1416" s="419"/>
      <c r="R1416" s="454"/>
      <c r="S1416" s="419"/>
      <c r="T1416" s="453"/>
      <c r="U1416" s="455"/>
      <c r="V1416" s="241"/>
      <c r="W1416" s="241"/>
      <c r="X1416" s="241"/>
      <c r="Y1416" s="5"/>
      <c r="Z1416" s="5"/>
      <c r="AA1416" s="21"/>
      <c r="AB1416" s="21"/>
    </row>
    <row r="1417" spans="1:28" s="15" customFormat="1">
      <c r="A1417" s="410"/>
      <c r="B1417" s="581"/>
      <c r="C1417" s="419"/>
      <c r="D1417" s="419"/>
      <c r="E1417" s="419"/>
      <c r="F1417" s="419"/>
      <c r="G1417" s="419"/>
      <c r="H1417" s="419"/>
      <c r="I1417" s="419"/>
      <c r="J1417" s="419"/>
      <c r="K1417" s="419"/>
      <c r="L1417" s="453"/>
      <c r="M1417" s="419"/>
      <c r="N1417" s="419"/>
      <c r="O1417" s="419"/>
      <c r="P1417" s="454"/>
      <c r="Q1417" s="419"/>
      <c r="R1417" s="419"/>
      <c r="S1417" s="419"/>
      <c r="T1417" s="453"/>
      <c r="U1417" s="455"/>
      <c r="V1417" s="241"/>
      <c r="W1417" s="241"/>
      <c r="X1417" s="241"/>
    </row>
    <row r="1418" spans="1:28" ht="30">
      <c r="A1418" s="166"/>
      <c r="B1418" s="180" t="s">
        <v>132</v>
      </c>
      <c r="C1418" s="177">
        <f>C1419</f>
        <v>1854126</v>
      </c>
      <c r="D1418" s="177">
        <f t="shared" ref="D1418:U1418" si="184">D1419</f>
        <v>0</v>
      </c>
      <c r="E1418" s="177">
        <f t="shared" si="184"/>
        <v>0</v>
      </c>
      <c r="F1418" s="177">
        <f t="shared" si="184"/>
        <v>0</v>
      </c>
      <c r="G1418" s="177">
        <f t="shared" si="184"/>
        <v>0</v>
      </c>
      <c r="H1418" s="177">
        <f t="shared" si="184"/>
        <v>0</v>
      </c>
      <c r="I1418" s="177">
        <f t="shared" si="184"/>
        <v>0</v>
      </c>
      <c r="J1418" s="177">
        <f t="shared" si="184"/>
        <v>0</v>
      </c>
      <c r="K1418" s="177">
        <f t="shared" si="184"/>
        <v>0</v>
      </c>
      <c r="L1418" s="177">
        <f t="shared" si="184"/>
        <v>0</v>
      </c>
      <c r="M1418" s="177">
        <f t="shared" si="184"/>
        <v>0</v>
      </c>
      <c r="N1418" s="177">
        <f t="shared" si="184"/>
        <v>581</v>
      </c>
      <c r="O1418" s="177">
        <f t="shared" si="184"/>
        <v>1854126</v>
      </c>
      <c r="P1418" s="177">
        <f t="shared" si="184"/>
        <v>0</v>
      </c>
      <c r="Q1418" s="177">
        <f t="shared" si="184"/>
        <v>0</v>
      </c>
      <c r="R1418" s="177">
        <f t="shared" si="184"/>
        <v>0</v>
      </c>
      <c r="S1418" s="177">
        <f t="shared" si="184"/>
        <v>0</v>
      </c>
      <c r="T1418" s="177">
        <f t="shared" si="184"/>
        <v>0</v>
      </c>
      <c r="U1418" s="177">
        <f t="shared" si="184"/>
        <v>0</v>
      </c>
      <c r="V1418" s="241"/>
      <c r="W1418" s="241"/>
      <c r="X1418" s="241"/>
    </row>
    <row r="1419" spans="1:28" ht="30">
      <c r="A1419" s="410">
        <v>331</v>
      </c>
      <c r="B1419" s="420" t="s">
        <v>702</v>
      </c>
      <c r="C1419" s="419">
        <f>'часть 1'!L1448</f>
        <v>1854126</v>
      </c>
      <c r="D1419" s="419">
        <v>0</v>
      </c>
      <c r="E1419" s="419">
        <v>0</v>
      </c>
      <c r="F1419" s="419">
        <v>0</v>
      </c>
      <c r="G1419" s="419">
        <v>0</v>
      </c>
      <c r="H1419" s="419">
        <v>0</v>
      </c>
      <c r="I1419" s="419">
        <v>0</v>
      </c>
      <c r="J1419" s="419">
        <v>0</v>
      </c>
      <c r="K1419" s="419">
        <v>0</v>
      </c>
      <c r="L1419" s="453">
        <v>0</v>
      </c>
      <c r="M1419" s="419">
        <v>0</v>
      </c>
      <c r="N1419" s="419">
        <v>581</v>
      </c>
      <c r="O1419" s="419">
        <v>1854126</v>
      </c>
      <c r="P1419" s="454">
        <v>0</v>
      </c>
      <c r="Q1419" s="419">
        <v>0</v>
      </c>
      <c r="R1419" s="454">
        <v>0</v>
      </c>
      <c r="S1419" s="419">
        <v>0</v>
      </c>
      <c r="T1419" s="453">
        <v>0</v>
      </c>
      <c r="U1419" s="455">
        <v>0</v>
      </c>
      <c r="V1419" s="241"/>
      <c r="W1419" s="241">
        <f>O1419/N1419</f>
        <v>3191.2667814113597</v>
      </c>
      <c r="X1419" s="241"/>
    </row>
    <row r="1420" spans="1:28" ht="30">
      <c r="A1420" s="166"/>
      <c r="B1420" s="180" t="s">
        <v>110</v>
      </c>
      <c r="C1420" s="177">
        <f>C1421</f>
        <v>2569441</v>
      </c>
      <c r="D1420" s="177">
        <f t="shared" ref="D1420:U1420" si="185">D1421</f>
        <v>0</v>
      </c>
      <c r="E1420" s="177">
        <f t="shared" si="185"/>
        <v>0</v>
      </c>
      <c r="F1420" s="177">
        <f t="shared" si="185"/>
        <v>0</v>
      </c>
      <c r="G1420" s="177">
        <f t="shared" si="185"/>
        <v>0</v>
      </c>
      <c r="H1420" s="177">
        <f t="shared" si="185"/>
        <v>0</v>
      </c>
      <c r="I1420" s="177">
        <f t="shared" si="185"/>
        <v>0</v>
      </c>
      <c r="J1420" s="177">
        <f t="shared" si="185"/>
        <v>0</v>
      </c>
      <c r="K1420" s="177">
        <f t="shared" si="185"/>
        <v>0</v>
      </c>
      <c r="L1420" s="177">
        <f t="shared" si="185"/>
        <v>0</v>
      </c>
      <c r="M1420" s="177">
        <f t="shared" si="185"/>
        <v>0</v>
      </c>
      <c r="N1420" s="177">
        <f t="shared" si="185"/>
        <v>802.72</v>
      </c>
      <c r="O1420" s="177">
        <f t="shared" si="185"/>
        <v>2569441</v>
      </c>
      <c r="P1420" s="177">
        <f t="shared" si="185"/>
        <v>0</v>
      </c>
      <c r="Q1420" s="177">
        <f t="shared" si="185"/>
        <v>0</v>
      </c>
      <c r="R1420" s="177">
        <f t="shared" si="185"/>
        <v>0</v>
      </c>
      <c r="S1420" s="177">
        <f t="shared" si="185"/>
        <v>0</v>
      </c>
      <c r="T1420" s="177">
        <f t="shared" si="185"/>
        <v>0</v>
      </c>
      <c r="U1420" s="177">
        <f t="shared" si="185"/>
        <v>0</v>
      </c>
      <c r="V1420" s="241"/>
      <c r="W1420" s="241"/>
      <c r="X1420" s="241"/>
    </row>
    <row r="1421" spans="1:28">
      <c r="A1421" s="410">
        <v>332</v>
      </c>
      <c r="B1421" s="461" t="s">
        <v>477</v>
      </c>
      <c r="C1421" s="419">
        <v>2569441</v>
      </c>
      <c r="D1421" s="419">
        <v>0</v>
      </c>
      <c r="E1421" s="419">
        <v>0</v>
      </c>
      <c r="F1421" s="419">
        <v>0</v>
      </c>
      <c r="G1421" s="419">
        <v>0</v>
      </c>
      <c r="H1421" s="419">
        <v>0</v>
      </c>
      <c r="I1421" s="419">
        <v>0</v>
      </c>
      <c r="J1421" s="419">
        <v>0</v>
      </c>
      <c r="K1421" s="419">
        <v>0</v>
      </c>
      <c r="L1421" s="453">
        <v>0</v>
      </c>
      <c r="M1421" s="419">
        <v>0</v>
      </c>
      <c r="N1421" s="412">
        <v>802.72</v>
      </c>
      <c r="O1421" s="419">
        <v>2569441</v>
      </c>
      <c r="P1421" s="454">
        <v>0</v>
      </c>
      <c r="Q1421" s="419">
        <v>0</v>
      </c>
      <c r="R1421" s="454">
        <v>0</v>
      </c>
      <c r="S1421" s="419">
        <v>0</v>
      </c>
      <c r="T1421" s="453">
        <v>0</v>
      </c>
      <c r="U1421" s="455">
        <v>0</v>
      </c>
      <c r="V1421" s="241"/>
      <c r="W1421" s="241">
        <f>O1421/N1421</f>
        <v>3200.9181283635639</v>
      </c>
      <c r="X1421" s="241"/>
    </row>
    <row r="1422" spans="1:28">
      <c r="A1422" s="410"/>
      <c r="B1422" s="420"/>
      <c r="C1422" s="419"/>
      <c r="D1422" s="419"/>
      <c r="E1422" s="419"/>
      <c r="F1422" s="419"/>
      <c r="G1422" s="419"/>
      <c r="H1422" s="419"/>
      <c r="I1422" s="419"/>
      <c r="J1422" s="419"/>
      <c r="K1422" s="419"/>
      <c r="L1422" s="453"/>
      <c r="M1422" s="419"/>
      <c r="N1422" s="419"/>
      <c r="O1422" s="419"/>
      <c r="P1422" s="454"/>
      <c r="Q1422" s="419"/>
      <c r="R1422" s="454"/>
      <c r="S1422" s="419"/>
      <c r="T1422" s="453"/>
      <c r="U1422" s="455"/>
      <c r="V1422" s="241"/>
      <c r="W1422" s="241"/>
      <c r="X1422" s="241"/>
    </row>
    <row r="1423" spans="1:28" ht="30">
      <c r="A1423" s="410"/>
      <c r="B1423" s="420" t="s">
        <v>128</v>
      </c>
      <c r="C1423" s="419">
        <f>C1424+C1425+C1426</f>
        <v>9681670</v>
      </c>
      <c r="D1423" s="419">
        <f t="shared" ref="D1423:U1423" si="186">D1424+D1425+D1426</f>
        <v>0</v>
      </c>
      <c r="E1423" s="419">
        <f t="shared" si="186"/>
        <v>0</v>
      </c>
      <c r="F1423" s="419">
        <f t="shared" si="186"/>
        <v>0</v>
      </c>
      <c r="G1423" s="419">
        <f t="shared" si="186"/>
        <v>0</v>
      </c>
      <c r="H1423" s="419">
        <f t="shared" si="186"/>
        <v>0</v>
      </c>
      <c r="I1423" s="419">
        <f t="shared" si="186"/>
        <v>0</v>
      </c>
      <c r="J1423" s="419">
        <f t="shared" si="186"/>
        <v>0</v>
      </c>
      <c r="K1423" s="419">
        <f t="shared" si="186"/>
        <v>0</v>
      </c>
      <c r="L1423" s="419">
        <f t="shared" si="186"/>
        <v>0</v>
      </c>
      <c r="M1423" s="419">
        <f t="shared" si="186"/>
        <v>0</v>
      </c>
      <c r="N1423" s="419">
        <f t="shared" si="186"/>
        <v>3875.7</v>
      </c>
      <c r="O1423" s="419">
        <f t="shared" si="186"/>
        <v>9681670</v>
      </c>
      <c r="P1423" s="419">
        <f t="shared" si="186"/>
        <v>0</v>
      </c>
      <c r="Q1423" s="419">
        <f t="shared" si="186"/>
        <v>0</v>
      </c>
      <c r="R1423" s="419">
        <f t="shared" si="186"/>
        <v>0</v>
      </c>
      <c r="S1423" s="419">
        <f t="shared" si="186"/>
        <v>0</v>
      </c>
      <c r="T1423" s="419">
        <f t="shared" si="186"/>
        <v>0</v>
      </c>
      <c r="U1423" s="419">
        <f t="shared" si="186"/>
        <v>0</v>
      </c>
      <c r="V1423" s="241"/>
      <c r="W1423" s="241"/>
      <c r="X1423" s="241"/>
    </row>
    <row r="1424" spans="1:28" customFormat="1" ht="22.9" customHeight="1">
      <c r="A1424" s="410">
        <v>334</v>
      </c>
      <c r="B1424" s="458" t="s">
        <v>729</v>
      </c>
      <c r="C1424" s="459">
        <f>'часть 1'!L1452</f>
        <v>2026223</v>
      </c>
      <c r="D1424" s="459">
        <v>0</v>
      </c>
      <c r="E1424" s="459">
        <v>0</v>
      </c>
      <c r="F1424" s="459">
        <v>0</v>
      </c>
      <c r="G1424" s="459">
        <v>0</v>
      </c>
      <c r="H1424" s="459">
        <v>0</v>
      </c>
      <c r="I1424" s="459">
        <v>0</v>
      </c>
      <c r="J1424" s="459">
        <v>0</v>
      </c>
      <c r="K1424" s="459">
        <v>0</v>
      </c>
      <c r="L1424" s="460">
        <v>0</v>
      </c>
      <c r="M1424" s="459">
        <v>0</v>
      </c>
      <c r="N1424" s="412">
        <v>807.7</v>
      </c>
      <c r="O1424" s="459">
        <v>2026223</v>
      </c>
      <c r="P1424" s="460">
        <v>0</v>
      </c>
      <c r="Q1424" s="459">
        <v>0</v>
      </c>
      <c r="R1424" s="460">
        <v>0</v>
      </c>
      <c r="S1424" s="459">
        <v>0</v>
      </c>
      <c r="T1424" s="565">
        <v>0</v>
      </c>
      <c r="U1424" s="566">
        <v>0</v>
      </c>
      <c r="V1424" s="241"/>
      <c r="W1424" s="241">
        <f>O1424/N1424</f>
        <v>2508.6331558747056</v>
      </c>
      <c r="X1424" s="241"/>
    </row>
    <row r="1425" spans="1:24" customFormat="1" ht="31.15" customHeight="1">
      <c r="A1425" s="410">
        <v>335</v>
      </c>
      <c r="B1425" s="458" t="s">
        <v>730</v>
      </c>
      <c r="C1425" s="459">
        <f>'часть 1'!L1453</f>
        <v>4351244</v>
      </c>
      <c r="D1425" s="459">
        <v>0</v>
      </c>
      <c r="E1425" s="459">
        <v>0</v>
      </c>
      <c r="F1425" s="459">
        <v>0</v>
      </c>
      <c r="G1425" s="459">
        <v>0</v>
      </c>
      <c r="H1425" s="459">
        <v>0</v>
      </c>
      <c r="I1425" s="459">
        <v>0</v>
      </c>
      <c r="J1425" s="459">
        <v>0</v>
      </c>
      <c r="K1425" s="459">
        <v>0</v>
      </c>
      <c r="L1425" s="460">
        <v>0</v>
      </c>
      <c r="M1425" s="459">
        <v>0</v>
      </c>
      <c r="N1425" s="412">
        <v>1745</v>
      </c>
      <c r="O1425" s="459">
        <v>4351244</v>
      </c>
      <c r="P1425" s="460">
        <v>0</v>
      </c>
      <c r="Q1425" s="459">
        <v>0</v>
      </c>
      <c r="R1425" s="460">
        <v>0</v>
      </c>
      <c r="S1425" s="459">
        <v>0</v>
      </c>
      <c r="T1425" s="565">
        <v>0</v>
      </c>
      <c r="U1425" s="566">
        <v>0</v>
      </c>
      <c r="V1425" s="241"/>
      <c r="W1425" s="241">
        <f>O1425/N1425</f>
        <v>2493.5495702005733</v>
      </c>
      <c r="X1425" s="241"/>
    </row>
    <row r="1426" spans="1:24" customFormat="1" ht="21.6" customHeight="1">
      <c r="A1426" s="410">
        <v>336</v>
      </c>
      <c r="B1426" s="458" t="s">
        <v>731</v>
      </c>
      <c r="C1426" s="459">
        <f>'часть 1'!L1454</f>
        <v>3304203</v>
      </c>
      <c r="D1426" s="459">
        <v>0</v>
      </c>
      <c r="E1426" s="459">
        <v>0</v>
      </c>
      <c r="F1426" s="459">
        <v>0</v>
      </c>
      <c r="G1426" s="459">
        <v>0</v>
      </c>
      <c r="H1426" s="459">
        <v>0</v>
      </c>
      <c r="I1426" s="459">
        <v>0</v>
      </c>
      <c r="J1426" s="459">
        <v>0</v>
      </c>
      <c r="K1426" s="459">
        <v>0</v>
      </c>
      <c r="L1426" s="460">
        <v>0</v>
      </c>
      <c r="M1426" s="459">
        <v>0</v>
      </c>
      <c r="N1426" s="412">
        <v>1323</v>
      </c>
      <c r="O1426" s="459">
        <v>3304203</v>
      </c>
      <c r="P1426" s="460">
        <v>0</v>
      </c>
      <c r="Q1426" s="459">
        <v>0</v>
      </c>
      <c r="R1426" s="460">
        <v>0</v>
      </c>
      <c r="S1426" s="459">
        <v>0</v>
      </c>
      <c r="T1426" s="565">
        <v>0</v>
      </c>
      <c r="U1426" s="566">
        <v>0</v>
      </c>
      <c r="V1426" s="241"/>
      <c r="W1426" s="241">
        <f>O1426/N1426</f>
        <v>2497.5079365079364</v>
      </c>
      <c r="X1426" s="241"/>
    </row>
    <row r="1427" spans="1:24" customFormat="1">
      <c r="A1427" s="410"/>
      <c r="B1427" s="458"/>
      <c r="C1427" s="459"/>
      <c r="D1427" s="459"/>
      <c r="E1427" s="459"/>
      <c r="F1427" s="459"/>
      <c r="G1427" s="459"/>
      <c r="H1427" s="459"/>
      <c r="I1427" s="459"/>
      <c r="J1427" s="459"/>
      <c r="K1427" s="459"/>
      <c r="L1427" s="460"/>
      <c r="M1427" s="459"/>
      <c r="N1427" s="412"/>
      <c r="O1427" s="459"/>
      <c r="P1427" s="460"/>
      <c r="Q1427" s="459"/>
      <c r="R1427" s="460"/>
      <c r="S1427" s="459"/>
      <c r="T1427" s="565"/>
      <c r="U1427" s="566"/>
      <c r="V1427" s="241"/>
      <c r="W1427" s="241"/>
      <c r="X1427" s="241"/>
    </row>
    <row r="1428" spans="1:24" customFormat="1">
      <c r="A1428" s="410"/>
      <c r="B1428" s="458"/>
      <c r="C1428" s="459"/>
      <c r="D1428" s="459"/>
      <c r="E1428" s="459"/>
      <c r="F1428" s="459"/>
      <c r="G1428" s="459"/>
      <c r="H1428" s="459"/>
      <c r="I1428" s="459"/>
      <c r="J1428" s="459"/>
      <c r="K1428" s="459"/>
      <c r="L1428" s="460"/>
      <c r="M1428" s="459"/>
      <c r="N1428" s="412"/>
      <c r="O1428" s="459"/>
      <c r="P1428" s="460"/>
      <c r="Q1428" s="459"/>
      <c r="R1428" s="460"/>
      <c r="S1428" s="459"/>
      <c r="T1428" s="565"/>
      <c r="U1428" s="566"/>
      <c r="V1428" s="241"/>
      <c r="W1428" s="241"/>
      <c r="X1428" s="241"/>
    </row>
    <row r="1429" spans="1:24" customFormat="1">
      <c r="A1429" s="410"/>
      <c r="B1429" s="458"/>
      <c r="C1429" s="459"/>
      <c r="D1429" s="459"/>
      <c r="E1429" s="459"/>
      <c r="F1429" s="459"/>
      <c r="G1429" s="459"/>
      <c r="H1429" s="459"/>
      <c r="I1429" s="459"/>
      <c r="J1429" s="459"/>
      <c r="K1429" s="459"/>
      <c r="L1429" s="460"/>
      <c r="M1429" s="459"/>
      <c r="N1429" s="412"/>
      <c r="O1429" s="459"/>
      <c r="P1429" s="460"/>
      <c r="Q1429" s="459"/>
      <c r="R1429" s="460"/>
      <c r="S1429" s="459"/>
      <c r="T1429" s="565"/>
      <c r="U1429" s="566"/>
      <c r="V1429" s="241"/>
      <c r="W1429" s="241"/>
      <c r="X1429" s="241"/>
    </row>
    <row r="1430" spans="1:24" ht="30">
      <c r="A1430" s="166"/>
      <c r="B1430" s="180" t="s">
        <v>994</v>
      </c>
      <c r="C1430" s="177">
        <f>'часть 1'!L1458</f>
        <v>0</v>
      </c>
      <c r="D1430" s="177">
        <v>0</v>
      </c>
      <c r="E1430" s="177">
        <v>0</v>
      </c>
      <c r="F1430" s="177">
        <v>0</v>
      </c>
      <c r="G1430" s="177">
        <v>0</v>
      </c>
      <c r="H1430" s="177">
        <v>0</v>
      </c>
      <c r="I1430" s="177">
        <v>0</v>
      </c>
      <c r="J1430" s="177">
        <v>0</v>
      </c>
      <c r="K1430" s="177">
        <v>0</v>
      </c>
      <c r="L1430" s="178">
        <v>0</v>
      </c>
      <c r="M1430" s="177">
        <v>0</v>
      </c>
      <c r="N1430" s="177">
        <v>0</v>
      </c>
      <c r="O1430" s="177">
        <v>0</v>
      </c>
      <c r="P1430" s="179">
        <v>0</v>
      </c>
      <c r="Q1430" s="177">
        <v>0</v>
      </c>
      <c r="R1430" s="177">
        <v>0</v>
      </c>
      <c r="S1430" s="177">
        <v>0</v>
      </c>
      <c r="T1430" s="178">
        <v>0</v>
      </c>
      <c r="U1430" s="248">
        <v>0</v>
      </c>
      <c r="V1430" s="241"/>
      <c r="W1430" s="241"/>
      <c r="X1430" s="241"/>
    </row>
    <row r="1431" spans="1:24" ht="30">
      <c r="A1431" s="166"/>
      <c r="B1431" s="180" t="s">
        <v>111</v>
      </c>
      <c r="C1431" s="177">
        <v>657835.92000000004</v>
      </c>
      <c r="D1431" s="177"/>
      <c r="E1431" s="177"/>
      <c r="F1431" s="177"/>
      <c r="G1431" s="177"/>
      <c r="H1431" s="177"/>
      <c r="I1431" s="177"/>
      <c r="J1431" s="177"/>
      <c r="K1431" s="177">
        <v>0</v>
      </c>
      <c r="L1431" s="179">
        <v>0</v>
      </c>
      <c r="M1431" s="177">
        <v>0</v>
      </c>
      <c r="N1431" s="177">
        <f>N1432</f>
        <v>396</v>
      </c>
      <c r="O1431" s="177">
        <v>657835.92000000004</v>
      </c>
      <c r="P1431" s="179">
        <v>0</v>
      </c>
      <c r="Q1431" s="205">
        <v>0</v>
      </c>
      <c r="R1431" s="179">
        <v>0</v>
      </c>
      <c r="S1431" s="205">
        <v>0</v>
      </c>
      <c r="T1431" s="178">
        <v>0</v>
      </c>
      <c r="U1431" s="251">
        <v>0</v>
      </c>
      <c r="V1431" s="241"/>
      <c r="W1431" s="241"/>
      <c r="X1431" s="241"/>
    </row>
    <row r="1432" spans="1:24" ht="30">
      <c r="A1432" s="166">
        <v>341</v>
      </c>
      <c r="B1432" s="180" t="s">
        <v>453</v>
      </c>
      <c r="C1432" s="177">
        <v>657835.92000000004</v>
      </c>
      <c r="D1432" s="177"/>
      <c r="E1432" s="177"/>
      <c r="F1432" s="177"/>
      <c r="G1432" s="177"/>
      <c r="H1432" s="177"/>
      <c r="I1432" s="177"/>
      <c r="J1432" s="177"/>
      <c r="K1432" s="177">
        <v>0</v>
      </c>
      <c r="L1432" s="178">
        <v>0</v>
      </c>
      <c r="M1432" s="177">
        <v>0</v>
      </c>
      <c r="N1432" s="167">
        <v>396</v>
      </c>
      <c r="O1432" s="177">
        <v>657835.92000000004</v>
      </c>
      <c r="P1432" s="179">
        <v>0</v>
      </c>
      <c r="Q1432" s="177">
        <v>0</v>
      </c>
      <c r="R1432" s="179">
        <v>0</v>
      </c>
      <c r="S1432" s="177">
        <v>0</v>
      </c>
      <c r="T1432" s="178">
        <v>0</v>
      </c>
      <c r="U1432" s="248">
        <v>0</v>
      </c>
      <c r="V1432" s="241"/>
      <c r="W1432" s="241"/>
      <c r="X1432" s="241"/>
    </row>
    <row r="1433" spans="1:24" ht="30">
      <c r="A1433" s="410"/>
      <c r="B1433" s="420" t="s">
        <v>129</v>
      </c>
      <c r="C1433" s="419">
        <f>C1434</f>
        <v>1586955</v>
      </c>
      <c r="D1433" s="419">
        <f t="shared" ref="D1433:U1433" si="187">D1434</f>
        <v>0</v>
      </c>
      <c r="E1433" s="419">
        <f t="shared" si="187"/>
        <v>0</v>
      </c>
      <c r="F1433" s="419">
        <f t="shared" si="187"/>
        <v>0</v>
      </c>
      <c r="G1433" s="419">
        <f t="shared" si="187"/>
        <v>0</v>
      </c>
      <c r="H1433" s="419">
        <f t="shared" si="187"/>
        <v>0</v>
      </c>
      <c r="I1433" s="419">
        <f t="shared" si="187"/>
        <v>0</v>
      </c>
      <c r="J1433" s="419">
        <f t="shared" si="187"/>
        <v>0</v>
      </c>
      <c r="K1433" s="419">
        <f t="shared" si="187"/>
        <v>0</v>
      </c>
      <c r="L1433" s="419">
        <f t="shared" si="187"/>
        <v>0</v>
      </c>
      <c r="M1433" s="419">
        <f t="shared" si="187"/>
        <v>0</v>
      </c>
      <c r="N1433" s="419">
        <f t="shared" si="187"/>
        <v>491.7</v>
      </c>
      <c r="O1433" s="419">
        <f t="shared" si="187"/>
        <v>1586955</v>
      </c>
      <c r="P1433" s="419">
        <f t="shared" si="187"/>
        <v>0</v>
      </c>
      <c r="Q1433" s="419">
        <f t="shared" si="187"/>
        <v>0</v>
      </c>
      <c r="R1433" s="419">
        <f t="shared" si="187"/>
        <v>0</v>
      </c>
      <c r="S1433" s="419">
        <f t="shared" si="187"/>
        <v>0</v>
      </c>
      <c r="T1433" s="419">
        <f t="shared" si="187"/>
        <v>0</v>
      </c>
      <c r="U1433" s="419">
        <f t="shared" si="187"/>
        <v>0</v>
      </c>
      <c r="V1433" s="241"/>
      <c r="W1433" s="241"/>
      <c r="X1433" s="241"/>
    </row>
    <row r="1434" spans="1:24" s="47" customFormat="1" ht="30">
      <c r="A1434" s="410">
        <v>342</v>
      </c>
      <c r="B1434" s="449" t="s">
        <v>684</v>
      </c>
      <c r="C1434" s="450">
        <v>1586955</v>
      </c>
      <c r="D1434" s="450">
        <v>0</v>
      </c>
      <c r="E1434" s="450">
        <v>0</v>
      </c>
      <c r="F1434" s="450">
        <v>0</v>
      </c>
      <c r="G1434" s="450">
        <v>0</v>
      </c>
      <c r="H1434" s="450">
        <v>0</v>
      </c>
      <c r="I1434" s="450">
        <v>0</v>
      </c>
      <c r="J1434" s="450">
        <v>0</v>
      </c>
      <c r="K1434" s="419">
        <v>0</v>
      </c>
      <c r="L1434" s="416">
        <v>0</v>
      </c>
      <c r="M1434" s="419">
        <v>0</v>
      </c>
      <c r="N1434" s="412">
        <v>491.7</v>
      </c>
      <c r="O1434" s="450">
        <v>1586955</v>
      </c>
      <c r="P1434" s="500">
        <v>0</v>
      </c>
      <c r="Q1434" s="419">
        <v>0</v>
      </c>
      <c r="R1434" s="500">
        <v>0</v>
      </c>
      <c r="S1434" s="419">
        <v>0</v>
      </c>
      <c r="T1434" s="416">
        <v>0</v>
      </c>
      <c r="U1434" s="455">
        <v>0</v>
      </c>
      <c r="V1434" s="241"/>
      <c r="W1434" s="241">
        <f>O1434/N1434</f>
        <v>3227.4862721171448</v>
      </c>
      <c r="X1434" s="241"/>
    </row>
    <row r="1435" spans="1:24" s="47" customFormat="1">
      <c r="A1435" s="410"/>
      <c r="B1435" s="449"/>
      <c r="C1435" s="450"/>
      <c r="D1435" s="450"/>
      <c r="E1435" s="450"/>
      <c r="F1435" s="450"/>
      <c r="G1435" s="450"/>
      <c r="H1435" s="450"/>
      <c r="I1435" s="450"/>
      <c r="J1435" s="450"/>
      <c r="K1435" s="419"/>
      <c r="L1435" s="416"/>
      <c r="M1435" s="419"/>
      <c r="N1435" s="412"/>
      <c r="O1435" s="450"/>
      <c r="P1435" s="500"/>
      <c r="Q1435" s="419"/>
      <c r="R1435" s="500"/>
      <c r="S1435" s="419"/>
      <c r="T1435" s="416"/>
      <c r="U1435" s="455"/>
      <c r="V1435" s="241"/>
      <c r="W1435" s="241"/>
      <c r="X1435" s="241"/>
    </row>
    <row r="1436" spans="1:24" s="47" customFormat="1">
      <c r="A1436" s="410"/>
      <c r="B1436" s="449"/>
      <c r="C1436" s="450"/>
      <c r="D1436" s="450"/>
      <c r="E1436" s="450"/>
      <c r="F1436" s="450"/>
      <c r="G1436" s="450"/>
      <c r="H1436" s="450"/>
      <c r="I1436" s="450"/>
      <c r="J1436" s="450"/>
      <c r="K1436" s="419"/>
      <c r="L1436" s="416"/>
      <c r="M1436" s="419"/>
      <c r="N1436" s="412"/>
      <c r="O1436" s="450"/>
      <c r="P1436" s="500"/>
      <c r="Q1436" s="419"/>
      <c r="R1436" s="500"/>
      <c r="S1436" s="419"/>
      <c r="T1436" s="416"/>
      <c r="U1436" s="455"/>
      <c r="V1436" s="241"/>
      <c r="W1436" s="241"/>
      <c r="X1436" s="241"/>
    </row>
    <row r="1437" spans="1:24" s="47" customFormat="1">
      <c r="A1437" s="410"/>
      <c r="B1437" s="449"/>
      <c r="C1437" s="450"/>
      <c r="D1437" s="450"/>
      <c r="E1437" s="450"/>
      <c r="F1437" s="450"/>
      <c r="G1437" s="450"/>
      <c r="H1437" s="450"/>
      <c r="I1437" s="450"/>
      <c r="J1437" s="450"/>
      <c r="K1437" s="419"/>
      <c r="L1437" s="416"/>
      <c r="M1437" s="419"/>
      <c r="N1437" s="412"/>
      <c r="O1437" s="450"/>
      <c r="P1437" s="500"/>
      <c r="Q1437" s="419"/>
      <c r="R1437" s="419"/>
      <c r="S1437" s="419"/>
      <c r="T1437" s="416"/>
      <c r="U1437" s="455"/>
      <c r="V1437" s="241"/>
      <c r="W1437" s="241"/>
      <c r="X1437" s="241"/>
    </row>
    <row r="1438" spans="1:24">
      <c r="A1438" s="166"/>
      <c r="B1438" s="182" t="s">
        <v>54</v>
      </c>
      <c r="C1438" s="177">
        <v>2222747</v>
      </c>
      <c r="D1438" s="177"/>
      <c r="E1438" s="177"/>
      <c r="F1438" s="177"/>
      <c r="G1438" s="177"/>
      <c r="H1438" s="177"/>
      <c r="I1438" s="177"/>
      <c r="J1438" s="177"/>
      <c r="K1438" s="177">
        <v>0</v>
      </c>
      <c r="L1438" s="178">
        <v>0</v>
      </c>
      <c r="M1438" s="177">
        <v>0</v>
      </c>
      <c r="N1438" s="177">
        <v>1115</v>
      </c>
      <c r="O1438" s="177">
        <v>2222747</v>
      </c>
      <c r="P1438" s="179">
        <v>0</v>
      </c>
      <c r="Q1438" s="177">
        <v>0</v>
      </c>
      <c r="R1438" s="179">
        <v>0</v>
      </c>
      <c r="S1438" s="177">
        <v>0</v>
      </c>
      <c r="T1438" s="178">
        <v>0</v>
      </c>
      <c r="U1438" s="248">
        <v>0</v>
      </c>
      <c r="V1438" s="241"/>
      <c r="W1438" s="241"/>
      <c r="X1438" s="241"/>
    </row>
    <row r="1439" spans="1:24" ht="30">
      <c r="A1439" s="166"/>
      <c r="B1439" s="180" t="s">
        <v>112</v>
      </c>
      <c r="C1439" s="177">
        <v>2222747</v>
      </c>
      <c r="D1439" s="177"/>
      <c r="E1439" s="177"/>
      <c r="F1439" s="177"/>
      <c r="G1439" s="177"/>
      <c r="H1439" s="177"/>
      <c r="I1439" s="177"/>
      <c r="J1439" s="177"/>
      <c r="K1439" s="177">
        <v>0</v>
      </c>
      <c r="L1439" s="178">
        <v>0</v>
      </c>
      <c r="M1439" s="177">
        <v>0</v>
      </c>
      <c r="N1439" s="177">
        <v>1115</v>
      </c>
      <c r="O1439" s="177">
        <v>2222747</v>
      </c>
      <c r="P1439" s="179">
        <v>0</v>
      </c>
      <c r="Q1439" s="177">
        <v>0</v>
      </c>
      <c r="R1439" s="179">
        <v>0</v>
      </c>
      <c r="S1439" s="177">
        <v>0</v>
      </c>
      <c r="T1439" s="178">
        <v>0</v>
      </c>
      <c r="U1439" s="248">
        <v>0</v>
      </c>
      <c r="V1439" s="241"/>
      <c r="W1439" s="241"/>
      <c r="X1439" s="241"/>
    </row>
    <row r="1440" spans="1:24">
      <c r="A1440" s="166">
        <v>346</v>
      </c>
      <c r="B1440" s="182" t="s">
        <v>422</v>
      </c>
      <c r="C1440" s="177">
        <v>1003542</v>
      </c>
      <c r="D1440" s="177"/>
      <c r="E1440" s="177"/>
      <c r="F1440" s="177"/>
      <c r="G1440" s="177"/>
      <c r="H1440" s="177"/>
      <c r="I1440" s="177"/>
      <c r="J1440" s="177"/>
      <c r="K1440" s="177">
        <v>0</v>
      </c>
      <c r="L1440" s="178">
        <v>0</v>
      </c>
      <c r="M1440" s="177">
        <v>0</v>
      </c>
      <c r="N1440" s="167">
        <v>510</v>
      </c>
      <c r="O1440" s="177">
        <v>1003542</v>
      </c>
      <c r="P1440" s="179">
        <v>0</v>
      </c>
      <c r="Q1440" s="177">
        <v>0</v>
      </c>
      <c r="R1440" s="179">
        <v>0</v>
      </c>
      <c r="S1440" s="177">
        <v>0</v>
      </c>
      <c r="T1440" s="178">
        <v>0</v>
      </c>
      <c r="U1440" s="248">
        <v>0</v>
      </c>
      <c r="V1440" s="241"/>
      <c r="W1440" s="241"/>
      <c r="X1440" s="241"/>
    </row>
    <row r="1441" spans="1:53">
      <c r="A1441" s="166">
        <v>347</v>
      </c>
      <c r="B1441" s="182" t="s">
        <v>421</v>
      </c>
      <c r="C1441" s="177">
        <v>740146</v>
      </c>
      <c r="D1441" s="177"/>
      <c r="E1441" s="177"/>
      <c r="F1441" s="177"/>
      <c r="G1441" s="177"/>
      <c r="H1441" s="177"/>
      <c r="I1441" s="177"/>
      <c r="J1441" s="177"/>
      <c r="K1441" s="177">
        <v>0</v>
      </c>
      <c r="L1441" s="178">
        <v>0</v>
      </c>
      <c r="M1441" s="177">
        <v>0</v>
      </c>
      <c r="N1441" s="167">
        <v>373</v>
      </c>
      <c r="O1441" s="177">
        <v>740146</v>
      </c>
      <c r="P1441" s="179">
        <v>0</v>
      </c>
      <c r="Q1441" s="177">
        <v>0</v>
      </c>
      <c r="R1441" s="179">
        <v>0</v>
      </c>
      <c r="S1441" s="177">
        <v>0</v>
      </c>
      <c r="T1441" s="178">
        <v>0</v>
      </c>
      <c r="U1441" s="248">
        <v>0</v>
      </c>
      <c r="V1441" s="241"/>
      <c r="W1441" s="241"/>
      <c r="X1441" s="241"/>
    </row>
    <row r="1442" spans="1:53">
      <c r="A1442" s="166">
        <v>348</v>
      </c>
      <c r="B1442" s="182" t="s">
        <v>423</v>
      </c>
      <c r="C1442" s="177">
        <v>479059</v>
      </c>
      <c r="D1442" s="177"/>
      <c r="E1442" s="177"/>
      <c r="F1442" s="177"/>
      <c r="G1442" s="177"/>
      <c r="H1442" s="177"/>
      <c r="I1442" s="177"/>
      <c r="J1442" s="177"/>
      <c r="K1442" s="177">
        <v>0</v>
      </c>
      <c r="L1442" s="178">
        <v>0</v>
      </c>
      <c r="M1442" s="177">
        <v>0</v>
      </c>
      <c r="N1442" s="177">
        <v>232</v>
      </c>
      <c r="O1442" s="177">
        <v>479059</v>
      </c>
      <c r="P1442" s="179">
        <v>0</v>
      </c>
      <c r="Q1442" s="177">
        <v>0</v>
      </c>
      <c r="R1442" s="179">
        <v>0</v>
      </c>
      <c r="S1442" s="177">
        <v>0</v>
      </c>
      <c r="T1442" s="178">
        <v>0</v>
      </c>
      <c r="U1442" s="248">
        <v>0</v>
      </c>
      <c r="V1442" s="241"/>
      <c r="W1442" s="241"/>
      <c r="X1442" s="241"/>
    </row>
    <row r="1443" spans="1:53">
      <c r="A1443" s="166"/>
      <c r="B1443" s="182" t="s">
        <v>55</v>
      </c>
      <c r="C1443" s="177">
        <f>C1444</f>
        <v>2451868</v>
      </c>
      <c r="D1443" s="177">
        <f t="shared" ref="D1443:U1444" si="188">D1444</f>
        <v>0</v>
      </c>
      <c r="E1443" s="177">
        <f t="shared" si="188"/>
        <v>0</v>
      </c>
      <c r="F1443" s="177">
        <f t="shared" si="188"/>
        <v>0</v>
      </c>
      <c r="G1443" s="177">
        <f t="shared" si="188"/>
        <v>0</v>
      </c>
      <c r="H1443" s="177">
        <f t="shared" si="188"/>
        <v>0</v>
      </c>
      <c r="I1443" s="177">
        <f t="shared" si="188"/>
        <v>0</v>
      </c>
      <c r="J1443" s="177">
        <f t="shared" si="188"/>
        <v>0</v>
      </c>
      <c r="K1443" s="177">
        <f t="shared" si="188"/>
        <v>0</v>
      </c>
      <c r="L1443" s="177">
        <f t="shared" si="188"/>
        <v>0</v>
      </c>
      <c r="M1443" s="177">
        <f t="shared" si="188"/>
        <v>0</v>
      </c>
      <c r="N1443" s="177">
        <f t="shared" si="188"/>
        <v>771</v>
      </c>
      <c r="O1443" s="177">
        <f t="shared" si="188"/>
        <v>2451868</v>
      </c>
      <c r="P1443" s="177">
        <f t="shared" si="188"/>
        <v>0</v>
      </c>
      <c r="Q1443" s="177">
        <f t="shared" si="188"/>
        <v>0</v>
      </c>
      <c r="R1443" s="177">
        <f t="shared" si="188"/>
        <v>0</v>
      </c>
      <c r="S1443" s="177">
        <f t="shared" si="188"/>
        <v>0</v>
      </c>
      <c r="T1443" s="177">
        <f t="shared" si="188"/>
        <v>0</v>
      </c>
      <c r="U1443" s="177">
        <f t="shared" si="188"/>
        <v>0</v>
      </c>
      <c r="V1443" s="241"/>
      <c r="W1443" s="241"/>
      <c r="X1443" s="241"/>
    </row>
    <row r="1444" spans="1:53" ht="30">
      <c r="A1444" s="166"/>
      <c r="B1444" s="180" t="s">
        <v>122</v>
      </c>
      <c r="C1444" s="177">
        <f>C1445</f>
        <v>2451868</v>
      </c>
      <c r="D1444" s="177">
        <f t="shared" si="188"/>
        <v>0</v>
      </c>
      <c r="E1444" s="177">
        <f t="shared" si="188"/>
        <v>0</v>
      </c>
      <c r="F1444" s="177">
        <f t="shared" si="188"/>
        <v>0</v>
      </c>
      <c r="G1444" s="177">
        <f t="shared" si="188"/>
        <v>0</v>
      </c>
      <c r="H1444" s="177">
        <f t="shared" si="188"/>
        <v>0</v>
      </c>
      <c r="I1444" s="177">
        <f t="shared" si="188"/>
        <v>0</v>
      </c>
      <c r="J1444" s="177">
        <f t="shared" si="188"/>
        <v>0</v>
      </c>
      <c r="K1444" s="177">
        <f t="shared" si="188"/>
        <v>0</v>
      </c>
      <c r="L1444" s="177">
        <f t="shared" si="188"/>
        <v>0</v>
      </c>
      <c r="M1444" s="177">
        <f t="shared" si="188"/>
        <v>0</v>
      </c>
      <c r="N1444" s="177">
        <f t="shared" si="188"/>
        <v>771</v>
      </c>
      <c r="O1444" s="177">
        <f t="shared" si="188"/>
        <v>2451868</v>
      </c>
      <c r="P1444" s="177">
        <f t="shared" si="188"/>
        <v>0</v>
      </c>
      <c r="Q1444" s="177">
        <f t="shared" si="188"/>
        <v>0</v>
      </c>
      <c r="R1444" s="177">
        <f t="shared" si="188"/>
        <v>0</v>
      </c>
      <c r="S1444" s="177">
        <f t="shared" si="188"/>
        <v>0</v>
      </c>
      <c r="T1444" s="177">
        <f t="shared" si="188"/>
        <v>0</v>
      </c>
      <c r="U1444" s="177">
        <f t="shared" si="188"/>
        <v>0</v>
      </c>
      <c r="V1444" s="177">
        <f>V1445</f>
        <v>0</v>
      </c>
      <c r="W1444" s="241"/>
      <c r="X1444" s="241"/>
    </row>
    <row r="1445" spans="1:53" s="22" customFormat="1">
      <c r="A1445" s="410">
        <v>349</v>
      </c>
      <c r="B1445" s="420" t="s">
        <v>390</v>
      </c>
      <c r="C1445" s="491">
        <v>2451868</v>
      </c>
      <c r="D1445" s="491">
        <v>0</v>
      </c>
      <c r="E1445" s="491">
        <v>0</v>
      </c>
      <c r="F1445" s="491">
        <v>0</v>
      </c>
      <c r="G1445" s="491">
        <v>0</v>
      </c>
      <c r="H1445" s="491">
        <v>0</v>
      </c>
      <c r="I1445" s="491">
        <v>0</v>
      </c>
      <c r="J1445" s="491">
        <v>0</v>
      </c>
      <c r="K1445" s="450">
        <v>0</v>
      </c>
      <c r="L1445" s="453">
        <v>0</v>
      </c>
      <c r="M1445" s="419">
        <v>0</v>
      </c>
      <c r="N1445" s="412">
        <v>771</v>
      </c>
      <c r="O1445" s="450">
        <v>2451868</v>
      </c>
      <c r="P1445" s="454">
        <v>0</v>
      </c>
      <c r="Q1445" s="419">
        <v>0</v>
      </c>
      <c r="R1445" s="419">
        <v>0</v>
      </c>
      <c r="S1445" s="419">
        <v>0</v>
      </c>
      <c r="T1445" s="453">
        <v>0</v>
      </c>
      <c r="U1445" s="455">
        <v>0</v>
      </c>
      <c r="V1445" s="241"/>
      <c r="W1445" s="241">
        <f>O1445/N1445</f>
        <v>3180.1141374837871</v>
      </c>
      <c r="X1445" s="241"/>
    </row>
    <row r="1446" spans="1:53">
      <c r="A1446" s="410"/>
      <c r="B1446" s="420"/>
      <c r="C1446" s="450"/>
      <c r="D1446" s="450"/>
      <c r="E1446" s="450"/>
      <c r="F1446" s="450"/>
      <c r="G1446" s="450"/>
      <c r="H1446" s="450"/>
      <c r="I1446" s="450"/>
      <c r="J1446" s="450"/>
      <c r="K1446" s="450"/>
      <c r="L1446" s="453"/>
      <c r="M1446" s="419"/>
      <c r="N1446" s="419"/>
      <c r="O1446" s="419"/>
      <c r="P1446" s="454"/>
      <c r="Q1446" s="419"/>
      <c r="R1446" s="454"/>
      <c r="S1446" s="419"/>
      <c r="T1446" s="453"/>
      <c r="U1446" s="455"/>
      <c r="V1446" s="241"/>
      <c r="W1446" s="241"/>
      <c r="X1446" s="241"/>
    </row>
    <row r="1447" spans="1:53">
      <c r="A1447" s="410"/>
      <c r="B1447" s="420"/>
      <c r="C1447" s="450"/>
      <c r="D1447" s="450"/>
      <c r="E1447" s="450"/>
      <c r="F1447" s="450"/>
      <c r="G1447" s="450"/>
      <c r="H1447" s="450"/>
      <c r="I1447" s="450"/>
      <c r="J1447" s="450"/>
      <c r="K1447" s="450"/>
      <c r="L1447" s="453"/>
      <c r="M1447" s="419"/>
      <c r="N1447" s="412"/>
      <c r="O1447" s="450"/>
      <c r="P1447" s="454"/>
      <c r="Q1447" s="419"/>
      <c r="R1447" s="419"/>
      <c r="S1447" s="419"/>
      <c r="T1447" s="453"/>
      <c r="U1447" s="455"/>
      <c r="V1447" s="241"/>
      <c r="W1447" s="241"/>
      <c r="X1447" s="241"/>
      <c r="Y1447" s="22"/>
      <c r="Z1447" s="22"/>
      <c r="AA1447" s="22"/>
      <c r="AB1447" s="22"/>
      <c r="AC1447" s="22"/>
      <c r="AD1447" s="22"/>
      <c r="AE1447" s="22"/>
      <c r="AF1447" s="22"/>
      <c r="AG1447" s="22"/>
      <c r="AH1447" s="22"/>
      <c r="AI1447" s="22"/>
      <c r="AJ1447" s="22"/>
      <c r="AK1447" s="22"/>
      <c r="AL1447" s="22"/>
      <c r="AM1447" s="22"/>
      <c r="AN1447" s="22"/>
      <c r="AO1447" s="22"/>
      <c r="AP1447" s="22"/>
      <c r="AQ1447" s="22"/>
      <c r="AR1447" s="22"/>
      <c r="AS1447" s="22"/>
      <c r="AT1447" s="22"/>
      <c r="AU1447" s="22"/>
      <c r="AV1447" s="22"/>
      <c r="AW1447" s="22"/>
      <c r="AX1447" s="22"/>
      <c r="AY1447" s="22"/>
      <c r="AZ1447" s="22"/>
      <c r="BA1447" s="22"/>
    </row>
    <row r="1448" spans="1:53">
      <c r="A1448" s="166"/>
      <c r="B1448" s="182" t="s">
        <v>56</v>
      </c>
      <c r="C1448" s="177">
        <v>13352826.959999999</v>
      </c>
      <c r="D1448" s="177"/>
      <c r="E1448" s="177"/>
      <c r="F1448" s="177"/>
      <c r="G1448" s="177"/>
      <c r="H1448" s="177"/>
      <c r="I1448" s="177"/>
      <c r="J1448" s="177"/>
      <c r="K1448" s="177">
        <v>8292103.96</v>
      </c>
      <c r="L1448" s="178">
        <v>0</v>
      </c>
      <c r="M1448" s="177">
        <v>0</v>
      </c>
      <c r="N1448" s="177">
        <v>2564.5</v>
      </c>
      <c r="O1448" s="177">
        <v>5060723</v>
      </c>
      <c r="P1448" s="179">
        <v>0</v>
      </c>
      <c r="Q1448" s="177">
        <v>0</v>
      </c>
      <c r="R1448" s="179">
        <v>0</v>
      </c>
      <c r="S1448" s="177">
        <v>0</v>
      </c>
      <c r="T1448" s="178">
        <v>0</v>
      </c>
      <c r="U1448" s="248">
        <v>0</v>
      </c>
      <c r="V1448" s="241"/>
      <c r="W1448" s="241"/>
      <c r="X1448" s="241"/>
    </row>
    <row r="1449" spans="1:53" ht="30">
      <c r="A1449" s="410"/>
      <c r="B1449" s="420" t="s">
        <v>424</v>
      </c>
      <c r="C1449" s="419">
        <f>C1450+C1451+C1452+C1453+C1454</f>
        <v>9225003</v>
      </c>
      <c r="D1449" s="419">
        <f t="shared" ref="D1449:V1449" si="189">D1450+D1451+D1452+D1453+D1454</f>
        <v>2325223</v>
      </c>
      <c r="E1449" s="419">
        <f t="shared" si="189"/>
        <v>702811</v>
      </c>
      <c r="F1449" s="419">
        <f t="shared" si="189"/>
        <v>696395</v>
      </c>
      <c r="G1449" s="419">
        <f t="shared" si="189"/>
        <v>578792</v>
      </c>
      <c r="H1449" s="419">
        <f t="shared" si="189"/>
        <v>212717</v>
      </c>
      <c r="I1449" s="419">
        <f t="shared" si="189"/>
        <v>0</v>
      </c>
      <c r="J1449" s="419">
        <f t="shared" si="189"/>
        <v>134508</v>
      </c>
      <c r="K1449" s="419">
        <f t="shared" si="189"/>
        <v>0</v>
      </c>
      <c r="L1449" s="419">
        <f t="shared" si="189"/>
        <v>0</v>
      </c>
      <c r="M1449" s="419">
        <f t="shared" si="189"/>
        <v>0</v>
      </c>
      <c r="N1449" s="419">
        <f t="shared" si="189"/>
        <v>2418.7800000000002</v>
      </c>
      <c r="O1449" s="419">
        <f t="shared" si="189"/>
        <v>6899780</v>
      </c>
      <c r="P1449" s="419">
        <f t="shared" si="189"/>
        <v>0</v>
      </c>
      <c r="Q1449" s="419">
        <f t="shared" si="189"/>
        <v>0</v>
      </c>
      <c r="R1449" s="419">
        <f t="shared" si="189"/>
        <v>0</v>
      </c>
      <c r="S1449" s="419">
        <f t="shared" si="189"/>
        <v>0</v>
      </c>
      <c r="T1449" s="419">
        <f t="shared" si="189"/>
        <v>0</v>
      </c>
      <c r="U1449" s="419">
        <f t="shared" si="189"/>
        <v>0</v>
      </c>
      <c r="V1449" s="177">
        <f t="shared" si="189"/>
        <v>0</v>
      </c>
      <c r="W1449" s="241"/>
      <c r="X1449" s="241"/>
    </row>
    <row r="1450" spans="1:53" ht="28.15" customHeight="1">
      <c r="A1450" s="410">
        <v>352</v>
      </c>
      <c r="B1450" s="673" t="s">
        <v>715</v>
      </c>
      <c r="C1450" s="419">
        <f>'часть 1'!L1478</f>
        <v>3119960</v>
      </c>
      <c r="D1450" s="419">
        <f>E1450+F1450+G1450+H1450+I1450+J1450+K1450</f>
        <v>1646313</v>
      </c>
      <c r="E1450" s="419">
        <v>519900</v>
      </c>
      <c r="F1450" s="419">
        <v>696395</v>
      </c>
      <c r="G1450" s="419">
        <v>430018</v>
      </c>
      <c r="H1450" s="419">
        <v>0</v>
      </c>
      <c r="I1450" s="419">
        <v>0</v>
      </c>
      <c r="J1450" s="419">
        <v>0</v>
      </c>
      <c r="K1450" s="419">
        <v>0</v>
      </c>
      <c r="L1450" s="453">
        <v>0</v>
      </c>
      <c r="M1450" s="419">
        <v>0</v>
      </c>
      <c r="N1450" s="419">
        <v>591</v>
      </c>
      <c r="O1450" s="419">
        <v>1473647</v>
      </c>
      <c r="P1450" s="454">
        <v>0</v>
      </c>
      <c r="Q1450" s="419">
        <v>0</v>
      </c>
      <c r="R1450" s="454">
        <v>0</v>
      </c>
      <c r="S1450" s="419">
        <v>0</v>
      </c>
      <c r="T1450" s="453">
        <v>0</v>
      </c>
      <c r="U1450" s="455">
        <v>0</v>
      </c>
      <c r="V1450" s="241"/>
      <c r="W1450" s="241">
        <f>O1450/N1450</f>
        <v>2493.4805414551606</v>
      </c>
      <c r="X1450" s="241"/>
      <c r="Y1450" s="18">
        <f>E1450/'часть 1'!I1478</f>
        <v>757.20943780949608</v>
      </c>
      <c r="Z1450" s="1">
        <f>G1450/'часть 1'!I1478</f>
        <v>626.30061170987472</v>
      </c>
      <c r="AA1450" s="1">
        <f>F1450/'часть 1'!I1478</f>
        <v>1014.2659481503058</v>
      </c>
    </row>
    <row r="1451" spans="1:53" ht="24" customHeight="1">
      <c r="A1451" s="410">
        <v>353</v>
      </c>
      <c r="B1451" s="674" t="s">
        <v>716</v>
      </c>
      <c r="C1451" s="419">
        <f>'часть 1'!L1479</f>
        <v>2408975</v>
      </c>
      <c r="D1451" s="419">
        <f>E1451+F1451+G1451+H1451+I1451+J1451+K1451</f>
        <v>0</v>
      </c>
      <c r="E1451" s="419">
        <v>0</v>
      </c>
      <c r="F1451" s="419">
        <v>0</v>
      </c>
      <c r="G1451" s="419">
        <v>0</v>
      </c>
      <c r="H1451" s="419">
        <v>0</v>
      </c>
      <c r="I1451" s="419">
        <v>0</v>
      </c>
      <c r="J1451" s="419">
        <v>0</v>
      </c>
      <c r="K1451" s="419">
        <v>0</v>
      </c>
      <c r="L1451" s="453">
        <v>0</v>
      </c>
      <c r="M1451" s="419">
        <v>0</v>
      </c>
      <c r="N1451" s="419">
        <v>757.82</v>
      </c>
      <c r="O1451" s="419">
        <v>2408975</v>
      </c>
      <c r="P1451" s="454">
        <v>0</v>
      </c>
      <c r="Q1451" s="419">
        <v>0</v>
      </c>
      <c r="R1451" s="454">
        <v>0</v>
      </c>
      <c r="S1451" s="419">
        <v>0</v>
      </c>
      <c r="T1451" s="453">
        <v>0</v>
      </c>
      <c r="U1451" s="455">
        <v>0</v>
      </c>
      <c r="V1451" s="241"/>
      <c r="W1451" s="241">
        <f>O1451/N1451</f>
        <v>3178.8221477395687</v>
      </c>
      <c r="X1451" s="241"/>
    </row>
    <row r="1452" spans="1:53" ht="22.9" customHeight="1">
      <c r="A1452" s="410">
        <v>354</v>
      </c>
      <c r="B1452" s="673" t="s">
        <v>717</v>
      </c>
      <c r="C1452" s="419">
        <f>'часть 1'!L1480</f>
        <v>678910</v>
      </c>
      <c r="D1452" s="419">
        <f>E1452+F1452+G1452+H1452+I1452+J1452+K1452</f>
        <v>678910</v>
      </c>
      <c r="E1452" s="419">
        <v>182911</v>
      </c>
      <c r="F1452" s="419">
        <v>0</v>
      </c>
      <c r="G1452" s="419">
        <v>148774</v>
      </c>
      <c r="H1452" s="419">
        <v>212717</v>
      </c>
      <c r="I1452" s="419">
        <v>0</v>
      </c>
      <c r="J1452" s="419">
        <v>134508</v>
      </c>
      <c r="K1452" s="419">
        <v>0</v>
      </c>
      <c r="L1452" s="453">
        <v>0</v>
      </c>
      <c r="M1452" s="419">
        <v>0</v>
      </c>
      <c r="N1452" s="419">
        <v>0</v>
      </c>
      <c r="O1452" s="419">
        <v>0</v>
      </c>
      <c r="P1452" s="454">
        <v>0</v>
      </c>
      <c r="Q1452" s="419">
        <v>0</v>
      </c>
      <c r="R1452" s="454">
        <v>0</v>
      </c>
      <c r="S1452" s="419">
        <v>0</v>
      </c>
      <c r="T1452" s="453">
        <v>0</v>
      </c>
      <c r="U1452" s="455">
        <v>0</v>
      </c>
      <c r="V1452" s="241"/>
      <c r="W1452" s="241"/>
      <c r="X1452" s="241"/>
      <c r="Y1452" s="1">
        <f>E1452/'часть 1'!I1480</f>
        <v>709.23226056611099</v>
      </c>
      <c r="Z1452" s="1">
        <f>G1452/'часть 1'!I1480</f>
        <v>576.86700271423035</v>
      </c>
      <c r="AB1452" s="1">
        <f>H1452/'часть 1'!I1480</f>
        <v>824.80418766963942</v>
      </c>
      <c r="AD1452" s="1">
        <f>J1452/'часть 1'!I1480</f>
        <v>521.55098875533156</v>
      </c>
    </row>
    <row r="1453" spans="1:53" ht="19.899999999999999" customHeight="1">
      <c r="A1453" s="410">
        <v>355</v>
      </c>
      <c r="B1453" s="675" t="s">
        <v>718</v>
      </c>
      <c r="C1453" s="419">
        <f>'часть 1'!L1481</f>
        <v>1603279</v>
      </c>
      <c r="D1453" s="419">
        <f>E1453+F1453+G1453+H1453+I1453+J1453+K1453</f>
        <v>0</v>
      </c>
      <c r="E1453" s="419">
        <v>0</v>
      </c>
      <c r="F1453" s="419">
        <v>0</v>
      </c>
      <c r="G1453" s="419">
        <v>0</v>
      </c>
      <c r="H1453" s="419">
        <v>0</v>
      </c>
      <c r="I1453" s="419">
        <v>0</v>
      </c>
      <c r="J1453" s="419">
        <v>0</v>
      </c>
      <c r="K1453" s="419">
        <v>0</v>
      </c>
      <c r="L1453" s="453">
        <v>0</v>
      </c>
      <c r="M1453" s="419">
        <v>0</v>
      </c>
      <c r="N1453" s="419">
        <v>503.16</v>
      </c>
      <c r="O1453" s="419">
        <v>1603279</v>
      </c>
      <c r="P1453" s="454">
        <v>0</v>
      </c>
      <c r="Q1453" s="419">
        <v>0</v>
      </c>
      <c r="R1453" s="454">
        <v>0</v>
      </c>
      <c r="S1453" s="419">
        <v>0</v>
      </c>
      <c r="T1453" s="453">
        <v>0</v>
      </c>
      <c r="U1453" s="455">
        <v>0</v>
      </c>
      <c r="V1453" s="241"/>
      <c r="W1453" s="241">
        <f>O1453/N1453</f>
        <v>3186.4198266952858</v>
      </c>
      <c r="X1453" s="241"/>
    </row>
    <row r="1454" spans="1:53" ht="17.45" customHeight="1">
      <c r="A1454" s="410">
        <v>356</v>
      </c>
      <c r="B1454" s="673" t="s">
        <v>719</v>
      </c>
      <c r="C1454" s="419">
        <f>'часть 1'!L1482</f>
        <v>1413879</v>
      </c>
      <c r="D1454" s="419">
        <f>E1454+F1454+G1454+H1454+I1454+J1454+K1454</f>
        <v>0</v>
      </c>
      <c r="E1454" s="419">
        <v>0</v>
      </c>
      <c r="F1454" s="419">
        <v>0</v>
      </c>
      <c r="G1454" s="419">
        <v>0</v>
      </c>
      <c r="H1454" s="419">
        <v>0</v>
      </c>
      <c r="I1454" s="419">
        <v>0</v>
      </c>
      <c r="J1454" s="419">
        <v>0</v>
      </c>
      <c r="K1454" s="419">
        <v>0</v>
      </c>
      <c r="L1454" s="453">
        <v>0</v>
      </c>
      <c r="M1454" s="419">
        <v>0</v>
      </c>
      <c r="N1454" s="419">
        <v>566.79999999999995</v>
      </c>
      <c r="O1454" s="419">
        <v>1413879</v>
      </c>
      <c r="P1454" s="454">
        <v>0</v>
      </c>
      <c r="Q1454" s="419">
        <v>0</v>
      </c>
      <c r="R1454" s="454">
        <v>0</v>
      </c>
      <c r="S1454" s="419">
        <v>0</v>
      </c>
      <c r="T1454" s="453">
        <v>0</v>
      </c>
      <c r="U1454" s="455">
        <v>0</v>
      </c>
      <c r="V1454" s="241"/>
      <c r="W1454" s="241">
        <f>O1454/N1454</f>
        <v>2494.4936485532817</v>
      </c>
      <c r="X1454" s="241"/>
    </row>
    <row r="1455" spans="1:53" ht="30">
      <c r="A1455" s="166"/>
      <c r="B1455" s="180" t="s">
        <v>121</v>
      </c>
      <c r="C1455" s="177">
        <f>C1456</f>
        <v>2068781</v>
      </c>
      <c r="D1455" s="177">
        <f t="shared" ref="D1455:U1455" si="190">D1456</f>
        <v>0</v>
      </c>
      <c r="E1455" s="177">
        <f t="shared" si="190"/>
        <v>0</v>
      </c>
      <c r="F1455" s="177">
        <f t="shared" si="190"/>
        <v>0</v>
      </c>
      <c r="G1455" s="177">
        <f t="shared" si="190"/>
        <v>0</v>
      </c>
      <c r="H1455" s="177">
        <f t="shared" si="190"/>
        <v>0</v>
      </c>
      <c r="I1455" s="177">
        <f t="shared" si="190"/>
        <v>0</v>
      </c>
      <c r="J1455" s="177">
        <f t="shared" si="190"/>
        <v>0</v>
      </c>
      <c r="K1455" s="177">
        <f t="shared" si="190"/>
        <v>0</v>
      </c>
      <c r="L1455" s="177">
        <f t="shared" si="190"/>
        <v>0</v>
      </c>
      <c r="M1455" s="177">
        <f t="shared" si="190"/>
        <v>0</v>
      </c>
      <c r="N1455" s="177">
        <f t="shared" si="190"/>
        <v>0</v>
      </c>
      <c r="O1455" s="177">
        <f t="shared" si="190"/>
        <v>2068781</v>
      </c>
      <c r="P1455" s="177">
        <f t="shared" si="190"/>
        <v>0</v>
      </c>
      <c r="Q1455" s="177">
        <f t="shared" si="190"/>
        <v>0</v>
      </c>
      <c r="R1455" s="177">
        <f t="shared" si="190"/>
        <v>0</v>
      </c>
      <c r="S1455" s="177">
        <f t="shared" si="190"/>
        <v>0</v>
      </c>
      <c r="T1455" s="177">
        <f t="shared" si="190"/>
        <v>0</v>
      </c>
      <c r="U1455" s="177">
        <f t="shared" si="190"/>
        <v>0</v>
      </c>
      <c r="V1455" s="241"/>
      <c r="W1455" s="241"/>
      <c r="X1455" s="241"/>
    </row>
    <row r="1456" spans="1:53" ht="22.9" customHeight="1">
      <c r="A1456" s="166">
        <v>362</v>
      </c>
      <c r="B1456" s="180" t="s">
        <v>993</v>
      </c>
      <c r="C1456" s="177">
        <f>'часть 1'!L1484</f>
        <v>2068781</v>
      </c>
      <c r="D1456" s="177">
        <v>0</v>
      </c>
      <c r="E1456" s="177">
        <v>0</v>
      </c>
      <c r="F1456" s="177">
        <v>0</v>
      </c>
      <c r="G1456" s="177">
        <v>0</v>
      </c>
      <c r="H1456" s="177">
        <v>0</v>
      </c>
      <c r="I1456" s="177">
        <v>0</v>
      </c>
      <c r="J1456" s="177">
        <v>0</v>
      </c>
      <c r="K1456" s="177">
        <v>0</v>
      </c>
      <c r="L1456" s="178">
        <v>0</v>
      </c>
      <c r="M1456" s="177">
        <v>0</v>
      </c>
      <c r="N1456" s="817"/>
      <c r="O1456" s="177">
        <v>2068781</v>
      </c>
      <c r="P1456" s="179">
        <v>0</v>
      </c>
      <c r="Q1456" s="177">
        <v>0</v>
      </c>
      <c r="R1456" s="179">
        <v>0</v>
      </c>
      <c r="S1456" s="177">
        <v>0</v>
      </c>
      <c r="T1456" s="178">
        <v>0</v>
      </c>
      <c r="U1456" s="248">
        <v>0</v>
      </c>
      <c r="V1456" s="241"/>
      <c r="W1456" s="241" t="e">
        <f>O1456/N1456</f>
        <v>#DIV/0!</v>
      </c>
      <c r="X1456" s="241"/>
    </row>
    <row r="1457" spans="1:28" s="14" customFormat="1" ht="30">
      <c r="A1457" s="166"/>
      <c r="B1457" s="180" t="s">
        <v>807</v>
      </c>
      <c r="C1457" s="177">
        <f>C1458</f>
        <v>588419</v>
      </c>
      <c r="D1457" s="177">
        <f t="shared" ref="D1457:U1457" si="191">D1458</f>
        <v>588419</v>
      </c>
      <c r="E1457" s="177">
        <f t="shared" si="191"/>
        <v>0</v>
      </c>
      <c r="F1457" s="177">
        <f t="shared" si="191"/>
        <v>0</v>
      </c>
      <c r="G1457" s="177">
        <f t="shared" si="191"/>
        <v>0</v>
      </c>
      <c r="H1457" s="177">
        <f t="shared" si="191"/>
        <v>588419</v>
      </c>
      <c r="I1457" s="177">
        <f t="shared" si="191"/>
        <v>0</v>
      </c>
      <c r="J1457" s="177">
        <f t="shared" si="191"/>
        <v>0</v>
      </c>
      <c r="K1457" s="177">
        <f t="shared" si="191"/>
        <v>0</v>
      </c>
      <c r="L1457" s="177">
        <f t="shared" si="191"/>
        <v>0</v>
      </c>
      <c r="M1457" s="177">
        <f t="shared" si="191"/>
        <v>0</v>
      </c>
      <c r="N1457" s="177">
        <f t="shared" si="191"/>
        <v>0</v>
      </c>
      <c r="O1457" s="177">
        <f t="shared" si="191"/>
        <v>0</v>
      </c>
      <c r="P1457" s="177">
        <f t="shared" si="191"/>
        <v>0</v>
      </c>
      <c r="Q1457" s="177">
        <f t="shared" si="191"/>
        <v>0</v>
      </c>
      <c r="R1457" s="177">
        <f t="shared" si="191"/>
        <v>0</v>
      </c>
      <c r="S1457" s="177">
        <f t="shared" si="191"/>
        <v>0</v>
      </c>
      <c r="T1457" s="177">
        <f t="shared" si="191"/>
        <v>0</v>
      </c>
      <c r="U1457" s="177">
        <f t="shared" si="191"/>
        <v>0</v>
      </c>
      <c r="V1457" s="241"/>
      <c r="W1457" s="241"/>
      <c r="X1457" s="241"/>
    </row>
    <row r="1458" spans="1:28">
      <c r="A1458" s="166">
        <v>363</v>
      </c>
      <c r="B1458" s="182" t="s">
        <v>809</v>
      </c>
      <c r="C1458" s="177">
        <f>'часть 1'!L1486</f>
        <v>588419</v>
      </c>
      <c r="D1458" s="177">
        <f>E1458+F1458+G1458+H1458+I1458+J1458+K1458</f>
        <v>588419</v>
      </c>
      <c r="E1458" s="177">
        <v>0</v>
      </c>
      <c r="F1458" s="177">
        <v>0</v>
      </c>
      <c r="G1458" s="177">
        <v>0</v>
      </c>
      <c r="H1458" s="177">
        <v>588419</v>
      </c>
      <c r="I1458" s="177">
        <v>0</v>
      </c>
      <c r="J1458" s="177">
        <v>0</v>
      </c>
      <c r="K1458" s="177">
        <v>0</v>
      </c>
      <c r="L1458" s="178">
        <v>0</v>
      </c>
      <c r="M1458" s="177">
        <v>0</v>
      </c>
      <c r="N1458" s="177">
        <v>0</v>
      </c>
      <c r="O1458" s="177">
        <v>0</v>
      </c>
      <c r="P1458" s="179">
        <v>0</v>
      </c>
      <c r="Q1458" s="177">
        <v>0</v>
      </c>
      <c r="R1458" s="179">
        <v>0</v>
      </c>
      <c r="S1458" s="177">
        <v>0</v>
      </c>
      <c r="T1458" s="178">
        <v>0</v>
      </c>
      <c r="U1458" s="248">
        <v>0</v>
      </c>
      <c r="V1458" s="241"/>
      <c r="W1458" s="241"/>
      <c r="X1458" s="241"/>
      <c r="AB1458" s="1">
        <f>H1458/'часть 1'!I1486</f>
        <v>899.4481809844084</v>
      </c>
    </row>
    <row r="1459" spans="1:28" ht="25.15" customHeight="1">
      <c r="A1459" s="166"/>
      <c r="B1459" s="182" t="s">
        <v>57</v>
      </c>
      <c r="C1459" s="177">
        <f>C1460</f>
        <v>1788296</v>
      </c>
      <c r="D1459" s="177">
        <f t="shared" ref="D1459:V1459" si="192">D1460</f>
        <v>0</v>
      </c>
      <c r="E1459" s="177">
        <f t="shared" si="192"/>
        <v>0</v>
      </c>
      <c r="F1459" s="177">
        <f t="shared" si="192"/>
        <v>0</v>
      </c>
      <c r="G1459" s="177">
        <f t="shared" si="192"/>
        <v>0</v>
      </c>
      <c r="H1459" s="177">
        <f t="shared" si="192"/>
        <v>0</v>
      </c>
      <c r="I1459" s="177">
        <f t="shared" si="192"/>
        <v>0</v>
      </c>
      <c r="J1459" s="177">
        <f t="shared" si="192"/>
        <v>0</v>
      </c>
      <c r="K1459" s="177">
        <f t="shared" si="192"/>
        <v>0</v>
      </c>
      <c r="L1459" s="177">
        <f t="shared" si="192"/>
        <v>0</v>
      </c>
      <c r="M1459" s="177">
        <f t="shared" si="192"/>
        <v>0</v>
      </c>
      <c r="N1459" s="177">
        <f t="shared" si="192"/>
        <v>560</v>
      </c>
      <c r="O1459" s="177">
        <f t="shared" si="192"/>
        <v>1788296</v>
      </c>
      <c r="P1459" s="177">
        <f t="shared" si="192"/>
        <v>0</v>
      </c>
      <c r="Q1459" s="177">
        <f t="shared" si="192"/>
        <v>0</v>
      </c>
      <c r="R1459" s="177">
        <f t="shared" si="192"/>
        <v>0</v>
      </c>
      <c r="S1459" s="177">
        <f t="shared" si="192"/>
        <v>0</v>
      </c>
      <c r="T1459" s="177">
        <f t="shared" si="192"/>
        <v>0</v>
      </c>
      <c r="U1459" s="177">
        <f t="shared" si="192"/>
        <v>0</v>
      </c>
      <c r="V1459" s="177">
        <f t="shared" si="192"/>
        <v>0</v>
      </c>
      <c r="W1459" s="241"/>
      <c r="X1459" s="241"/>
    </row>
    <row r="1460" spans="1:28" ht="36" customHeight="1">
      <c r="A1460" s="166"/>
      <c r="B1460" s="180" t="s">
        <v>119</v>
      </c>
      <c r="C1460" s="177">
        <f>C1461</f>
        <v>1788296</v>
      </c>
      <c r="D1460" s="177">
        <f t="shared" ref="D1460:U1460" si="193">D1461</f>
        <v>0</v>
      </c>
      <c r="E1460" s="177">
        <f t="shared" si="193"/>
        <v>0</v>
      </c>
      <c r="F1460" s="177">
        <f t="shared" si="193"/>
        <v>0</v>
      </c>
      <c r="G1460" s="177">
        <f t="shared" si="193"/>
        <v>0</v>
      </c>
      <c r="H1460" s="177">
        <f t="shared" si="193"/>
        <v>0</v>
      </c>
      <c r="I1460" s="177">
        <f t="shared" si="193"/>
        <v>0</v>
      </c>
      <c r="J1460" s="177">
        <f t="shared" si="193"/>
        <v>0</v>
      </c>
      <c r="K1460" s="177">
        <f t="shared" si="193"/>
        <v>0</v>
      </c>
      <c r="L1460" s="177">
        <f t="shared" si="193"/>
        <v>0</v>
      </c>
      <c r="M1460" s="177">
        <f t="shared" si="193"/>
        <v>0</v>
      </c>
      <c r="N1460" s="177">
        <f t="shared" si="193"/>
        <v>560</v>
      </c>
      <c r="O1460" s="177">
        <f t="shared" si="193"/>
        <v>1788296</v>
      </c>
      <c r="P1460" s="177">
        <f t="shared" si="193"/>
        <v>0</v>
      </c>
      <c r="Q1460" s="177">
        <f t="shared" si="193"/>
        <v>0</v>
      </c>
      <c r="R1460" s="177">
        <f t="shared" si="193"/>
        <v>0</v>
      </c>
      <c r="S1460" s="177">
        <f t="shared" si="193"/>
        <v>0</v>
      </c>
      <c r="T1460" s="177">
        <f t="shared" si="193"/>
        <v>0</v>
      </c>
      <c r="U1460" s="177">
        <f t="shared" si="193"/>
        <v>0</v>
      </c>
      <c r="V1460" s="241"/>
      <c r="W1460" s="241"/>
      <c r="X1460" s="241"/>
    </row>
    <row r="1461" spans="1:28" ht="27.6" customHeight="1">
      <c r="A1461" s="166">
        <v>364</v>
      </c>
      <c r="B1461" s="227" t="s">
        <v>984</v>
      </c>
      <c r="C1461" s="177">
        <f>'часть 1'!L1489</f>
        <v>1788296</v>
      </c>
      <c r="D1461" s="177">
        <v>0</v>
      </c>
      <c r="E1461" s="177">
        <v>0</v>
      </c>
      <c r="F1461" s="177">
        <v>0</v>
      </c>
      <c r="G1461" s="177">
        <v>0</v>
      </c>
      <c r="H1461" s="177">
        <v>0</v>
      </c>
      <c r="I1461" s="177">
        <v>0</v>
      </c>
      <c r="J1461" s="177">
        <v>0</v>
      </c>
      <c r="K1461" s="177">
        <v>0</v>
      </c>
      <c r="L1461" s="178">
        <v>0</v>
      </c>
      <c r="M1461" s="177">
        <v>0</v>
      </c>
      <c r="N1461" s="177">
        <v>560</v>
      </c>
      <c r="O1461" s="177">
        <v>1788296</v>
      </c>
      <c r="P1461" s="179">
        <v>0</v>
      </c>
      <c r="Q1461" s="177">
        <v>0</v>
      </c>
      <c r="R1461" s="179">
        <v>0</v>
      </c>
      <c r="S1461" s="177">
        <v>0</v>
      </c>
      <c r="T1461" s="178">
        <v>0</v>
      </c>
      <c r="U1461" s="248">
        <v>0</v>
      </c>
      <c r="V1461" s="241"/>
      <c r="W1461" s="241">
        <f>O1461/N1461</f>
        <v>3193.3857142857141</v>
      </c>
      <c r="X1461" s="241"/>
    </row>
    <row r="1462" spans="1:28">
      <c r="A1462" s="166"/>
      <c r="B1462" s="182" t="s">
        <v>58</v>
      </c>
      <c r="C1462" s="177">
        <v>12228909</v>
      </c>
      <c r="D1462" s="177"/>
      <c r="E1462" s="177"/>
      <c r="F1462" s="177"/>
      <c r="G1462" s="177"/>
      <c r="H1462" s="177"/>
      <c r="I1462" s="177"/>
      <c r="J1462" s="177"/>
      <c r="K1462" s="177">
        <v>215709</v>
      </c>
      <c r="L1462" s="178">
        <v>0</v>
      </c>
      <c r="M1462" s="177">
        <v>0</v>
      </c>
      <c r="N1462" s="177">
        <v>6001.34</v>
      </c>
      <c r="O1462" s="177">
        <v>12013200</v>
      </c>
      <c r="P1462" s="179">
        <v>0</v>
      </c>
      <c r="Q1462" s="177">
        <v>0</v>
      </c>
      <c r="R1462" s="179">
        <v>0</v>
      </c>
      <c r="S1462" s="177">
        <v>0</v>
      </c>
      <c r="T1462" s="178">
        <v>0</v>
      </c>
      <c r="U1462" s="248">
        <v>0</v>
      </c>
      <c r="V1462" s="241"/>
      <c r="W1462" s="241"/>
      <c r="X1462" s="241"/>
    </row>
    <row r="1463" spans="1:28" ht="30">
      <c r="A1463" s="166"/>
      <c r="B1463" s="180" t="s">
        <v>87</v>
      </c>
      <c r="C1463" s="177">
        <v>12228909</v>
      </c>
      <c r="D1463" s="177"/>
      <c r="E1463" s="177"/>
      <c r="F1463" s="177"/>
      <c r="G1463" s="177"/>
      <c r="H1463" s="177"/>
      <c r="I1463" s="177"/>
      <c r="J1463" s="177"/>
      <c r="K1463" s="177">
        <v>215709</v>
      </c>
      <c r="L1463" s="178">
        <v>0</v>
      </c>
      <c r="M1463" s="177">
        <v>0</v>
      </c>
      <c r="N1463" s="177">
        <v>6001.34</v>
      </c>
      <c r="O1463" s="177">
        <v>12013200</v>
      </c>
      <c r="P1463" s="179">
        <v>0</v>
      </c>
      <c r="Q1463" s="177">
        <v>0</v>
      </c>
      <c r="R1463" s="179">
        <v>0</v>
      </c>
      <c r="S1463" s="177">
        <v>0</v>
      </c>
      <c r="T1463" s="178">
        <v>0</v>
      </c>
      <c r="U1463" s="248">
        <v>0</v>
      </c>
      <c r="V1463" s="241"/>
      <c r="W1463" s="241"/>
      <c r="X1463" s="241"/>
    </row>
    <row r="1464" spans="1:28" s="23" customFormat="1">
      <c r="A1464" s="166">
        <v>366</v>
      </c>
      <c r="B1464" s="203" t="s">
        <v>84</v>
      </c>
      <c r="C1464" s="198">
        <v>1668544</v>
      </c>
      <c r="D1464" s="198"/>
      <c r="E1464" s="198"/>
      <c r="F1464" s="198"/>
      <c r="G1464" s="198"/>
      <c r="H1464" s="198"/>
      <c r="I1464" s="198"/>
      <c r="J1464" s="198"/>
      <c r="K1464" s="164">
        <v>0</v>
      </c>
      <c r="L1464" s="162">
        <v>0</v>
      </c>
      <c r="M1464" s="175">
        <v>0</v>
      </c>
      <c r="N1464" s="167">
        <v>840</v>
      </c>
      <c r="O1464" s="202">
        <v>1668544</v>
      </c>
      <c r="P1464" s="168">
        <v>0</v>
      </c>
      <c r="Q1464" s="167">
        <v>0</v>
      </c>
      <c r="R1464" s="168">
        <v>0</v>
      </c>
      <c r="S1464" s="167">
        <v>0</v>
      </c>
      <c r="T1464" s="169">
        <v>0</v>
      </c>
      <c r="U1464" s="252">
        <v>0</v>
      </c>
      <c r="V1464" s="241"/>
      <c r="W1464" s="241"/>
      <c r="X1464" s="241"/>
    </row>
    <row r="1465" spans="1:28" s="23" customFormat="1">
      <c r="A1465" s="166">
        <v>367</v>
      </c>
      <c r="B1465" s="203" t="s">
        <v>425</v>
      </c>
      <c r="C1465" s="177">
        <v>2239107</v>
      </c>
      <c r="D1465" s="177"/>
      <c r="E1465" s="177"/>
      <c r="F1465" s="177"/>
      <c r="G1465" s="177"/>
      <c r="H1465" s="177"/>
      <c r="I1465" s="177"/>
      <c r="J1465" s="177"/>
      <c r="K1465" s="164">
        <v>0</v>
      </c>
      <c r="L1465" s="162">
        <v>0</v>
      </c>
      <c r="M1465" s="175">
        <v>0</v>
      </c>
      <c r="N1465" s="167">
        <v>1101</v>
      </c>
      <c r="O1465" s="202">
        <v>2239107</v>
      </c>
      <c r="P1465" s="168">
        <v>0</v>
      </c>
      <c r="Q1465" s="167">
        <v>0</v>
      </c>
      <c r="R1465" s="168">
        <v>0</v>
      </c>
      <c r="S1465" s="167">
        <v>0</v>
      </c>
      <c r="T1465" s="169">
        <v>0</v>
      </c>
      <c r="U1465" s="252">
        <v>0</v>
      </c>
      <c r="V1465" s="241"/>
      <c r="W1465" s="241"/>
      <c r="X1465" s="241"/>
    </row>
    <row r="1466" spans="1:28" s="23" customFormat="1">
      <c r="A1466" s="166">
        <v>368</v>
      </c>
      <c r="B1466" s="203" t="s">
        <v>433</v>
      </c>
      <c r="C1466" s="198">
        <v>215709</v>
      </c>
      <c r="D1466" s="198"/>
      <c r="E1466" s="198"/>
      <c r="F1466" s="198"/>
      <c r="G1466" s="198"/>
      <c r="H1466" s="198"/>
      <c r="I1466" s="198"/>
      <c r="J1466" s="198"/>
      <c r="K1466" s="164">
        <v>215709</v>
      </c>
      <c r="L1466" s="162">
        <v>0</v>
      </c>
      <c r="M1466" s="175">
        <v>0</v>
      </c>
      <c r="N1466" s="167">
        <v>0</v>
      </c>
      <c r="O1466" s="202">
        <v>0</v>
      </c>
      <c r="P1466" s="168">
        <v>0</v>
      </c>
      <c r="Q1466" s="167">
        <v>0</v>
      </c>
      <c r="R1466" s="168">
        <v>0</v>
      </c>
      <c r="S1466" s="167">
        <v>0</v>
      </c>
      <c r="T1466" s="169">
        <v>0</v>
      </c>
      <c r="U1466" s="252">
        <v>0</v>
      </c>
      <c r="V1466" s="241"/>
      <c r="W1466" s="241"/>
      <c r="X1466" s="241"/>
    </row>
    <row r="1467" spans="1:28" s="23" customFormat="1">
      <c r="A1467" s="166">
        <v>369</v>
      </c>
      <c r="B1467" s="203" t="s">
        <v>79</v>
      </c>
      <c r="C1467" s="177">
        <v>706234</v>
      </c>
      <c r="D1467" s="177"/>
      <c r="E1467" s="177"/>
      <c r="F1467" s="177"/>
      <c r="G1467" s="177"/>
      <c r="H1467" s="177"/>
      <c r="I1467" s="177"/>
      <c r="J1467" s="177"/>
      <c r="K1467" s="164">
        <v>0</v>
      </c>
      <c r="L1467" s="162">
        <v>0</v>
      </c>
      <c r="M1467" s="175">
        <v>0</v>
      </c>
      <c r="N1467" s="167">
        <v>348</v>
      </c>
      <c r="O1467" s="202">
        <v>706234</v>
      </c>
      <c r="P1467" s="168">
        <v>0</v>
      </c>
      <c r="Q1467" s="167">
        <v>0</v>
      </c>
      <c r="R1467" s="168">
        <v>0</v>
      </c>
      <c r="S1467" s="167">
        <v>0</v>
      </c>
      <c r="T1467" s="169">
        <v>0</v>
      </c>
      <c r="U1467" s="252">
        <v>0</v>
      </c>
      <c r="V1467" s="241"/>
      <c r="W1467" s="241"/>
      <c r="X1467" s="241"/>
    </row>
    <row r="1468" spans="1:28" s="23" customFormat="1">
      <c r="A1468" s="166">
        <v>370</v>
      </c>
      <c r="B1468" s="203" t="s">
        <v>78</v>
      </c>
      <c r="C1468" s="177">
        <v>651603</v>
      </c>
      <c r="D1468" s="177"/>
      <c r="E1468" s="177"/>
      <c r="F1468" s="177"/>
      <c r="G1468" s="177"/>
      <c r="H1468" s="177"/>
      <c r="I1468" s="177"/>
      <c r="J1468" s="177"/>
      <c r="K1468" s="164">
        <v>0</v>
      </c>
      <c r="L1468" s="162">
        <v>0</v>
      </c>
      <c r="M1468" s="175">
        <v>0</v>
      </c>
      <c r="N1468" s="167">
        <v>320</v>
      </c>
      <c r="O1468" s="202">
        <v>651603</v>
      </c>
      <c r="P1468" s="168">
        <v>0</v>
      </c>
      <c r="Q1468" s="167">
        <v>0</v>
      </c>
      <c r="R1468" s="168">
        <v>0</v>
      </c>
      <c r="S1468" s="167">
        <v>0</v>
      </c>
      <c r="T1468" s="169">
        <v>0</v>
      </c>
      <c r="U1468" s="252">
        <v>0</v>
      </c>
      <c r="V1468" s="241"/>
      <c r="W1468" s="241"/>
      <c r="X1468" s="241"/>
    </row>
    <row r="1469" spans="1:28" s="23" customFormat="1">
      <c r="A1469" s="166">
        <v>371</v>
      </c>
      <c r="B1469" s="203" t="s">
        <v>426</v>
      </c>
      <c r="C1469" s="198">
        <v>698701</v>
      </c>
      <c r="D1469" s="198"/>
      <c r="E1469" s="198"/>
      <c r="F1469" s="198"/>
      <c r="G1469" s="198"/>
      <c r="H1469" s="198"/>
      <c r="I1469" s="198"/>
      <c r="J1469" s="198"/>
      <c r="K1469" s="164">
        <v>0</v>
      </c>
      <c r="L1469" s="162">
        <v>0</v>
      </c>
      <c r="M1469" s="175">
        <v>0</v>
      </c>
      <c r="N1469" s="167">
        <v>352</v>
      </c>
      <c r="O1469" s="202">
        <v>698701</v>
      </c>
      <c r="P1469" s="168">
        <v>0</v>
      </c>
      <c r="Q1469" s="167">
        <v>0</v>
      </c>
      <c r="R1469" s="168">
        <v>0</v>
      </c>
      <c r="S1469" s="167">
        <v>0</v>
      </c>
      <c r="T1469" s="169">
        <v>0</v>
      </c>
      <c r="U1469" s="252">
        <v>0</v>
      </c>
      <c r="V1469" s="241"/>
      <c r="W1469" s="241"/>
      <c r="X1469" s="241"/>
    </row>
    <row r="1470" spans="1:28" s="23" customFormat="1">
      <c r="A1470" s="166">
        <v>372</v>
      </c>
      <c r="B1470" s="203" t="s">
        <v>80</v>
      </c>
      <c r="C1470" s="198">
        <v>1512903</v>
      </c>
      <c r="D1470" s="198"/>
      <c r="E1470" s="198"/>
      <c r="F1470" s="198"/>
      <c r="G1470" s="198"/>
      <c r="H1470" s="198"/>
      <c r="I1470" s="198"/>
      <c r="J1470" s="198"/>
      <c r="K1470" s="164">
        <v>0</v>
      </c>
      <c r="L1470" s="162">
        <v>0</v>
      </c>
      <c r="M1470" s="175">
        <v>0</v>
      </c>
      <c r="N1470" s="167">
        <v>762</v>
      </c>
      <c r="O1470" s="202">
        <v>1512903</v>
      </c>
      <c r="P1470" s="168">
        <v>0</v>
      </c>
      <c r="Q1470" s="167">
        <v>0</v>
      </c>
      <c r="R1470" s="168">
        <v>0</v>
      </c>
      <c r="S1470" s="167">
        <v>0</v>
      </c>
      <c r="T1470" s="169">
        <v>0</v>
      </c>
      <c r="U1470" s="252">
        <v>0</v>
      </c>
      <c r="V1470" s="241"/>
      <c r="W1470" s="241"/>
      <c r="X1470" s="241"/>
    </row>
    <row r="1471" spans="1:28" s="23" customFormat="1">
      <c r="A1471" s="166">
        <v>373</v>
      </c>
      <c r="B1471" s="203" t="s">
        <v>81</v>
      </c>
      <c r="C1471" s="198">
        <v>2294873</v>
      </c>
      <c r="D1471" s="198"/>
      <c r="E1471" s="198"/>
      <c r="F1471" s="198"/>
      <c r="G1471" s="198"/>
      <c r="H1471" s="198"/>
      <c r="I1471" s="198"/>
      <c r="J1471" s="198"/>
      <c r="K1471" s="164">
        <v>0</v>
      </c>
      <c r="L1471" s="162">
        <v>0</v>
      </c>
      <c r="M1471" s="175">
        <v>0</v>
      </c>
      <c r="N1471" s="167">
        <v>1162</v>
      </c>
      <c r="O1471" s="202">
        <v>2294873</v>
      </c>
      <c r="P1471" s="168">
        <v>0</v>
      </c>
      <c r="Q1471" s="167">
        <v>0</v>
      </c>
      <c r="R1471" s="196">
        <v>0</v>
      </c>
      <c r="S1471" s="202">
        <v>0</v>
      </c>
      <c r="T1471" s="169">
        <v>0</v>
      </c>
      <c r="U1471" s="252">
        <v>0</v>
      </c>
      <c r="V1471" s="241"/>
      <c r="W1471" s="241"/>
      <c r="X1471" s="241"/>
    </row>
    <row r="1472" spans="1:28" s="23" customFormat="1">
      <c r="A1472" s="166">
        <v>374</v>
      </c>
      <c r="B1472" s="203" t="s">
        <v>82</v>
      </c>
      <c r="C1472" s="198">
        <v>879987</v>
      </c>
      <c r="D1472" s="198"/>
      <c r="E1472" s="198"/>
      <c r="F1472" s="198"/>
      <c r="G1472" s="198"/>
      <c r="H1472" s="198"/>
      <c r="I1472" s="198"/>
      <c r="J1472" s="198"/>
      <c r="K1472" s="164">
        <v>0</v>
      </c>
      <c r="L1472" s="162">
        <v>0</v>
      </c>
      <c r="M1472" s="175">
        <v>0</v>
      </c>
      <c r="N1472" s="167">
        <v>436.34</v>
      </c>
      <c r="O1472" s="202">
        <v>879987</v>
      </c>
      <c r="P1472" s="168">
        <v>0</v>
      </c>
      <c r="Q1472" s="167">
        <v>0</v>
      </c>
      <c r="R1472" s="168">
        <v>0</v>
      </c>
      <c r="S1472" s="202">
        <v>0</v>
      </c>
      <c r="T1472" s="169">
        <v>0</v>
      </c>
      <c r="U1472" s="252">
        <v>0</v>
      </c>
      <c r="V1472" s="241"/>
      <c r="W1472" s="241"/>
      <c r="X1472" s="241"/>
    </row>
    <row r="1473" spans="1:26" s="23" customFormat="1">
      <c r="A1473" s="166">
        <v>375</v>
      </c>
      <c r="B1473" s="203" t="s">
        <v>83</v>
      </c>
      <c r="C1473" s="198">
        <v>1361248</v>
      </c>
      <c r="D1473" s="198"/>
      <c r="E1473" s="198"/>
      <c r="F1473" s="198"/>
      <c r="G1473" s="198"/>
      <c r="H1473" s="198"/>
      <c r="I1473" s="198"/>
      <c r="J1473" s="198"/>
      <c r="K1473" s="164">
        <v>0</v>
      </c>
      <c r="L1473" s="162">
        <v>0</v>
      </c>
      <c r="M1473" s="175">
        <v>0</v>
      </c>
      <c r="N1473" s="167">
        <v>680</v>
      </c>
      <c r="O1473" s="202">
        <v>1361248</v>
      </c>
      <c r="P1473" s="168">
        <v>0</v>
      </c>
      <c r="Q1473" s="167">
        <v>0</v>
      </c>
      <c r="R1473" s="196">
        <v>0</v>
      </c>
      <c r="S1473" s="202">
        <v>0</v>
      </c>
      <c r="T1473" s="169">
        <v>0</v>
      </c>
      <c r="U1473" s="252">
        <v>0</v>
      </c>
      <c r="V1473" s="241"/>
      <c r="W1473" s="241"/>
      <c r="X1473" s="241"/>
    </row>
    <row r="1474" spans="1:26" ht="35.450000000000003" customHeight="1">
      <c r="A1474" s="410"/>
      <c r="B1474" s="462" t="s">
        <v>59</v>
      </c>
      <c r="C1474" s="419">
        <f>C1475+C1476</f>
        <v>0</v>
      </c>
      <c r="D1474" s="419">
        <f t="shared" ref="D1474:V1474" si="194">D1475+D1476</f>
        <v>0</v>
      </c>
      <c r="E1474" s="419">
        <f t="shared" si="194"/>
        <v>0</v>
      </c>
      <c r="F1474" s="419">
        <f t="shared" si="194"/>
        <v>0</v>
      </c>
      <c r="G1474" s="419">
        <f t="shared" si="194"/>
        <v>0</v>
      </c>
      <c r="H1474" s="419">
        <f t="shared" si="194"/>
        <v>0</v>
      </c>
      <c r="I1474" s="419">
        <f t="shared" si="194"/>
        <v>0</v>
      </c>
      <c r="J1474" s="419">
        <f t="shared" si="194"/>
        <v>0</v>
      </c>
      <c r="K1474" s="419">
        <f t="shared" si="194"/>
        <v>0</v>
      </c>
      <c r="L1474" s="419">
        <f t="shared" si="194"/>
        <v>0</v>
      </c>
      <c r="M1474" s="419">
        <f t="shared" si="194"/>
        <v>0</v>
      </c>
      <c r="N1474" s="419">
        <f t="shared" si="194"/>
        <v>0</v>
      </c>
      <c r="O1474" s="419">
        <f t="shared" si="194"/>
        <v>0</v>
      </c>
      <c r="P1474" s="419">
        <f t="shared" si="194"/>
        <v>0</v>
      </c>
      <c r="Q1474" s="419">
        <f t="shared" si="194"/>
        <v>0</v>
      </c>
      <c r="R1474" s="419">
        <f t="shared" si="194"/>
        <v>0</v>
      </c>
      <c r="S1474" s="419">
        <f t="shared" si="194"/>
        <v>0</v>
      </c>
      <c r="T1474" s="419">
        <f t="shared" si="194"/>
        <v>0</v>
      </c>
      <c r="U1474" s="419">
        <f t="shared" si="194"/>
        <v>0</v>
      </c>
      <c r="V1474" s="177">
        <f t="shared" si="194"/>
        <v>0</v>
      </c>
      <c r="W1474" s="241"/>
      <c r="X1474" s="241"/>
    </row>
    <row r="1475" spans="1:26" ht="30">
      <c r="A1475" s="410"/>
      <c r="B1475" s="461" t="s">
        <v>86</v>
      </c>
      <c r="C1475" s="491">
        <v>0</v>
      </c>
      <c r="D1475" s="491">
        <v>0</v>
      </c>
      <c r="E1475" s="491">
        <v>0</v>
      </c>
      <c r="F1475" s="491">
        <v>0</v>
      </c>
      <c r="G1475" s="491">
        <v>0</v>
      </c>
      <c r="H1475" s="491">
        <v>0</v>
      </c>
      <c r="I1475" s="491">
        <v>0</v>
      </c>
      <c r="J1475" s="491">
        <v>0</v>
      </c>
      <c r="K1475" s="491">
        <v>0</v>
      </c>
      <c r="L1475" s="813">
        <v>0</v>
      </c>
      <c r="M1475" s="491">
        <v>0</v>
      </c>
      <c r="N1475" s="491">
        <v>0</v>
      </c>
      <c r="O1475" s="491">
        <v>0</v>
      </c>
      <c r="P1475" s="814">
        <v>0</v>
      </c>
      <c r="Q1475" s="491">
        <v>0</v>
      </c>
      <c r="R1475" s="491">
        <v>0</v>
      </c>
      <c r="S1475" s="491">
        <v>0</v>
      </c>
      <c r="T1475" s="813">
        <v>0</v>
      </c>
      <c r="U1475" s="815">
        <v>0</v>
      </c>
      <c r="V1475" s="241"/>
      <c r="W1475" s="241"/>
      <c r="X1475" s="241"/>
      <c r="Y1475" s="24"/>
      <c r="Z1475" s="24"/>
    </row>
    <row r="1476" spans="1:26" ht="30">
      <c r="A1476" s="410"/>
      <c r="B1476" s="461" t="s">
        <v>85</v>
      </c>
      <c r="C1476" s="491">
        <v>0</v>
      </c>
      <c r="D1476" s="491">
        <v>0</v>
      </c>
      <c r="E1476" s="491">
        <v>0</v>
      </c>
      <c r="F1476" s="491">
        <v>0</v>
      </c>
      <c r="G1476" s="491">
        <v>0</v>
      </c>
      <c r="H1476" s="491">
        <v>0</v>
      </c>
      <c r="I1476" s="491">
        <v>0</v>
      </c>
      <c r="J1476" s="491">
        <v>0</v>
      </c>
      <c r="K1476" s="491">
        <v>0</v>
      </c>
      <c r="L1476" s="813">
        <v>0</v>
      </c>
      <c r="M1476" s="491">
        <v>0</v>
      </c>
      <c r="N1476" s="491">
        <v>0</v>
      </c>
      <c r="O1476" s="491">
        <v>0</v>
      </c>
      <c r="P1476" s="814">
        <v>0</v>
      </c>
      <c r="Q1476" s="491">
        <v>0</v>
      </c>
      <c r="R1476" s="814">
        <v>0</v>
      </c>
      <c r="S1476" s="491">
        <v>0</v>
      </c>
      <c r="T1476" s="816">
        <v>0</v>
      </c>
      <c r="U1476" s="815">
        <v>0</v>
      </c>
      <c r="V1476" s="241"/>
      <c r="W1476" s="241"/>
      <c r="X1476" s="241"/>
      <c r="Y1476" s="73"/>
      <c r="Z1476" s="73"/>
    </row>
    <row r="1477" spans="1:26">
      <c r="A1477" s="166"/>
      <c r="B1477" s="182" t="s">
        <v>60</v>
      </c>
      <c r="C1477" s="177">
        <v>9462538</v>
      </c>
      <c r="D1477" s="177"/>
      <c r="E1477" s="177"/>
      <c r="F1477" s="177"/>
      <c r="G1477" s="177"/>
      <c r="H1477" s="177"/>
      <c r="I1477" s="177"/>
      <c r="J1477" s="177"/>
      <c r="K1477" s="177">
        <v>0</v>
      </c>
      <c r="L1477" s="178">
        <v>0</v>
      </c>
      <c r="M1477" s="177">
        <v>0</v>
      </c>
      <c r="N1477" s="177">
        <v>1596</v>
      </c>
      <c r="O1477" s="177">
        <v>3173810</v>
      </c>
      <c r="P1477" s="179">
        <v>0</v>
      </c>
      <c r="Q1477" s="177">
        <v>0</v>
      </c>
      <c r="R1477" s="177">
        <v>4347</v>
      </c>
      <c r="S1477" s="177">
        <v>6288728</v>
      </c>
      <c r="T1477" s="178">
        <v>0</v>
      </c>
      <c r="U1477" s="248">
        <v>0</v>
      </c>
      <c r="V1477" s="241"/>
      <c r="W1477" s="241"/>
      <c r="X1477" s="241"/>
    </row>
    <row r="1478" spans="1:26" ht="30">
      <c r="A1478" s="166"/>
      <c r="B1478" s="180" t="s">
        <v>113</v>
      </c>
      <c r="C1478" s="177">
        <v>9462538</v>
      </c>
      <c r="D1478" s="177"/>
      <c r="E1478" s="177"/>
      <c r="F1478" s="177"/>
      <c r="G1478" s="177"/>
      <c r="H1478" s="177"/>
      <c r="I1478" s="177"/>
      <c r="J1478" s="177"/>
      <c r="K1478" s="177">
        <v>0</v>
      </c>
      <c r="L1478" s="178">
        <v>0</v>
      </c>
      <c r="M1478" s="177">
        <v>0</v>
      </c>
      <c r="N1478" s="177">
        <v>1596</v>
      </c>
      <c r="O1478" s="177">
        <v>3173810</v>
      </c>
      <c r="P1478" s="179">
        <v>0</v>
      </c>
      <c r="Q1478" s="177">
        <v>0</v>
      </c>
      <c r="R1478" s="177">
        <v>4347</v>
      </c>
      <c r="S1478" s="177">
        <v>6288728</v>
      </c>
      <c r="T1478" s="178">
        <v>0</v>
      </c>
      <c r="U1478" s="248">
        <v>0</v>
      </c>
      <c r="V1478" s="241"/>
      <c r="W1478" s="241"/>
      <c r="X1478" s="241"/>
    </row>
    <row r="1479" spans="1:26" s="25" customFormat="1">
      <c r="A1479" s="166">
        <v>435</v>
      </c>
      <c r="B1479" s="173" t="s">
        <v>76</v>
      </c>
      <c r="C1479" s="198">
        <v>3626543</v>
      </c>
      <c r="D1479" s="198"/>
      <c r="E1479" s="198"/>
      <c r="F1479" s="198"/>
      <c r="G1479" s="198"/>
      <c r="H1479" s="198"/>
      <c r="I1479" s="198"/>
      <c r="J1479" s="198"/>
      <c r="K1479" s="177">
        <v>0</v>
      </c>
      <c r="L1479" s="178">
        <v>0</v>
      </c>
      <c r="M1479" s="177">
        <v>0</v>
      </c>
      <c r="N1479" s="177">
        <v>0</v>
      </c>
      <c r="O1479" s="177">
        <v>0</v>
      </c>
      <c r="P1479" s="179">
        <v>0</v>
      </c>
      <c r="Q1479" s="177">
        <v>0</v>
      </c>
      <c r="R1479" s="198">
        <v>2511</v>
      </c>
      <c r="S1479" s="198">
        <v>3626543</v>
      </c>
      <c r="T1479" s="178">
        <v>0</v>
      </c>
      <c r="U1479" s="248">
        <v>0</v>
      </c>
      <c r="V1479" s="241"/>
      <c r="W1479" s="241"/>
      <c r="X1479" s="241"/>
    </row>
    <row r="1480" spans="1:26" s="25" customFormat="1">
      <c r="A1480" s="166">
        <v>436</v>
      </c>
      <c r="B1480" s="173" t="s">
        <v>75</v>
      </c>
      <c r="C1480" s="198">
        <v>2160246</v>
      </c>
      <c r="D1480" s="198"/>
      <c r="E1480" s="198"/>
      <c r="F1480" s="198"/>
      <c r="G1480" s="198"/>
      <c r="H1480" s="198"/>
      <c r="I1480" s="198"/>
      <c r="J1480" s="198"/>
      <c r="K1480" s="177">
        <v>0</v>
      </c>
      <c r="L1480" s="178">
        <v>0</v>
      </c>
      <c r="M1480" s="177">
        <v>0</v>
      </c>
      <c r="N1480" s="198">
        <v>1092</v>
      </c>
      <c r="O1480" s="198">
        <v>2160246</v>
      </c>
      <c r="P1480" s="179">
        <v>0</v>
      </c>
      <c r="Q1480" s="177">
        <v>0</v>
      </c>
      <c r="R1480" s="179">
        <v>0</v>
      </c>
      <c r="S1480" s="177">
        <v>0</v>
      </c>
      <c r="T1480" s="178">
        <v>0</v>
      </c>
      <c r="U1480" s="248">
        <v>0</v>
      </c>
      <c r="V1480" s="241"/>
      <c r="W1480" s="241"/>
      <c r="X1480" s="241"/>
    </row>
    <row r="1481" spans="1:26" s="25" customFormat="1">
      <c r="A1481" s="166">
        <v>437</v>
      </c>
      <c r="B1481" s="173" t="s">
        <v>77</v>
      </c>
      <c r="C1481" s="198">
        <v>1013564</v>
      </c>
      <c r="D1481" s="198"/>
      <c r="E1481" s="198"/>
      <c r="F1481" s="198"/>
      <c r="G1481" s="198"/>
      <c r="H1481" s="198"/>
      <c r="I1481" s="198"/>
      <c r="J1481" s="198"/>
      <c r="K1481" s="177">
        <v>0</v>
      </c>
      <c r="L1481" s="178">
        <v>0</v>
      </c>
      <c r="M1481" s="177">
        <v>0</v>
      </c>
      <c r="N1481" s="198">
        <v>504</v>
      </c>
      <c r="O1481" s="198">
        <v>1013564</v>
      </c>
      <c r="P1481" s="179">
        <v>0</v>
      </c>
      <c r="Q1481" s="177">
        <v>0</v>
      </c>
      <c r="R1481" s="179">
        <v>0</v>
      </c>
      <c r="S1481" s="177">
        <v>0</v>
      </c>
      <c r="T1481" s="178">
        <v>0</v>
      </c>
      <c r="U1481" s="248">
        <v>0</v>
      </c>
      <c r="V1481" s="241"/>
      <c r="W1481" s="241"/>
      <c r="X1481" s="241"/>
    </row>
    <row r="1482" spans="1:26" s="25" customFormat="1">
      <c r="A1482" s="166">
        <v>438</v>
      </c>
      <c r="B1482" s="173" t="s">
        <v>427</v>
      </c>
      <c r="C1482" s="198">
        <v>2662185</v>
      </c>
      <c r="D1482" s="198"/>
      <c r="E1482" s="198"/>
      <c r="F1482" s="198"/>
      <c r="G1482" s="198"/>
      <c r="H1482" s="198"/>
      <c r="I1482" s="198"/>
      <c r="J1482" s="198"/>
      <c r="K1482" s="177">
        <v>0</v>
      </c>
      <c r="L1482" s="178">
        <v>0</v>
      </c>
      <c r="M1482" s="177">
        <v>0</v>
      </c>
      <c r="N1482" s="177">
        <v>0</v>
      </c>
      <c r="O1482" s="177">
        <v>0</v>
      </c>
      <c r="P1482" s="179">
        <v>0</v>
      </c>
      <c r="Q1482" s="177">
        <v>0</v>
      </c>
      <c r="R1482" s="198">
        <v>1836</v>
      </c>
      <c r="S1482" s="198">
        <v>2662185</v>
      </c>
      <c r="T1482" s="178">
        <v>0</v>
      </c>
      <c r="U1482" s="248">
        <v>0</v>
      </c>
      <c r="V1482" s="241"/>
      <c r="W1482" s="241"/>
      <c r="X1482" s="241"/>
    </row>
    <row r="1483" spans="1:26" s="25" customFormat="1">
      <c r="A1483" s="166"/>
      <c r="B1483" s="173" t="s">
        <v>208</v>
      </c>
      <c r="C1483" s="198">
        <v>562350</v>
      </c>
      <c r="D1483" s="198"/>
      <c r="E1483" s="198"/>
      <c r="F1483" s="198"/>
      <c r="G1483" s="198"/>
      <c r="H1483" s="198"/>
      <c r="I1483" s="198"/>
      <c r="J1483" s="198"/>
      <c r="K1483" s="198">
        <v>0</v>
      </c>
      <c r="L1483" s="204">
        <v>0</v>
      </c>
      <c r="M1483" s="198">
        <v>0</v>
      </c>
      <c r="N1483" s="198">
        <v>275</v>
      </c>
      <c r="O1483" s="198">
        <v>562350</v>
      </c>
      <c r="P1483" s="196">
        <v>0</v>
      </c>
      <c r="Q1483" s="198">
        <v>0</v>
      </c>
      <c r="R1483" s="196">
        <v>0</v>
      </c>
      <c r="S1483" s="198">
        <v>0</v>
      </c>
      <c r="T1483" s="196">
        <v>0</v>
      </c>
      <c r="U1483" s="253">
        <v>0</v>
      </c>
      <c r="V1483" s="241"/>
      <c r="W1483" s="241"/>
      <c r="X1483" s="241"/>
    </row>
    <row r="1484" spans="1:26" s="25" customFormat="1" ht="30">
      <c r="A1484" s="166"/>
      <c r="B1484" s="180" t="s">
        <v>209</v>
      </c>
      <c r="C1484" s="198">
        <f>C1485</f>
        <v>512860</v>
      </c>
      <c r="D1484" s="198">
        <f t="shared" ref="D1484:U1484" si="195">D1485</f>
        <v>0</v>
      </c>
      <c r="E1484" s="198">
        <f t="shared" si="195"/>
        <v>0</v>
      </c>
      <c r="F1484" s="198">
        <f t="shared" si="195"/>
        <v>0</v>
      </c>
      <c r="G1484" s="198">
        <f t="shared" si="195"/>
        <v>0</v>
      </c>
      <c r="H1484" s="198">
        <f t="shared" si="195"/>
        <v>0</v>
      </c>
      <c r="I1484" s="198">
        <f t="shared" si="195"/>
        <v>0</v>
      </c>
      <c r="J1484" s="198">
        <f t="shared" si="195"/>
        <v>0</v>
      </c>
      <c r="K1484" s="198">
        <f t="shared" si="195"/>
        <v>0</v>
      </c>
      <c r="L1484" s="198">
        <f t="shared" si="195"/>
        <v>0</v>
      </c>
      <c r="M1484" s="198">
        <f t="shared" si="195"/>
        <v>0</v>
      </c>
      <c r="N1484" s="198">
        <f t="shared" si="195"/>
        <v>0</v>
      </c>
      <c r="O1484" s="198">
        <f t="shared" si="195"/>
        <v>0</v>
      </c>
      <c r="P1484" s="198">
        <f t="shared" si="195"/>
        <v>0</v>
      </c>
      <c r="Q1484" s="198">
        <f t="shared" si="195"/>
        <v>0</v>
      </c>
      <c r="R1484" s="198">
        <f t="shared" si="195"/>
        <v>331.56</v>
      </c>
      <c r="S1484" s="198">
        <f t="shared" si="195"/>
        <v>512860</v>
      </c>
      <c r="T1484" s="198">
        <f t="shared" si="195"/>
        <v>0</v>
      </c>
      <c r="U1484" s="198">
        <f t="shared" si="195"/>
        <v>0</v>
      </c>
      <c r="V1484" s="241"/>
      <c r="W1484" s="241"/>
      <c r="X1484" s="241"/>
    </row>
    <row r="1485" spans="1:26" s="25" customFormat="1">
      <c r="A1485" s="410">
        <v>439</v>
      </c>
      <c r="B1485" s="458" t="s">
        <v>480</v>
      </c>
      <c r="C1485" s="459">
        <v>512860</v>
      </c>
      <c r="D1485" s="459">
        <v>0</v>
      </c>
      <c r="E1485" s="459">
        <v>0</v>
      </c>
      <c r="F1485" s="459">
        <v>0</v>
      </c>
      <c r="G1485" s="459">
        <v>0</v>
      </c>
      <c r="H1485" s="459">
        <v>0</v>
      </c>
      <c r="I1485" s="459">
        <v>0</v>
      </c>
      <c r="J1485" s="459">
        <v>0</v>
      </c>
      <c r="K1485" s="419">
        <v>0</v>
      </c>
      <c r="L1485" s="453">
        <v>0</v>
      </c>
      <c r="M1485" s="419">
        <v>0</v>
      </c>
      <c r="N1485" s="419">
        <v>0</v>
      </c>
      <c r="O1485" s="419">
        <v>0</v>
      </c>
      <c r="P1485" s="454">
        <v>0</v>
      </c>
      <c r="Q1485" s="419">
        <v>0</v>
      </c>
      <c r="R1485" s="460">
        <v>331.56</v>
      </c>
      <c r="S1485" s="459">
        <v>512860</v>
      </c>
      <c r="T1485" s="453">
        <v>0</v>
      </c>
      <c r="U1485" s="455">
        <v>0</v>
      </c>
      <c r="V1485" s="241"/>
      <c r="W1485" s="241"/>
      <c r="X1485" s="241">
        <f>S1485/R1485</f>
        <v>1546.8090240077211</v>
      </c>
    </row>
    <row r="1486" spans="1:26">
      <c r="A1486" s="166"/>
      <c r="B1486" s="182" t="s">
        <v>61</v>
      </c>
      <c r="C1486" s="177">
        <v>1267050</v>
      </c>
      <c r="D1486" s="177"/>
      <c r="E1486" s="177"/>
      <c r="F1486" s="177"/>
      <c r="G1486" s="177"/>
      <c r="H1486" s="177"/>
      <c r="I1486" s="177"/>
      <c r="J1486" s="177"/>
      <c r="K1486" s="177">
        <v>0</v>
      </c>
      <c r="L1486" s="178">
        <v>0</v>
      </c>
      <c r="M1486" s="177">
        <v>0</v>
      </c>
      <c r="N1486" s="177">
        <v>643</v>
      </c>
      <c r="O1486" s="177">
        <v>1267050</v>
      </c>
      <c r="P1486" s="179">
        <v>0</v>
      </c>
      <c r="Q1486" s="177">
        <v>0</v>
      </c>
      <c r="R1486" s="179">
        <v>0</v>
      </c>
      <c r="S1486" s="177">
        <v>0</v>
      </c>
      <c r="T1486" s="178">
        <v>0</v>
      </c>
      <c r="U1486" s="248">
        <v>0</v>
      </c>
      <c r="V1486" s="241"/>
      <c r="W1486" s="241"/>
      <c r="X1486" s="241"/>
    </row>
    <row r="1487" spans="1:26" ht="30">
      <c r="A1487" s="166"/>
      <c r="B1487" s="180" t="s">
        <v>118</v>
      </c>
      <c r="C1487" s="177">
        <f t="shared" ref="C1487:V1487" si="196">C1488+C1489+C1490+C1491</f>
        <v>4336309</v>
      </c>
      <c r="D1487" s="177">
        <f t="shared" si="196"/>
        <v>353672</v>
      </c>
      <c r="E1487" s="177">
        <f t="shared" si="196"/>
        <v>353672</v>
      </c>
      <c r="F1487" s="177">
        <f t="shared" si="196"/>
        <v>0</v>
      </c>
      <c r="G1487" s="177">
        <f t="shared" si="196"/>
        <v>0</v>
      </c>
      <c r="H1487" s="177">
        <f t="shared" si="196"/>
        <v>0</v>
      </c>
      <c r="I1487" s="177">
        <f t="shared" si="196"/>
        <v>0</v>
      </c>
      <c r="J1487" s="177">
        <f t="shared" si="196"/>
        <v>0</v>
      </c>
      <c r="K1487" s="177">
        <f t="shared" si="196"/>
        <v>0</v>
      </c>
      <c r="L1487" s="177">
        <f t="shared" si="196"/>
        <v>0</v>
      </c>
      <c r="M1487" s="177">
        <f t="shared" si="196"/>
        <v>0</v>
      </c>
      <c r="N1487" s="177">
        <f t="shared" si="196"/>
        <v>1355.99</v>
      </c>
      <c r="O1487" s="177">
        <f t="shared" si="196"/>
        <v>3982637</v>
      </c>
      <c r="P1487" s="177">
        <f t="shared" si="196"/>
        <v>0</v>
      </c>
      <c r="Q1487" s="177">
        <f t="shared" si="196"/>
        <v>0</v>
      </c>
      <c r="R1487" s="177">
        <f t="shared" si="196"/>
        <v>0</v>
      </c>
      <c r="S1487" s="177">
        <f t="shared" si="196"/>
        <v>0</v>
      </c>
      <c r="T1487" s="177">
        <f t="shared" si="196"/>
        <v>0</v>
      </c>
      <c r="U1487" s="177">
        <f t="shared" si="196"/>
        <v>0</v>
      </c>
      <c r="V1487" s="177">
        <f t="shared" si="196"/>
        <v>0</v>
      </c>
      <c r="W1487" s="241"/>
      <c r="X1487" s="241"/>
    </row>
    <row r="1488" spans="1:26">
      <c r="A1488" s="410"/>
      <c r="B1488" s="420" t="s">
        <v>489</v>
      </c>
      <c r="C1488" s="419">
        <v>1231974</v>
      </c>
      <c r="D1488" s="419">
        <f>E1488+F1488+G1488+H1488+I1488+J1488+K1488</f>
        <v>0</v>
      </c>
      <c r="E1488" s="419">
        <v>0</v>
      </c>
      <c r="F1488" s="419">
        <v>0</v>
      </c>
      <c r="G1488" s="419">
        <v>0</v>
      </c>
      <c r="H1488" s="419">
        <v>0</v>
      </c>
      <c r="I1488" s="419">
        <v>0</v>
      </c>
      <c r="J1488" s="419">
        <v>0</v>
      </c>
      <c r="K1488" s="419">
        <v>0</v>
      </c>
      <c r="L1488" s="419">
        <v>0</v>
      </c>
      <c r="M1488" s="419">
        <v>0</v>
      </c>
      <c r="N1488" s="419">
        <v>384</v>
      </c>
      <c r="O1488" s="419">
        <v>1231974</v>
      </c>
      <c r="P1488" s="419">
        <v>0</v>
      </c>
      <c r="Q1488" s="419">
        <v>0</v>
      </c>
      <c r="R1488" s="419">
        <v>0</v>
      </c>
      <c r="S1488" s="419">
        <v>0</v>
      </c>
      <c r="T1488" s="419">
        <v>0</v>
      </c>
      <c r="U1488" s="419">
        <v>0</v>
      </c>
      <c r="V1488" s="485"/>
      <c r="W1488" s="241">
        <f>O1488/N1488</f>
        <v>3208.265625</v>
      </c>
      <c r="X1488" s="241"/>
    </row>
    <row r="1489" spans="1:31">
      <c r="A1489" s="410"/>
      <c r="B1489" s="420" t="s">
        <v>225</v>
      </c>
      <c r="C1489" s="419">
        <v>1299802</v>
      </c>
      <c r="D1489" s="419">
        <f>E1489+F1489+G1489+H1489+I1489+J1489+K1489</f>
        <v>0</v>
      </c>
      <c r="E1489" s="419">
        <v>0</v>
      </c>
      <c r="F1489" s="419">
        <v>0</v>
      </c>
      <c r="G1489" s="419">
        <v>0</v>
      </c>
      <c r="H1489" s="419">
        <v>0</v>
      </c>
      <c r="I1489" s="419">
        <v>0</v>
      </c>
      <c r="J1489" s="419">
        <v>0</v>
      </c>
      <c r="K1489" s="419">
        <v>0</v>
      </c>
      <c r="L1489" s="419">
        <v>0</v>
      </c>
      <c r="M1489" s="419">
        <v>0</v>
      </c>
      <c r="N1489" s="419">
        <v>518.87</v>
      </c>
      <c r="O1489" s="419">
        <v>1299802</v>
      </c>
      <c r="P1489" s="419">
        <v>0</v>
      </c>
      <c r="Q1489" s="419">
        <v>0</v>
      </c>
      <c r="R1489" s="419">
        <v>0</v>
      </c>
      <c r="S1489" s="419">
        <v>0</v>
      </c>
      <c r="T1489" s="419">
        <v>0</v>
      </c>
      <c r="U1489" s="419">
        <v>0</v>
      </c>
      <c r="V1489" s="485"/>
      <c r="W1489" s="241">
        <f>O1489/N1489</f>
        <v>2505.0629252028448</v>
      </c>
      <c r="X1489" s="241"/>
    </row>
    <row r="1490" spans="1:31">
      <c r="A1490" s="410">
        <v>440</v>
      </c>
      <c r="B1490" s="420" t="s">
        <v>490</v>
      </c>
      <c r="C1490" s="419">
        <v>1450861</v>
      </c>
      <c r="D1490" s="419">
        <f>E1490+F1490+G1490+H1490+I1490+J1490+K1490</f>
        <v>0</v>
      </c>
      <c r="E1490" s="419">
        <v>0</v>
      </c>
      <c r="F1490" s="419">
        <v>0</v>
      </c>
      <c r="G1490" s="419">
        <v>0</v>
      </c>
      <c r="H1490" s="419">
        <v>0</v>
      </c>
      <c r="I1490" s="419">
        <v>0</v>
      </c>
      <c r="J1490" s="419">
        <v>0</v>
      </c>
      <c r="K1490" s="419">
        <v>0</v>
      </c>
      <c r="L1490" s="453">
        <v>0</v>
      </c>
      <c r="M1490" s="419">
        <v>0</v>
      </c>
      <c r="N1490" s="419">
        <v>453.12</v>
      </c>
      <c r="O1490" s="419">
        <v>1450861</v>
      </c>
      <c r="P1490" s="454">
        <v>0</v>
      </c>
      <c r="Q1490" s="419">
        <v>0</v>
      </c>
      <c r="R1490" s="454">
        <v>0</v>
      </c>
      <c r="S1490" s="419">
        <v>0</v>
      </c>
      <c r="T1490" s="453">
        <v>0</v>
      </c>
      <c r="U1490" s="455">
        <v>0</v>
      </c>
      <c r="V1490" s="241"/>
      <c r="W1490" s="241">
        <f>O1490/N1490</f>
        <v>3201.9354696327682</v>
      </c>
      <c r="X1490" s="241"/>
    </row>
    <row r="1491" spans="1:31">
      <c r="A1491" s="410"/>
      <c r="B1491" s="420" t="s">
        <v>491</v>
      </c>
      <c r="C1491" s="419">
        <v>353672</v>
      </c>
      <c r="D1491" s="419">
        <f>E1491+F1491+G1491+H1491+I1491+J1491+K1491</f>
        <v>353672</v>
      </c>
      <c r="E1491" s="419">
        <v>353672</v>
      </c>
      <c r="F1491" s="419">
        <v>0</v>
      </c>
      <c r="G1491" s="419">
        <v>0</v>
      </c>
      <c r="H1491" s="419">
        <v>0</v>
      </c>
      <c r="I1491" s="419">
        <v>0</v>
      </c>
      <c r="J1491" s="419">
        <v>0</v>
      </c>
      <c r="K1491" s="419">
        <v>0</v>
      </c>
      <c r="L1491" s="453">
        <v>0</v>
      </c>
      <c r="M1491" s="419">
        <v>0</v>
      </c>
      <c r="N1491" s="419">
        <v>0</v>
      </c>
      <c r="O1491" s="419">
        <v>0</v>
      </c>
      <c r="P1491" s="454">
        <v>0</v>
      </c>
      <c r="Q1491" s="419">
        <v>0</v>
      </c>
      <c r="R1491" s="454">
        <v>0</v>
      </c>
      <c r="S1491" s="419">
        <v>0</v>
      </c>
      <c r="T1491" s="453">
        <v>0</v>
      </c>
      <c r="U1491" s="455">
        <v>0</v>
      </c>
      <c r="V1491" s="241"/>
      <c r="W1491" s="241"/>
      <c r="X1491" s="241"/>
      <c r="Y1491" s="1">
        <f>E1491/'часть 1'!I1515</f>
        <v>722.36928104575156</v>
      </c>
    </row>
    <row r="1492" spans="1:31" ht="21.6" customHeight="1">
      <c r="A1492" s="162"/>
      <c r="B1492" s="180" t="s">
        <v>649</v>
      </c>
      <c r="C1492" s="177">
        <f>C1493</f>
        <v>1490380</v>
      </c>
      <c r="D1492" s="177">
        <f t="shared" ref="D1492:V1492" si="197">D1493</f>
        <v>0</v>
      </c>
      <c r="E1492" s="177">
        <f t="shared" si="197"/>
        <v>0</v>
      </c>
      <c r="F1492" s="177">
        <f t="shared" si="197"/>
        <v>0</v>
      </c>
      <c r="G1492" s="177">
        <f t="shared" si="197"/>
        <v>0</v>
      </c>
      <c r="H1492" s="177">
        <f t="shared" si="197"/>
        <v>0</v>
      </c>
      <c r="I1492" s="177">
        <f t="shared" si="197"/>
        <v>0</v>
      </c>
      <c r="J1492" s="177">
        <f t="shared" si="197"/>
        <v>0</v>
      </c>
      <c r="K1492" s="177">
        <f t="shared" si="197"/>
        <v>0</v>
      </c>
      <c r="L1492" s="177">
        <f t="shared" si="197"/>
        <v>0</v>
      </c>
      <c r="M1492" s="177">
        <f t="shared" si="197"/>
        <v>0</v>
      </c>
      <c r="N1492" s="177">
        <f t="shared" si="197"/>
        <v>597.5</v>
      </c>
      <c r="O1492" s="177">
        <f t="shared" si="197"/>
        <v>1490380</v>
      </c>
      <c r="P1492" s="177">
        <f t="shared" si="197"/>
        <v>0</v>
      </c>
      <c r="Q1492" s="177">
        <f t="shared" si="197"/>
        <v>0</v>
      </c>
      <c r="R1492" s="177">
        <f t="shared" si="197"/>
        <v>0</v>
      </c>
      <c r="S1492" s="177">
        <f t="shared" si="197"/>
        <v>0</v>
      </c>
      <c r="T1492" s="177">
        <f t="shared" si="197"/>
        <v>0</v>
      </c>
      <c r="U1492" s="177">
        <f t="shared" si="197"/>
        <v>0</v>
      </c>
      <c r="V1492" s="177">
        <f t="shared" si="197"/>
        <v>0</v>
      </c>
      <c r="W1492" s="241"/>
      <c r="X1492" s="241"/>
    </row>
    <row r="1493" spans="1:31" ht="30">
      <c r="A1493" s="162"/>
      <c r="B1493" s="180" t="s">
        <v>655</v>
      </c>
      <c r="C1493" s="177">
        <f>C1494</f>
        <v>1490380</v>
      </c>
      <c r="D1493" s="177">
        <f t="shared" ref="D1493:V1493" si="198">D1494</f>
        <v>0</v>
      </c>
      <c r="E1493" s="177">
        <f t="shared" si="198"/>
        <v>0</v>
      </c>
      <c r="F1493" s="177">
        <f t="shared" si="198"/>
        <v>0</v>
      </c>
      <c r="G1493" s="177">
        <f t="shared" si="198"/>
        <v>0</v>
      </c>
      <c r="H1493" s="177">
        <f t="shared" si="198"/>
        <v>0</v>
      </c>
      <c r="I1493" s="177">
        <f t="shared" si="198"/>
        <v>0</v>
      </c>
      <c r="J1493" s="177">
        <f t="shared" si="198"/>
        <v>0</v>
      </c>
      <c r="K1493" s="177">
        <f t="shared" si="198"/>
        <v>0</v>
      </c>
      <c r="L1493" s="177">
        <f t="shared" si="198"/>
        <v>0</v>
      </c>
      <c r="M1493" s="177">
        <f t="shared" si="198"/>
        <v>0</v>
      </c>
      <c r="N1493" s="177">
        <f t="shared" si="198"/>
        <v>597.5</v>
      </c>
      <c r="O1493" s="177">
        <f t="shared" si="198"/>
        <v>1490380</v>
      </c>
      <c r="P1493" s="177">
        <f t="shared" si="198"/>
        <v>0</v>
      </c>
      <c r="Q1493" s="177">
        <f t="shared" si="198"/>
        <v>0</v>
      </c>
      <c r="R1493" s="177">
        <f t="shared" si="198"/>
        <v>0</v>
      </c>
      <c r="S1493" s="177">
        <f t="shared" si="198"/>
        <v>0</v>
      </c>
      <c r="T1493" s="177">
        <f t="shared" si="198"/>
        <v>0</v>
      </c>
      <c r="U1493" s="177">
        <f t="shared" si="198"/>
        <v>0</v>
      </c>
      <c r="V1493" s="177">
        <f t="shared" si="198"/>
        <v>0</v>
      </c>
      <c r="W1493" s="241"/>
      <c r="X1493" s="241"/>
    </row>
    <row r="1494" spans="1:31" ht="30">
      <c r="A1494" s="162"/>
      <c r="B1494" s="180" t="s">
        <v>656</v>
      </c>
      <c r="C1494" s="177">
        <v>1490380</v>
      </c>
      <c r="D1494" s="177">
        <v>0</v>
      </c>
      <c r="E1494" s="177">
        <v>0</v>
      </c>
      <c r="F1494" s="177">
        <v>0</v>
      </c>
      <c r="G1494" s="177">
        <v>0</v>
      </c>
      <c r="H1494" s="177">
        <v>0</v>
      </c>
      <c r="I1494" s="177">
        <v>0</v>
      </c>
      <c r="J1494" s="177">
        <v>0</v>
      </c>
      <c r="K1494" s="177">
        <v>0</v>
      </c>
      <c r="L1494" s="178">
        <v>0</v>
      </c>
      <c r="M1494" s="177">
        <v>0</v>
      </c>
      <c r="N1494" s="177">
        <v>597.5</v>
      </c>
      <c r="O1494" s="177">
        <v>1490380</v>
      </c>
      <c r="P1494" s="179">
        <v>0</v>
      </c>
      <c r="Q1494" s="177">
        <v>0</v>
      </c>
      <c r="R1494" s="179">
        <v>0</v>
      </c>
      <c r="S1494" s="177">
        <v>0</v>
      </c>
      <c r="T1494" s="178">
        <v>0</v>
      </c>
      <c r="U1494" s="248">
        <v>0</v>
      </c>
      <c r="V1494" s="241"/>
      <c r="W1494" s="241">
        <f>O1494/N1494</f>
        <v>2494.3598326359834</v>
      </c>
      <c r="X1494" s="241"/>
    </row>
    <row r="1495" spans="1:31">
      <c r="A1495" s="166"/>
      <c r="B1495" s="182" t="s">
        <v>62</v>
      </c>
      <c r="C1495" s="177">
        <v>974618</v>
      </c>
      <c r="D1495" s="177"/>
      <c r="E1495" s="177"/>
      <c r="F1495" s="177"/>
      <c r="G1495" s="177"/>
      <c r="H1495" s="177"/>
      <c r="I1495" s="177"/>
      <c r="J1495" s="177"/>
      <c r="K1495" s="177">
        <v>0</v>
      </c>
      <c r="L1495" s="178">
        <v>0</v>
      </c>
      <c r="M1495" s="177">
        <v>0</v>
      </c>
      <c r="N1495" s="177">
        <v>484</v>
      </c>
      <c r="O1495" s="177">
        <v>974618</v>
      </c>
      <c r="P1495" s="179">
        <v>0</v>
      </c>
      <c r="Q1495" s="177">
        <v>0</v>
      </c>
      <c r="R1495" s="179">
        <v>0</v>
      </c>
      <c r="S1495" s="177">
        <v>0</v>
      </c>
      <c r="T1495" s="178">
        <v>0</v>
      </c>
      <c r="U1495" s="248">
        <v>0</v>
      </c>
      <c r="V1495" s="241"/>
      <c r="W1495" s="241"/>
      <c r="X1495" s="241"/>
    </row>
    <row r="1496" spans="1:31" ht="30">
      <c r="A1496" s="166"/>
      <c r="B1496" s="203" t="s">
        <v>117</v>
      </c>
      <c r="C1496" s="177">
        <f>C1497</f>
        <v>1175875</v>
      </c>
      <c r="D1496" s="177">
        <f t="shared" ref="D1496:V1496" si="199">D1497</f>
        <v>0</v>
      </c>
      <c r="E1496" s="177">
        <f t="shared" si="199"/>
        <v>0</v>
      </c>
      <c r="F1496" s="177">
        <f t="shared" si="199"/>
        <v>0</v>
      </c>
      <c r="G1496" s="177">
        <f t="shared" si="199"/>
        <v>0</v>
      </c>
      <c r="H1496" s="177">
        <f t="shared" si="199"/>
        <v>0</v>
      </c>
      <c r="I1496" s="177">
        <f t="shared" si="199"/>
        <v>0</v>
      </c>
      <c r="J1496" s="177">
        <f t="shared" si="199"/>
        <v>0</v>
      </c>
      <c r="K1496" s="177">
        <f t="shared" si="199"/>
        <v>0</v>
      </c>
      <c r="L1496" s="177">
        <f t="shared" si="199"/>
        <v>0</v>
      </c>
      <c r="M1496" s="177">
        <f t="shared" si="199"/>
        <v>0</v>
      </c>
      <c r="N1496" s="177">
        <f t="shared" si="199"/>
        <v>366</v>
      </c>
      <c r="O1496" s="177">
        <f t="shared" si="199"/>
        <v>1175875</v>
      </c>
      <c r="P1496" s="177">
        <f t="shared" si="199"/>
        <v>0</v>
      </c>
      <c r="Q1496" s="177">
        <f t="shared" si="199"/>
        <v>0</v>
      </c>
      <c r="R1496" s="177">
        <f t="shared" si="199"/>
        <v>0</v>
      </c>
      <c r="S1496" s="177">
        <f t="shared" si="199"/>
        <v>0</v>
      </c>
      <c r="T1496" s="177">
        <f t="shared" si="199"/>
        <v>0</v>
      </c>
      <c r="U1496" s="177">
        <f t="shared" si="199"/>
        <v>0</v>
      </c>
      <c r="V1496" s="177">
        <f t="shared" si="199"/>
        <v>0</v>
      </c>
      <c r="W1496" s="177"/>
      <c r="X1496" s="177"/>
      <c r="Y1496" s="177"/>
      <c r="Z1496" s="177"/>
      <c r="AA1496" s="177"/>
      <c r="AB1496" s="177"/>
      <c r="AC1496" s="177"/>
      <c r="AD1496" s="177"/>
      <c r="AE1496" s="177"/>
    </row>
    <row r="1497" spans="1:31">
      <c r="A1497" s="410">
        <v>441</v>
      </c>
      <c r="B1497" s="420" t="s">
        <v>488</v>
      </c>
      <c r="C1497" s="419">
        <v>1175875</v>
      </c>
      <c r="D1497" s="419">
        <v>0</v>
      </c>
      <c r="E1497" s="419">
        <v>0</v>
      </c>
      <c r="F1497" s="419">
        <v>0</v>
      </c>
      <c r="G1497" s="419">
        <v>0</v>
      </c>
      <c r="H1497" s="419">
        <v>0</v>
      </c>
      <c r="I1497" s="419">
        <v>0</v>
      </c>
      <c r="J1497" s="419">
        <v>0</v>
      </c>
      <c r="K1497" s="419">
        <v>0</v>
      </c>
      <c r="L1497" s="453">
        <v>0</v>
      </c>
      <c r="M1497" s="419">
        <v>0</v>
      </c>
      <c r="N1497" s="419">
        <v>366</v>
      </c>
      <c r="O1497" s="419">
        <v>1175875</v>
      </c>
      <c r="P1497" s="454">
        <v>0</v>
      </c>
      <c r="Q1497" s="419">
        <v>0</v>
      </c>
      <c r="R1497" s="454">
        <v>0</v>
      </c>
      <c r="S1497" s="419">
        <v>0</v>
      </c>
      <c r="T1497" s="453">
        <v>0</v>
      </c>
      <c r="U1497" s="455">
        <v>0</v>
      </c>
      <c r="V1497" s="241"/>
      <c r="W1497" s="241">
        <f>O1497/N1497</f>
        <v>3212.7732240437158</v>
      </c>
      <c r="X1497" s="241"/>
    </row>
    <row r="1498" spans="1:31" ht="18.600000000000001" customHeight="1">
      <c r="A1498" s="410"/>
      <c r="B1498" s="462" t="s">
        <v>63</v>
      </c>
      <c r="C1498" s="419">
        <f>C1499</f>
        <v>1608623</v>
      </c>
      <c r="D1498" s="419">
        <f t="shared" ref="D1498:U1499" si="200">D1499</f>
        <v>0</v>
      </c>
      <c r="E1498" s="419">
        <f t="shared" si="200"/>
        <v>0</v>
      </c>
      <c r="F1498" s="419">
        <f t="shared" si="200"/>
        <v>0</v>
      </c>
      <c r="G1498" s="419">
        <f t="shared" si="200"/>
        <v>0</v>
      </c>
      <c r="H1498" s="419">
        <f t="shared" si="200"/>
        <v>0</v>
      </c>
      <c r="I1498" s="419">
        <f t="shared" si="200"/>
        <v>0</v>
      </c>
      <c r="J1498" s="419">
        <f t="shared" si="200"/>
        <v>0</v>
      </c>
      <c r="K1498" s="419">
        <f t="shared" si="200"/>
        <v>0</v>
      </c>
      <c r="L1498" s="419">
        <f t="shared" si="200"/>
        <v>0</v>
      </c>
      <c r="M1498" s="419">
        <f t="shared" si="200"/>
        <v>0</v>
      </c>
      <c r="N1498" s="419">
        <f t="shared" si="200"/>
        <v>503.8</v>
      </c>
      <c r="O1498" s="419">
        <f t="shared" si="200"/>
        <v>1608623</v>
      </c>
      <c r="P1498" s="419">
        <f t="shared" si="200"/>
        <v>0</v>
      </c>
      <c r="Q1498" s="419">
        <f t="shared" si="200"/>
        <v>0</v>
      </c>
      <c r="R1498" s="419">
        <f t="shared" si="200"/>
        <v>0</v>
      </c>
      <c r="S1498" s="419">
        <f t="shared" si="200"/>
        <v>0</v>
      </c>
      <c r="T1498" s="419">
        <f t="shared" si="200"/>
        <v>0</v>
      </c>
      <c r="U1498" s="419">
        <f t="shared" si="200"/>
        <v>0</v>
      </c>
      <c r="V1498" s="241"/>
      <c r="W1498" s="241"/>
      <c r="X1498" s="241"/>
    </row>
    <row r="1499" spans="1:31" ht="30">
      <c r="A1499" s="410"/>
      <c r="B1499" s="420" t="s">
        <v>116</v>
      </c>
      <c r="C1499" s="419">
        <f>C1500</f>
        <v>1608623</v>
      </c>
      <c r="D1499" s="419">
        <f t="shared" si="200"/>
        <v>0</v>
      </c>
      <c r="E1499" s="419">
        <f t="shared" si="200"/>
        <v>0</v>
      </c>
      <c r="F1499" s="419">
        <f t="shared" si="200"/>
        <v>0</v>
      </c>
      <c r="G1499" s="419">
        <f t="shared" si="200"/>
        <v>0</v>
      </c>
      <c r="H1499" s="419">
        <f t="shared" si="200"/>
        <v>0</v>
      </c>
      <c r="I1499" s="419">
        <f t="shared" si="200"/>
        <v>0</v>
      </c>
      <c r="J1499" s="419">
        <f t="shared" si="200"/>
        <v>0</v>
      </c>
      <c r="K1499" s="419">
        <f t="shared" si="200"/>
        <v>0</v>
      </c>
      <c r="L1499" s="419">
        <f t="shared" si="200"/>
        <v>0</v>
      </c>
      <c r="M1499" s="419">
        <f t="shared" si="200"/>
        <v>0</v>
      </c>
      <c r="N1499" s="419">
        <f t="shared" si="200"/>
        <v>503.8</v>
      </c>
      <c r="O1499" s="419">
        <f t="shared" si="200"/>
        <v>1608623</v>
      </c>
      <c r="P1499" s="419">
        <f t="shared" si="200"/>
        <v>0</v>
      </c>
      <c r="Q1499" s="419">
        <f t="shared" si="200"/>
        <v>0</v>
      </c>
      <c r="R1499" s="419">
        <f t="shared" si="200"/>
        <v>0</v>
      </c>
      <c r="S1499" s="419">
        <f t="shared" si="200"/>
        <v>0</v>
      </c>
      <c r="T1499" s="419">
        <f t="shared" si="200"/>
        <v>0</v>
      </c>
      <c r="U1499" s="419">
        <f t="shared" si="200"/>
        <v>0</v>
      </c>
      <c r="V1499" s="241"/>
      <c r="W1499" s="241"/>
      <c r="X1499" s="241"/>
    </row>
    <row r="1500" spans="1:31">
      <c r="A1500" s="410">
        <v>443</v>
      </c>
      <c r="B1500" s="420" t="s">
        <v>679</v>
      </c>
      <c r="C1500" s="419">
        <f>'часть 1'!L1524</f>
        <v>1608623</v>
      </c>
      <c r="D1500" s="419">
        <v>0</v>
      </c>
      <c r="E1500" s="419">
        <v>0</v>
      </c>
      <c r="F1500" s="419">
        <v>0</v>
      </c>
      <c r="G1500" s="419">
        <v>0</v>
      </c>
      <c r="H1500" s="419">
        <v>0</v>
      </c>
      <c r="I1500" s="419">
        <v>0</v>
      </c>
      <c r="J1500" s="419">
        <v>0</v>
      </c>
      <c r="K1500" s="419">
        <v>0</v>
      </c>
      <c r="L1500" s="453">
        <v>0</v>
      </c>
      <c r="M1500" s="419">
        <v>0</v>
      </c>
      <c r="N1500" s="450">
        <v>503.8</v>
      </c>
      <c r="O1500" s="419">
        <v>1608623</v>
      </c>
      <c r="P1500" s="454">
        <v>0</v>
      </c>
      <c r="Q1500" s="419">
        <v>0</v>
      </c>
      <c r="R1500" s="454">
        <v>0</v>
      </c>
      <c r="S1500" s="419">
        <v>0</v>
      </c>
      <c r="T1500" s="453">
        <v>0</v>
      </c>
      <c r="U1500" s="455">
        <v>0</v>
      </c>
      <c r="V1500" s="241"/>
      <c r="W1500" s="241">
        <f>O1500/N1500</f>
        <v>3192.9793568876539</v>
      </c>
      <c r="X1500" s="241"/>
    </row>
    <row r="1501" spans="1:31" ht="17.45" customHeight="1">
      <c r="A1501" s="410"/>
      <c r="B1501" s="420" t="s">
        <v>663</v>
      </c>
      <c r="C1501" s="419">
        <f>C1502</f>
        <v>1457324</v>
      </c>
      <c r="D1501" s="419">
        <f t="shared" ref="D1501:U1501" si="201">D1502</f>
        <v>0</v>
      </c>
      <c r="E1501" s="419">
        <f t="shared" si="201"/>
        <v>0</v>
      </c>
      <c r="F1501" s="419">
        <f t="shared" si="201"/>
        <v>0</v>
      </c>
      <c r="G1501" s="419">
        <f t="shared" si="201"/>
        <v>0</v>
      </c>
      <c r="H1501" s="419">
        <f t="shared" si="201"/>
        <v>0</v>
      </c>
      <c r="I1501" s="419">
        <f t="shared" si="201"/>
        <v>0</v>
      </c>
      <c r="J1501" s="419">
        <f t="shared" si="201"/>
        <v>0</v>
      </c>
      <c r="K1501" s="419">
        <f t="shared" si="201"/>
        <v>0</v>
      </c>
      <c r="L1501" s="419">
        <f t="shared" si="201"/>
        <v>0</v>
      </c>
      <c r="M1501" s="419">
        <f t="shared" si="201"/>
        <v>0</v>
      </c>
      <c r="N1501" s="419">
        <f t="shared" si="201"/>
        <v>584.37</v>
      </c>
      <c r="O1501" s="419">
        <f t="shared" si="201"/>
        <v>1457324</v>
      </c>
      <c r="P1501" s="419">
        <f t="shared" si="201"/>
        <v>0</v>
      </c>
      <c r="Q1501" s="419">
        <f t="shared" si="201"/>
        <v>0</v>
      </c>
      <c r="R1501" s="419">
        <f t="shared" si="201"/>
        <v>0</v>
      </c>
      <c r="S1501" s="419">
        <f t="shared" si="201"/>
        <v>0</v>
      </c>
      <c r="T1501" s="419">
        <f t="shared" si="201"/>
        <v>0</v>
      </c>
      <c r="U1501" s="419">
        <f t="shared" si="201"/>
        <v>0</v>
      </c>
      <c r="V1501" s="241"/>
      <c r="W1501" s="241"/>
      <c r="X1501" s="241"/>
    </row>
    <row r="1502" spans="1:31" ht="30">
      <c r="A1502" s="410"/>
      <c r="B1502" s="420" t="s">
        <v>666</v>
      </c>
      <c r="C1502" s="419">
        <v>1457324</v>
      </c>
      <c r="D1502" s="419">
        <v>0</v>
      </c>
      <c r="E1502" s="419">
        <v>0</v>
      </c>
      <c r="F1502" s="419">
        <v>0</v>
      </c>
      <c r="G1502" s="419">
        <v>0</v>
      </c>
      <c r="H1502" s="419">
        <v>0</v>
      </c>
      <c r="I1502" s="419">
        <v>0</v>
      </c>
      <c r="J1502" s="419">
        <v>0</v>
      </c>
      <c r="K1502" s="419">
        <v>0</v>
      </c>
      <c r="L1502" s="453">
        <v>0</v>
      </c>
      <c r="M1502" s="419">
        <v>0</v>
      </c>
      <c r="N1502" s="450">
        <v>584.37</v>
      </c>
      <c r="O1502" s="419">
        <v>1457324</v>
      </c>
      <c r="P1502" s="454">
        <v>0</v>
      </c>
      <c r="Q1502" s="419">
        <v>0</v>
      </c>
      <c r="R1502" s="454">
        <v>0</v>
      </c>
      <c r="S1502" s="419">
        <v>0</v>
      </c>
      <c r="T1502" s="453">
        <v>0</v>
      </c>
      <c r="U1502" s="455">
        <v>0</v>
      </c>
      <c r="V1502" s="241"/>
      <c r="W1502" s="241">
        <f>O1502/N1502</f>
        <v>2493.8378082379313</v>
      </c>
      <c r="X1502" s="241"/>
    </row>
    <row r="1503" spans="1:31">
      <c r="A1503" s="166"/>
      <c r="B1503" s="182" t="s">
        <v>64</v>
      </c>
      <c r="C1503" s="177">
        <v>6928539</v>
      </c>
      <c r="D1503" s="177"/>
      <c r="E1503" s="177"/>
      <c r="F1503" s="177"/>
      <c r="G1503" s="177"/>
      <c r="H1503" s="177"/>
      <c r="I1503" s="177"/>
      <c r="J1503" s="177"/>
      <c r="K1503" s="177">
        <v>0</v>
      </c>
      <c r="L1503" s="178">
        <v>0</v>
      </c>
      <c r="M1503" s="177">
        <v>0</v>
      </c>
      <c r="N1503" s="177">
        <v>3103</v>
      </c>
      <c r="O1503" s="177">
        <v>6183896</v>
      </c>
      <c r="P1503" s="179">
        <v>0</v>
      </c>
      <c r="Q1503" s="177">
        <v>0</v>
      </c>
      <c r="R1503" s="177">
        <v>512.4</v>
      </c>
      <c r="S1503" s="177">
        <v>744643</v>
      </c>
      <c r="T1503" s="178">
        <v>0</v>
      </c>
      <c r="U1503" s="248">
        <v>0</v>
      </c>
      <c r="V1503" s="241"/>
      <c r="W1503" s="241"/>
      <c r="X1503" s="241"/>
    </row>
    <row r="1504" spans="1:31" ht="30">
      <c r="A1504" s="410"/>
      <c r="B1504" s="420" t="s">
        <v>115</v>
      </c>
      <c r="C1504" s="419">
        <f>C1505+C1506</f>
        <v>5448472</v>
      </c>
      <c r="D1504" s="419">
        <f t="shared" ref="D1504:U1504" si="202">D1505+D1506</f>
        <v>0</v>
      </c>
      <c r="E1504" s="419">
        <f t="shared" si="202"/>
        <v>0</v>
      </c>
      <c r="F1504" s="419">
        <f t="shared" si="202"/>
        <v>0</v>
      </c>
      <c r="G1504" s="419">
        <f t="shared" si="202"/>
        <v>0</v>
      </c>
      <c r="H1504" s="419">
        <f t="shared" si="202"/>
        <v>0</v>
      </c>
      <c r="I1504" s="419">
        <f t="shared" si="202"/>
        <v>0</v>
      </c>
      <c r="J1504" s="419">
        <f t="shared" si="202"/>
        <v>0</v>
      </c>
      <c r="K1504" s="419">
        <f t="shared" si="202"/>
        <v>0</v>
      </c>
      <c r="L1504" s="419">
        <f t="shared" si="202"/>
        <v>0</v>
      </c>
      <c r="M1504" s="419">
        <f t="shared" si="202"/>
        <v>0</v>
      </c>
      <c r="N1504" s="419">
        <f t="shared" si="202"/>
        <v>2020</v>
      </c>
      <c r="O1504" s="419">
        <f t="shared" si="202"/>
        <v>5448472</v>
      </c>
      <c r="P1504" s="419">
        <f t="shared" si="202"/>
        <v>0</v>
      </c>
      <c r="Q1504" s="419">
        <f t="shared" si="202"/>
        <v>0</v>
      </c>
      <c r="R1504" s="419">
        <f t="shared" si="202"/>
        <v>0</v>
      </c>
      <c r="S1504" s="419">
        <f t="shared" si="202"/>
        <v>0</v>
      </c>
      <c r="T1504" s="419">
        <f t="shared" si="202"/>
        <v>0</v>
      </c>
      <c r="U1504" s="419">
        <f t="shared" si="202"/>
        <v>0</v>
      </c>
      <c r="V1504" s="241"/>
      <c r="W1504" s="241"/>
      <c r="X1504" s="241"/>
      <c r="Y1504" s="20"/>
      <c r="Z1504" s="20"/>
    </row>
    <row r="1505" spans="1:30">
      <c r="A1505" s="410">
        <v>444</v>
      </c>
      <c r="B1505" s="420" t="s">
        <v>618</v>
      </c>
      <c r="C1505" s="419">
        <v>1902273</v>
      </c>
      <c r="D1505" s="419">
        <v>0</v>
      </c>
      <c r="E1505" s="419">
        <v>0</v>
      </c>
      <c r="F1505" s="419">
        <v>0</v>
      </c>
      <c r="G1505" s="419">
        <v>0</v>
      </c>
      <c r="H1505" s="419">
        <v>0</v>
      </c>
      <c r="I1505" s="419">
        <v>0</v>
      </c>
      <c r="J1505" s="419">
        <v>0</v>
      </c>
      <c r="K1505" s="419">
        <v>0</v>
      </c>
      <c r="L1505" s="453">
        <v>0</v>
      </c>
      <c r="M1505" s="419">
        <v>0</v>
      </c>
      <c r="N1505" s="419">
        <v>596</v>
      </c>
      <c r="O1505" s="419">
        <v>1902273</v>
      </c>
      <c r="P1505" s="454">
        <v>0</v>
      </c>
      <c r="Q1505" s="419">
        <v>0</v>
      </c>
      <c r="R1505" s="454">
        <v>0</v>
      </c>
      <c r="S1505" s="419">
        <v>0</v>
      </c>
      <c r="T1505" s="453">
        <v>0</v>
      </c>
      <c r="U1505" s="455">
        <v>0</v>
      </c>
      <c r="V1505" s="241"/>
      <c r="W1505" s="241">
        <f>O1505/N1505</f>
        <v>3191.7332214765102</v>
      </c>
      <c r="X1505" s="241"/>
    </row>
    <row r="1506" spans="1:30">
      <c r="A1506" s="410">
        <v>445</v>
      </c>
      <c r="B1506" s="420" t="s">
        <v>617</v>
      </c>
      <c r="C1506" s="419">
        <v>3546199</v>
      </c>
      <c r="D1506" s="419">
        <v>0</v>
      </c>
      <c r="E1506" s="419">
        <v>0</v>
      </c>
      <c r="F1506" s="419">
        <v>0</v>
      </c>
      <c r="G1506" s="419">
        <v>0</v>
      </c>
      <c r="H1506" s="419">
        <v>0</v>
      </c>
      <c r="I1506" s="419">
        <v>0</v>
      </c>
      <c r="J1506" s="419">
        <v>0</v>
      </c>
      <c r="K1506" s="419">
        <v>0</v>
      </c>
      <c r="L1506" s="453">
        <v>0</v>
      </c>
      <c r="M1506" s="419">
        <v>0</v>
      </c>
      <c r="N1506" s="419">
        <v>1424</v>
      </c>
      <c r="O1506" s="419">
        <v>3546199</v>
      </c>
      <c r="P1506" s="454">
        <v>0</v>
      </c>
      <c r="Q1506" s="419">
        <v>0</v>
      </c>
      <c r="R1506" s="454">
        <v>0</v>
      </c>
      <c r="S1506" s="419">
        <v>0</v>
      </c>
      <c r="T1506" s="453">
        <v>0</v>
      </c>
      <c r="U1506" s="455">
        <v>0</v>
      </c>
      <c r="V1506" s="241"/>
      <c r="W1506" s="241">
        <f>O1506/N1506</f>
        <v>2490.308286516854</v>
      </c>
      <c r="X1506" s="241"/>
    </row>
    <row r="1507" spans="1:30">
      <c r="A1507" s="410"/>
      <c r="B1507" s="420"/>
      <c r="C1507" s="419"/>
      <c r="D1507" s="419"/>
      <c r="E1507" s="419"/>
      <c r="F1507" s="419"/>
      <c r="G1507" s="419"/>
      <c r="H1507" s="419"/>
      <c r="I1507" s="419"/>
      <c r="J1507" s="419"/>
      <c r="K1507" s="419"/>
      <c r="L1507" s="453"/>
      <c r="M1507" s="419"/>
      <c r="N1507" s="419"/>
      <c r="O1507" s="419"/>
      <c r="P1507" s="454"/>
      <c r="Q1507" s="419"/>
      <c r="R1507" s="419"/>
      <c r="S1507" s="419"/>
      <c r="T1507" s="453"/>
      <c r="U1507" s="455"/>
      <c r="V1507" s="241"/>
      <c r="W1507" s="241"/>
      <c r="X1507" s="241"/>
      <c r="Y1507" s="20"/>
      <c r="Z1507" s="20"/>
    </row>
    <row r="1508" spans="1:30">
      <c r="A1508" s="410"/>
      <c r="B1508" s="420"/>
      <c r="C1508" s="419"/>
      <c r="D1508" s="419"/>
      <c r="E1508" s="419"/>
      <c r="F1508" s="419"/>
      <c r="G1508" s="419"/>
      <c r="H1508" s="419"/>
      <c r="I1508" s="419"/>
      <c r="J1508" s="419"/>
      <c r="K1508" s="419"/>
      <c r="L1508" s="453"/>
      <c r="M1508" s="419"/>
      <c r="N1508" s="419"/>
      <c r="O1508" s="419"/>
      <c r="P1508" s="454"/>
      <c r="Q1508" s="419"/>
      <c r="R1508" s="454"/>
      <c r="S1508" s="419"/>
      <c r="T1508" s="453"/>
      <c r="U1508" s="455"/>
      <c r="V1508" s="241"/>
      <c r="W1508" s="241"/>
      <c r="X1508" s="241"/>
    </row>
    <row r="1509" spans="1:30">
      <c r="A1509" s="166"/>
      <c r="B1509" s="182" t="s">
        <v>65</v>
      </c>
      <c r="C1509" s="177">
        <f>C1510+C1512</f>
        <v>3398521</v>
      </c>
      <c r="D1509" s="177">
        <f t="shared" ref="D1509:U1509" si="203">D1510+D1512</f>
        <v>0</v>
      </c>
      <c r="E1509" s="177">
        <f t="shared" si="203"/>
        <v>0</v>
      </c>
      <c r="F1509" s="177">
        <f t="shared" si="203"/>
        <v>0</v>
      </c>
      <c r="G1509" s="177">
        <f t="shared" si="203"/>
        <v>0</v>
      </c>
      <c r="H1509" s="177">
        <f t="shared" si="203"/>
        <v>0</v>
      </c>
      <c r="I1509" s="177">
        <f t="shared" si="203"/>
        <v>0</v>
      </c>
      <c r="J1509" s="177">
        <f t="shared" si="203"/>
        <v>0</v>
      </c>
      <c r="K1509" s="177">
        <f t="shared" si="203"/>
        <v>0</v>
      </c>
      <c r="L1509" s="177">
        <f t="shared" si="203"/>
        <v>0</v>
      </c>
      <c r="M1509" s="177">
        <f t="shared" si="203"/>
        <v>0</v>
      </c>
      <c r="N1509" s="177">
        <f t="shared" si="203"/>
        <v>1360</v>
      </c>
      <c r="O1509" s="177">
        <f t="shared" si="203"/>
        <v>3398521</v>
      </c>
      <c r="P1509" s="177">
        <f t="shared" si="203"/>
        <v>0</v>
      </c>
      <c r="Q1509" s="177">
        <f t="shared" si="203"/>
        <v>0</v>
      </c>
      <c r="R1509" s="177">
        <f t="shared" si="203"/>
        <v>0</v>
      </c>
      <c r="S1509" s="177">
        <f t="shared" si="203"/>
        <v>0</v>
      </c>
      <c r="T1509" s="177">
        <f t="shared" si="203"/>
        <v>0</v>
      </c>
      <c r="U1509" s="177">
        <f t="shared" si="203"/>
        <v>0</v>
      </c>
      <c r="V1509" s="241"/>
      <c r="W1509" s="241"/>
      <c r="X1509" s="241"/>
    </row>
    <row r="1510" spans="1:30" ht="30">
      <c r="A1510" s="166"/>
      <c r="B1510" s="180" t="s">
        <v>637</v>
      </c>
      <c r="C1510" s="177">
        <f>C1511</f>
        <v>1889892</v>
      </c>
      <c r="D1510" s="177">
        <f t="shared" ref="D1510:V1510" si="204">D1511</f>
        <v>0</v>
      </c>
      <c r="E1510" s="177">
        <f t="shared" si="204"/>
        <v>0</v>
      </c>
      <c r="F1510" s="177">
        <f t="shared" si="204"/>
        <v>0</v>
      </c>
      <c r="G1510" s="177">
        <f t="shared" si="204"/>
        <v>0</v>
      </c>
      <c r="H1510" s="177">
        <f t="shared" si="204"/>
        <v>0</v>
      </c>
      <c r="I1510" s="177">
        <f t="shared" si="204"/>
        <v>0</v>
      </c>
      <c r="J1510" s="177">
        <f t="shared" si="204"/>
        <v>0</v>
      </c>
      <c r="K1510" s="177">
        <f t="shared" si="204"/>
        <v>0</v>
      </c>
      <c r="L1510" s="177">
        <f t="shared" si="204"/>
        <v>0</v>
      </c>
      <c r="M1510" s="177">
        <f t="shared" si="204"/>
        <v>0</v>
      </c>
      <c r="N1510" s="177">
        <f t="shared" si="204"/>
        <v>755</v>
      </c>
      <c r="O1510" s="177">
        <f t="shared" si="204"/>
        <v>1889892</v>
      </c>
      <c r="P1510" s="177">
        <f t="shared" si="204"/>
        <v>0</v>
      </c>
      <c r="Q1510" s="177">
        <f t="shared" si="204"/>
        <v>0</v>
      </c>
      <c r="R1510" s="177">
        <f t="shared" si="204"/>
        <v>0</v>
      </c>
      <c r="S1510" s="177">
        <f t="shared" si="204"/>
        <v>0</v>
      </c>
      <c r="T1510" s="177">
        <f t="shared" si="204"/>
        <v>0</v>
      </c>
      <c r="U1510" s="177">
        <f t="shared" si="204"/>
        <v>0</v>
      </c>
      <c r="V1510" s="177">
        <f t="shared" si="204"/>
        <v>0</v>
      </c>
      <c r="W1510" s="241"/>
      <c r="X1510" s="241"/>
    </row>
    <row r="1511" spans="1:30">
      <c r="A1511" s="166">
        <v>448</v>
      </c>
      <c r="B1511" s="180" t="s">
        <v>638</v>
      </c>
      <c r="C1511" s="177">
        <v>1889892</v>
      </c>
      <c r="D1511" s="177">
        <v>0</v>
      </c>
      <c r="E1511" s="177">
        <v>0</v>
      </c>
      <c r="F1511" s="177">
        <v>0</v>
      </c>
      <c r="G1511" s="177">
        <v>0</v>
      </c>
      <c r="H1511" s="177">
        <v>0</v>
      </c>
      <c r="I1511" s="177">
        <v>0</v>
      </c>
      <c r="J1511" s="177">
        <v>0</v>
      </c>
      <c r="K1511" s="177">
        <v>0</v>
      </c>
      <c r="L1511" s="178">
        <v>0</v>
      </c>
      <c r="M1511" s="177">
        <v>0</v>
      </c>
      <c r="N1511" s="177">
        <v>755</v>
      </c>
      <c r="O1511" s="177">
        <v>1889892</v>
      </c>
      <c r="P1511" s="179">
        <v>0</v>
      </c>
      <c r="Q1511" s="177">
        <v>0</v>
      </c>
      <c r="R1511" s="179">
        <v>0</v>
      </c>
      <c r="S1511" s="177">
        <v>0</v>
      </c>
      <c r="T1511" s="178">
        <v>0</v>
      </c>
      <c r="U1511" s="248">
        <v>0</v>
      </c>
      <c r="V1511" s="241"/>
      <c r="W1511" s="241">
        <f>O1511/N1511</f>
        <v>2503.1682119205298</v>
      </c>
      <c r="X1511" s="241"/>
    </row>
    <row r="1512" spans="1:30" ht="30">
      <c r="A1512" s="166"/>
      <c r="B1512" s="180" t="s">
        <v>639</v>
      </c>
      <c r="C1512" s="177">
        <f>C1513</f>
        <v>1508629</v>
      </c>
      <c r="D1512" s="177">
        <f t="shared" ref="D1512:V1512" si="205">D1513</f>
        <v>0</v>
      </c>
      <c r="E1512" s="177">
        <f t="shared" si="205"/>
        <v>0</v>
      </c>
      <c r="F1512" s="177">
        <f t="shared" si="205"/>
        <v>0</v>
      </c>
      <c r="G1512" s="177">
        <f t="shared" si="205"/>
        <v>0</v>
      </c>
      <c r="H1512" s="177">
        <f t="shared" si="205"/>
        <v>0</v>
      </c>
      <c r="I1512" s="177">
        <f t="shared" si="205"/>
        <v>0</v>
      </c>
      <c r="J1512" s="177">
        <f t="shared" si="205"/>
        <v>0</v>
      </c>
      <c r="K1512" s="177">
        <f t="shared" si="205"/>
        <v>0</v>
      </c>
      <c r="L1512" s="177">
        <f t="shared" si="205"/>
        <v>0</v>
      </c>
      <c r="M1512" s="177">
        <f t="shared" si="205"/>
        <v>0</v>
      </c>
      <c r="N1512" s="177">
        <f t="shared" si="205"/>
        <v>605</v>
      </c>
      <c r="O1512" s="177">
        <f t="shared" si="205"/>
        <v>1508629</v>
      </c>
      <c r="P1512" s="177">
        <f t="shared" si="205"/>
        <v>0</v>
      </c>
      <c r="Q1512" s="177">
        <f t="shared" si="205"/>
        <v>0</v>
      </c>
      <c r="R1512" s="177">
        <f t="shared" si="205"/>
        <v>0</v>
      </c>
      <c r="S1512" s="177">
        <f t="shared" si="205"/>
        <v>0</v>
      </c>
      <c r="T1512" s="177">
        <f t="shared" si="205"/>
        <v>0</v>
      </c>
      <c r="U1512" s="177">
        <f t="shared" si="205"/>
        <v>0</v>
      </c>
      <c r="V1512" s="177">
        <f t="shared" si="205"/>
        <v>0</v>
      </c>
      <c r="W1512" s="241"/>
      <c r="X1512" s="241"/>
    </row>
    <row r="1513" spans="1:30">
      <c r="A1513" s="166">
        <v>449</v>
      </c>
      <c r="B1513" s="180" t="s">
        <v>640</v>
      </c>
      <c r="C1513" s="177">
        <v>1508629</v>
      </c>
      <c r="D1513" s="177">
        <v>0</v>
      </c>
      <c r="E1513" s="177">
        <v>0</v>
      </c>
      <c r="F1513" s="177">
        <v>0</v>
      </c>
      <c r="G1513" s="177">
        <v>0</v>
      </c>
      <c r="H1513" s="177">
        <v>0</v>
      </c>
      <c r="I1513" s="177">
        <v>0</v>
      </c>
      <c r="J1513" s="177">
        <v>0</v>
      </c>
      <c r="K1513" s="177">
        <v>0</v>
      </c>
      <c r="L1513" s="178">
        <v>0</v>
      </c>
      <c r="M1513" s="177">
        <v>0</v>
      </c>
      <c r="N1513" s="177">
        <v>605</v>
      </c>
      <c r="O1513" s="177">
        <v>1508629</v>
      </c>
      <c r="P1513" s="179">
        <v>0</v>
      </c>
      <c r="Q1513" s="177">
        <v>0</v>
      </c>
      <c r="R1513" s="179">
        <v>0</v>
      </c>
      <c r="S1513" s="177">
        <v>0</v>
      </c>
      <c r="T1513" s="178">
        <v>0</v>
      </c>
      <c r="U1513" s="248">
        <v>0</v>
      </c>
      <c r="V1513" s="241"/>
      <c r="W1513" s="241">
        <f>O1513/N1513</f>
        <v>2493.601652892562</v>
      </c>
      <c r="X1513" s="241"/>
    </row>
    <row r="1514" spans="1:30">
      <c r="A1514" s="166"/>
      <c r="B1514" s="182" t="s">
        <v>66</v>
      </c>
      <c r="C1514" s="177">
        <f>C1517</f>
        <v>3745458</v>
      </c>
      <c r="D1514" s="177">
        <f t="shared" ref="D1514:U1514" si="206">D1517</f>
        <v>0</v>
      </c>
      <c r="E1514" s="177">
        <f t="shared" si="206"/>
        <v>0</v>
      </c>
      <c r="F1514" s="177">
        <f t="shared" si="206"/>
        <v>0</v>
      </c>
      <c r="G1514" s="177">
        <f t="shared" si="206"/>
        <v>0</v>
      </c>
      <c r="H1514" s="177">
        <f t="shared" si="206"/>
        <v>0</v>
      </c>
      <c r="I1514" s="177">
        <f t="shared" si="206"/>
        <v>0</v>
      </c>
      <c r="J1514" s="177">
        <f t="shared" si="206"/>
        <v>0</v>
      </c>
      <c r="K1514" s="177">
        <f t="shared" si="206"/>
        <v>0</v>
      </c>
      <c r="L1514" s="177">
        <f t="shared" si="206"/>
        <v>0</v>
      </c>
      <c r="M1514" s="177">
        <f t="shared" si="206"/>
        <v>0</v>
      </c>
      <c r="N1514" s="177">
        <f t="shared" si="206"/>
        <v>1175</v>
      </c>
      <c r="O1514" s="177">
        <f t="shared" si="206"/>
        <v>3745458</v>
      </c>
      <c r="P1514" s="177">
        <f t="shared" si="206"/>
        <v>0</v>
      </c>
      <c r="Q1514" s="177">
        <f t="shared" si="206"/>
        <v>0</v>
      </c>
      <c r="R1514" s="177">
        <f t="shared" si="206"/>
        <v>0</v>
      </c>
      <c r="S1514" s="177">
        <f t="shared" si="206"/>
        <v>0</v>
      </c>
      <c r="T1514" s="177">
        <f t="shared" si="206"/>
        <v>0</v>
      </c>
      <c r="U1514" s="177">
        <f t="shared" si="206"/>
        <v>0</v>
      </c>
      <c r="V1514" s="241"/>
      <c r="W1514" s="241"/>
      <c r="X1514" s="241"/>
    </row>
    <row r="1515" spans="1:30" ht="30">
      <c r="A1515" s="410"/>
      <c r="B1515" s="420" t="s">
        <v>641</v>
      </c>
      <c r="C1515" s="419">
        <f>C1516</f>
        <v>357985</v>
      </c>
      <c r="D1515" s="419">
        <f t="shared" ref="D1515:U1515" si="207">D1516</f>
        <v>357985</v>
      </c>
      <c r="E1515" s="419">
        <f t="shared" si="207"/>
        <v>0</v>
      </c>
      <c r="F1515" s="419">
        <f t="shared" si="207"/>
        <v>0</v>
      </c>
      <c r="G1515" s="419">
        <f t="shared" si="207"/>
        <v>0</v>
      </c>
      <c r="H1515" s="419">
        <f t="shared" si="207"/>
        <v>0</v>
      </c>
      <c r="I1515" s="419">
        <f t="shared" si="207"/>
        <v>0</v>
      </c>
      <c r="J1515" s="419">
        <f t="shared" si="207"/>
        <v>357985</v>
      </c>
      <c r="K1515" s="419">
        <f t="shared" si="207"/>
        <v>0</v>
      </c>
      <c r="L1515" s="419">
        <f t="shared" si="207"/>
        <v>0</v>
      </c>
      <c r="M1515" s="419">
        <f t="shared" si="207"/>
        <v>0</v>
      </c>
      <c r="N1515" s="419">
        <f t="shared" si="207"/>
        <v>0</v>
      </c>
      <c r="O1515" s="419">
        <f t="shared" si="207"/>
        <v>0</v>
      </c>
      <c r="P1515" s="419">
        <f t="shared" si="207"/>
        <v>0</v>
      </c>
      <c r="Q1515" s="419">
        <f t="shared" si="207"/>
        <v>0</v>
      </c>
      <c r="R1515" s="419">
        <f t="shared" si="207"/>
        <v>0</v>
      </c>
      <c r="S1515" s="419">
        <f t="shared" si="207"/>
        <v>0</v>
      </c>
      <c r="T1515" s="419">
        <f t="shared" si="207"/>
        <v>0</v>
      </c>
      <c r="U1515" s="419">
        <f t="shared" si="207"/>
        <v>0</v>
      </c>
      <c r="V1515" s="241"/>
      <c r="W1515" s="241"/>
      <c r="X1515" s="241"/>
    </row>
    <row r="1516" spans="1:30">
      <c r="A1516" s="410"/>
      <c r="B1516" s="462" t="s">
        <v>644</v>
      </c>
      <c r="C1516" s="419">
        <f>'часть 1'!L1540</f>
        <v>357985</v>
      </c>
      <c r="D1516" s="419">
        <f>E1516+F1516+G1516+H1516+I1516+J1516+K1516</f>
        <v>357985</v>
      </c>
      <c r="E1516" s="419">
        <v>0</v>
      </c>
      <c r="F1516" s="419">
        <v>0</v>
      </c>
      <c r="G1516" s="419">
        <v>0</v>
      </c>
      <c r="H1516" s="419">
        <v>0</v>
      </c>
      <c r="I1516" s="419">
        <v>0</v>
      </c>
      <c r="J1516" s="419">
        <v>357985</v>
      </c>
      <c r="K1516" s="419">
        <v>0</v>
      </c>
      <c r="L1516" s="419">
        <v>0</v>
      </c>
      <c r="M1516" s="419">
        <v>0</v>
      </c>
      <c r="N1516" s="419">
        <v>0</v>
      </c>
      <c r="O1516" s="419">
        <v>0</v>
      </c>
      <c r="P1516" s="419">
        <v>0</v>
      </c>
      <c r="Q1516" s="419">
        <v>0</v>
      </c>
      <c r="R1516" s="419">
        <v>0</v>
      </c>
      <c r="S1516" s="419">
        <v>0</v>
      </c>
      <c r="T1516" s="419">
        <v>0</v>
      </c>
      <c r="U1516" s="419">
        <v>0</v>
      </c>
      <c r="V1516" s="241"/>
      <c r="W1516" s="241"/>
      <c r="X1516" s="241"/>
      <c r="AD1516" s="1">
        <f>J1516/'часть 1'!I1540</f>
        <v>558.39182654812043</v>
      </c>
    </row>
    <row r="1517" spans="1:30" ht="30">
      <c r="A1517" s="166"/>
      <c r="B1517" s="180" t="s">
        <v>114</v>
      </c>
      <c r="C1517" s="177">
        <f>C1518+C1519</f>
        <v>3745458</v>
      </c>
      <c r="D1517" s="177">
        <f t="shared" ref="D1517:V1517" si="208">D1518+D1519</f>
        <v>0</v>
      </c>
      <c r="E1517" s="177">
        <f t="shared" si="208"/>
        <v>0</v>
      </c>
      <c r="F1517" s="177">
        <f t="shared" si="208"/>
        <v>0</v>
      </c>
      <c r="G1517" s="177">
        <f t="shared" si="208"/>
        <v>0</v>
      </c>
      <c r="H1517" s="177">
        <f t="shared" si="208"/>
        <v>0</v>
      </c>
      <c r="I1517" s="177">
        <f t="shared" si="208"/>
        <v>0</v>
      </c>
      <c r="J1517" s="177">
        <f t="shared" si="208"/>
        <v>0</v>
      </c>
      <c r="K1517" s="177">
        <f t="shared" si="208"/>
        <v>0</v>
      </c>
      <c r="L1517" s="177">
        <f t="shared" si="208"/>
        <v>0</v>
      </c>
      <c r="M1517" s="177">
        <f t="shared" si="208"/>
        <v>0</v>
      </c>
      <c r="N1517" s="177">
        <f t="shared" si="208"/>
        <v>1175</v>
      </c>
      <c r="O1517" s="177">
        <f t="shared" si="208"/>
        <v>3745458</v>
      </c>
      <c r="P1517" s="177">
        <f t="shared" si="208"/>
        <v>0</v>
      </c>
      <c r="Q1517" s="177">
        <f t="shared" si="208"/>
        <v>0</v>
      </c>
      <c r="R1517" s="177">
        <f t="shared" si="208"/>
        <v>0</v>
      </c>
      <c r="S1517" s="177">
        <f t="shared" si="208"/>
        <v>0</v>
      </c>
      <c r="T1517" s="177">
        <f t="shared" si="208"/>
        <v>0</v>
      </c>
      <c r="U1517" s="177">
        <f t="shared" si="208"/>
        <v>0</v>
      </c>
      <c r="V1517" s="177">
        <f t="shared" si="208"/>
        <v>0</v>
      </c>
      <c r="W1517" s="241"/>
      <c r="X1517" s="241"/>
    </row>
    <row r="1518" spans="1:30" ht="15.75">
      <c r="A1518" s="410">
        <v>450</v>
      </c>
      <c r="B1518" s="312" t="s">
        <v>595</v>
      </c>
      <c r="C1518" s="419">
        <v>2305927</v>
      </c>
      <c r="D1518" s="419">
        <v>0</v>
      </c>
      <c r="E1518" s="419">
        <v>0</v>
      </c>
      <c r="F1518" s="419">
        <v>0</v>
      </c>
      <c r="G1518" s="419">
        <v>0</v>
      </c>
      <c r="H1518" s="419">
        <v>0</v>
      </c>
      <c r="I1518" s="419">
        <v>0</v>
      </c>
      <c r="J1518" s="419">
        <v>0</v>
      </c>
      <c r="K1518" s="419">
        <v>0</v>
      </c>
      <c r="L1518" s="453">
        <v>0</v>
      </c>
      <c r="M1518" s="419">
        <v>0</v>
      </c>
      <c r="N1518" s="419">
        <v>725</v>
      </c>
      <c r="O1518" s="419">
        <v>2305927</v>
      </c>
      <c r="P1518" s="454">
        <v>0</v>
      </c>
      <c r="Q1518" s="419">
        <v>0</v>
      </c>
      <c r="R1518" s="454">
        <v>0</v>
      </c>
      <c r="S1518" s="419">
        <v>0</v>
      </c>
      <c r="T1518" s="453">
        <v>0</v>
      </c>
      <c r="U1518" s="455">
        <v>0</v>
      </c>
      <c r="V1518" s="241"/>
      <c r="W1518" s="241">
        <f>O1518/N1518</f>
        <v>3180.5889655172414</v>
      </c>
      <c r="X1518" s="241"/>
    </row>
    <row r="1519" spans="1:30" ht="15.75">
      <c r="A1519" s="410">
        <v>451</v>
      </c>
      <c r="B1519" s="312" t="s">
        <v>596</v>
      </c>
      <c r="C1519" s="419">
        <v>1439531</v>
      </c>
      <c r="D1519" s="419">
        <v>0</v>
      </c>
      <c r="E1519" s="419">
        <v>0</v>
      </c>
      <c r="F1519" s="419">
        <v>0</v>
      </c>
      <c r="G1519" s="419">
        <v>0</v>
      </c>
      <c r="H1519" s="419">
        <v>0</v>
      </c>
      <c r="I1519" s="419">
        <v>0</v>
      </c>
      <c r="J1519" s="419">
        <v>0</v>
      </c>
      <c r="K1519" s="419">
        <v>0</v>
      </c>
      <c r="L1519" s="453">
        <v>0</v>
      </c>
      <c r="M1519" s="419">
        <v>0</v>
      </c>
      <c r="N1519" s="419">
        <v>450</v>
      </c>
      <c r="O1519" s="419">
        <v>1439531</v>
      </c>
      <c r="P1519" s="454">
        <v>0</v>
      </c>
      <c r="Q1519" s="419">
        <v>0</v>
      </c>
      <c r="R1519" s="454">
        <v>0</v>
      </c>
      <c r="S1519" s="419">
        <v>0</v>
      </c>
      <c r="T1519" s="453">
        <v>0</v>
      </c>
      <c r="U1519" s="455">
        <v>0</v>
      </c>
      <c r="V1519" s="241"/>
      <c r="W1519" s="241">
        <f>O1519/N1519</f>
        <v>3198.9577777777777</v>
      </c>
      <c r="X1519" s="241"/>
    </row>
    <row r="1520" spans="1:30" ht="15.75">
      <c r="A1520" s="410"/>
      <c r="B1520" s="312"/>
      <c r="C1520" s="419"/>
      <c r="D1520" s="419"/>
      <c r="E1520" s="419"/>
      <c r="F1520" s="419"/>
      <c r="G1520" s="419"/>
      <c r="H1520" s="419"/>
      <c r="I1520" s="419"/>
      <c r="J1520" s="419"/>
      <c r="K1520" s="419"/>
      <c r="L1520" s="453"/>
      <c r="M1520" s="419"/>
      <c r="N1520" s="419"/>
      <c r="O1520" s="419"/>
      <c r="P1520" s="454"/>
      <c r="Q1520" s="419"/>
      <c r="R1520" s="454"/>
      <c r="S1520" s="419"/>
      <c r="T1520" s="453"/>
      <c r="U1520" s="455"/>
      <c r="V1520" s="241"/>
      <c r="W1520" s="241"/>
      <c r="X1520" s="241"/>
    </row>
    <row r="1521" spans="1:35">
      <c r="A1521" s="166"/>
      <c r="B1521" s="180" t="s">
        <v>207</v>
      </c>
      <c r="C1521" s="177">
        <f>C1522+C1523+C1524+C1525+C1526+C1527+C1528</f>
        <v>21360482</v>
      </c>
      <c r="D1521" s="177">
        <f t="shared" ref="D1521:V1521" si="209">D1522+D1523+D1524+D1525+D1526+D1527+D1528</f>
        <v>0</v>
      </c>
      <c r="E1521" s="177">
        <f t="shared" si="209"/>
        <v>0</v>
      </c>
      <c r="F1521" s="177">
        <f t="shared" si="209"/>
        <v>0</v>
      </c>
      <c r="G1521" s="177">
        <f t="shared" si="209"/>
        <v>0</v>
      </c>
      <c r="H1521" s="177">
        <f t="shared" si="209"/>
        <v>0</v>
      </c>
      <c r="I1521" s="177">
        <f t="shared" si="209"/>
        <v>0</v>
      </c>
      <c r="J1521" s="177">
        <f t="shared" si="209"/>
        <v>0</v>
      </c>
      <c r="K1521" s="177">
        <f t="shared" si="209"/>
        <v>0</v>
      </c>
      <c r="L1521" s="177">
        <f t="shared" si="209"/>
        <v>0</v>
      </c>
      <c r="M1521" s="177">
        <f t="shared" si="209"/>
        <v>0</v>
      </c>
      <c r="N1521" s="177">
        <f t="shared" si="209"/>
        <v>8495.4</v>
      </c>
      <c r="O1521" s="177">
        <f t="shared" si="209"/>
        <v>21360482</v>
      </c>
      <c r="P1521" s="177">
        <f t="shared" si="209"/>
        <v>0</v>
      </c>
      <c r="Q1521" s="177">
        <f t="shared" si="209"/>
        <v>0</v>
      </c>
      <c r="R1521" s="177">
        <f t="shared" si="209"/>
        <v>0</v>
      </c>
      <c r="S1521" s="177">
        <f t="shared" si="209"/>
        <v>0</v>
      </c>
      <c r="T1521" s="177">
        <f t="shared" si="209"/>
        <v>0</v>
      </c>
      <c r="U1521" s="177">
        <f t="shared" si="209"/>
        <v>0</v>
      </c>
      <c r="V1521" s="177">
        <f t="shared" si="209"/>
        <v>0</v>
      </c>
      <c r="W1521" s="177"/>
      <c r="X1521" s="177"/>
      <c r="Y1521" s="177"/>
      <c r="Z1521" s="177"/>
      <c r="AA1521" s="177"/>
      <c r="AB1521" s="177"/>
      <c r="AC1521" s="177"/>
      <c r="AD1521" s="177"/>
      <c r="AE1521" s="177"/>
      <c r="AF1521" s="177"/>
      <c r="AG1521" s="177"/>
      <c r="AH1521" s="177"/>
      <c r="AI1521" s="177"/>
    </row>
    <row r="1522" spans="1:35">
      <c r="A1522" s="410">
        <v>453</v>
      </c>
      <c r="B1522" s="457" t="s">
        <v>506</v>
      </c>
      <c r="C1522" s="419">
        <v>1823609</v>
      </c>
      <c r="D1522" s="419">
        <v>0</v>
      </c>
      <c r="E1522" s="419">
        <v>0</v>
      </c>
      <c r="F1522" s="419">
        <v>0</v>
      </c>
      <c r="G1522" s="419">
        <v>0</v>
      </c>
      <c r="H1522" s="419">
        <v>0</v>
      </c>
      <c r="I1522" s="419">
        <v>0</v>
      </c>
      <c r="J1522" s="419">
        <v>0</v>
      </c>
      <c r="K1522" s="419">
        <v>0</v>
      </c>
      <c r="L1522" s="453">
        <v>0</v>
      </c>
      <c r="M1522" s="419">
        <v>0</v>
      </c>
      <c r="N1522" s="456">
        <v>719</v>
      </c>
      <c r="O1522" s="419">
        <v>1823609</v>
      </c>
      <c r="P1522" s="453">
        <v>0</v>
      </c>
      <c r="Q1522" s="419">
        <v>0</v>
      </c>
      <c r="R1522" s="454">
        <v>0</v>
      </c>
      <c r="S1522" s="419">
        <v>0</v>
      </c>
      <c r="T1522" s="453">
        <v>0</v>
      </c>
      <c r="U1522" s="455">
        <v>0</v>
      </c>
      <c r="V1522" s="241"/>
      <c r="W1522" s="241">
        <f>O1522/N1522</f>
        <v>2536.3129346314327</v>
      </c>
      <c r="X1522" s="241"/>
    </row>
    <row r="1523" spans="1:35">
      <c r="A1523" s="410">
        <v>454</v>
      </c>
      <c r="B1523" s="457" t="s">
        <v>507</v>
      </c>
      <c r="C1523" s="419">
        <v>5329850</v>
      </c>
      <c r="D1523" s="419">
        <v>0</v>
      </c>
      <c r="E1523" s="419">
        <v>0</v>
      </c>
      <c r="F1523" s="419">
        <v>0</v>
      </c>
      <c r="G1523" s="419">
        <v>0</v>
      </c>
      <c r="H1523" s="419">
        <v>0</v>
      </c>
      <c r="I1523" s="419">
        <v>0</v>
      </c>
      <c r="J1523" s="419">
        <v>0</v>
      </c>
      <c r="K1523" s="419">
        <v>0</v>
      </c>
      <c r="L1523" s="453">
        <v>0</v>
      </c>
      <c r="M1523" s="419">
        <v>0</v>
      </c>
      <c r="N1523" s="456">
        <v>2128</v>
      </c>
      <c r="O1523" s="419">
        <v>5329850</v>
      </c>
      <c r="P1523" s="453">
        <v>0</v>
      </c>
      <c r="Q1523" s="419">
        <v>0</v>
      </c>
      <c r="R1523" s="454">
        <v>0</v>
      </c>
      <c r="S1523" s="419">
        <v>0</v>
      </c>
      <c r="T1523" s="453">
        <v>0</v>
      </c>
      <c r="U1523" s="455">
        <v>0</v>
      </c>
      <c r="V1523" s="241"/>
      <c r="W1523" s="241">
        <f t="shared" ref="W1523:W1528" si="210">O1523/N1523</f>
        <v>2504.6287593984962</v>
      </c>
      <c r="X1523" s="241"/>
    </row>
    <row r="1524" spans="1:35">
      <c r="A1524" s="410">
        <v>455</v>
      </c>
      <c r="B1524" s="457" t="s">
        <v>508</v>
      </c>
      <c r="C1524" s="419">
        <v>1176993</v>
      </c>
      <c r="D1524" s="419">
        <v>0</v>
      </c>
      <c r="E1524" s="419">
        <v>0</v>
      </c>
      <c r="F1524" s="419">
        <v>0</v>
      </c>
      <c r="G1524" s="419">
        <v>0</v>
      </c>
      <c r="H1524" s="419">
        <v>0</v>
      </c>
      <c r="I1524" s="419">
        <v>0</v>
      </c>
      <c r="J1524" s="419">
        <v>0</v>
      </c>
      <c r="K1524" s="419">
        <v>0</v>
      </c>
      <c r="L1524" s="453">
        <v>0</v>
      </c>
      <c r="M1524" s="419">
        <v>0</v>
      </c>
      <c r="N1524" s="419">
        <v>459.4</v>
      </c>
      <c r="O1524" s="419">
        <v>1176993</v>
      </c>
      <c r="P1524" s="453">
        <v>0</v>
      </c>
      <c r="Q1524" s="419">
        <v>0</v>
      </c>
      <c r="R1524" s="454">
        <v>0</v>
      </c>
      <c r="S1524" s="419">
        <v>0</v>
      </c>
      <c r="T1524" s="453">
        <v>0</v>
      </c>
      <c r="U1524" s="455">
        <v>0</v>
      </c>
      <c r="V1524" s="241"/>
      <c r="W1524" s="241">
        <f t="shared" si="210"/>
        <v>2562.0222028733133</v>
      </c>
      <c r="X1524" s="241"/>
    </row>
    <row r="1525" spans="1:35">
      <c r="A1525" s="410">
        <v>456</v>
      </c>
      <c r="B1525" s="457" t="s">
        <v>509</v>
      </c>
      <c r="C1525" s="419">
        <v>2684544</v>
      </c>
      <c r="D1525" s="419">
        <v>0</v>
      </c>
      <c r="E1525" s="419">
        <v>0</v>
      </c>
      <c r="F1525" s="419">
        <v>0</v>
      </c>
      <c r="G1525" s="419">
        <v>0</v>
      </c>
      <c r="H1525" s="419">
        <v>0</v>
      </c>
      <c r="I1525" s="419">
        <v>0</v>
      </c>
      <c r="J1525" s="419">
        <v>0</v>
      </c>
      <c r="K1525" s="419">
        <v>0</v>
      </c>
      <c r="L1525" s="453">
        <v>0</v>
      </c>
      <c r="M1525" s="419">
        <v>0</v>
      </c>
      <c r="N1525" s="456">
        <v>1065</v>
      </c>
      <c r="O1525" s="419">
        <v>2684544</v>
      </c>
      <c r="P1525" s="453">
        <v>0</v>
      </c>
      <c r="Q1525" s="419">
        <v>0</v>
      </c>
      <c r="R1525" s="454">
        <v>0</v>
      </c>
      <c r="S1525" s="419">
        <v>0</v>
      </c>
      <c r="T1525" s="453">
        <v>0</v>
      </c>
      <c r="U1525" s="455">
        <v>0</v>
      </c>
      <c r="V1525" s="241"/>
      <c r="W1525" s="241">
        <f t="shared" si="210"/>
        <v>2520.698591549296</v>
      </c>
      <c r="X1525" s="241"/>
    </row>
    <row r="1526" spans="1:35">
      <c r="A1526" s="410">
        <v>457</v>
      </c>
      <c r="B1526" s="457" t="s">
        <v>510</v>
      </c>
      <c r="C1526" s="419">
        <v>6294002</v>
      </c>
      <c r="D1526" s="419">
        <v>0</v>
      </c>
      <c r="E1526" s="419">
        <v>0</v>
      </c>
      <c r="F1526" s="419">
        <v>0</v>
      </c>
      <c r="G1526" s="419">
        <v>0</v>
      </c>
      <c r="H1526" s="419">
        <v>0</v>
      </c>
      <c r="I1526" s="419">
        <v>0</v>
      </c>
      <c r="J1526" s="419">
        <v>0</v>
      </c>
      <c r="K1526" s="419">
        <v>0</v>
      </c>
      <c r="L1526" s="453">
        <v>0</v>
      </c>
      <c r="M1526" s="419">
        <v>0</v>
      </c>
      <c r="N1526" s="456">
        <v>2525</v>
      </c>
      <c r="O1526" s="419">
        <v>6294002</v>
      </c>
      <c r="P1526" s="453">
        <v>0</v>
      </c>
      <c r="Q1526" s="419">
        <v>0</v>
      </c>
      <c r="R1526" s="454">
        <v>0</v>
      </c>
      <c r="S1526" s="419">
        <v>0</v>
      </c>
      <c r="T1526" s="453">
        <v>0</v>
      </c>
      <c r="U1526" s="455">
        <v>0</v>
      </c>
      <c r="V1526" s="241"/>
      <c r="W1526" s="241">
        <f t="shared" si="210"/>
        <v>2492.6740594059406</v>
      </c>
      <c r="X1526" s="241"/>
    </row>
    <row r="1527" spans="1:35">
      <c r="A1527" s="410">
        <v>458</v>
      </c>
      <c r="B1527" s="457" t="s">
        <v>428</v>
      </c>
      <c r="C1527" s="419">
        <v>2199863</v>
      </c>
      <c r="D1527" s="419">
        <v>0</v>
      </c>
      <c r="E1527" s="419">
        <v>0</v>
      </c>
      <c r="F1527" s="419">
        <v>0</v>
      </c>
      <c r="G1527" s="419">
        <v>0</v>
      </c>
      <c r="H1527" s="419">
        <v>0</v>
      </c>
      <c r="I1527" s="419">
        <v>0</v>
      </c>
      <c r="J1527" s="419">
        <v>0</v>
      </c>
      <c r="K1527" s="419">
        <v>0</v>
      </c>
      <c r="L1527" s="453">
        <v>0</v>
      </c>
      <c r="M1527" s="419">
        <v>0</v>
      </c>
      <c r="N1527" s="456">
        <v>870</v>
      </c>
      <c r="O1527" s="419">
        <v>2199863</v>
      </c>
      <c r="P1527" s="453">
        <v>0</v>
      </c>
      <c r="Q1527" s="419">
        <v>0</v>
      </c>
      <c r="R1527" s="454">
        <v>0</v>
      </c>
      <c r="S1527" s="419">
        <v>0</v>
      </c>
      <c r="T1527" s="453">
        <v>0</v>
      </c>
      <c r="U1527" s="455">
        <v>0</v>
      </c>
      <c r="V1527" s="241"/>
      <c r="W1527" s="241">
        <f t="shared" si="210"/>
        <v>2528.5781609195401</v>
      </c>
      <c r="X1527" s="241"/>
    </row>
    <row r="1528" spans="1:35">
      <c r="A1528" s="410">
        <v>459</v>
      </c>
      <c r="B1528" s="457" t="s">
        <v>511</v>
      </c>
      <c r="C1528" s="419">
        <v>1851621</v>
      </c>
      <c r="D1528" s="419">
        <v>0</v>
      </c>
      <c r="E1528" s="419">
        <v>0</v>
      </c>
      <c r="F1528" s="419">
        <v>0</v>
      </c>
      <c r="G1528" s="419">
        <v>0</v>
      </c>
      <c r="H1528" s="419">
        <v>0</v>
      </c>
      <c r="I1528" s="419">
        <v>0</v>
      </c>
      <c r="J1528" s="419">
        <v>0</v>
      </c>
      <c r="K1528" s="419">
        <v>0</v>
      </c>
      <c r="L1528" s="453">
        <v>0</v>
      </c>
      <c r="M1528" s="419">
        <v>0</v>
      </c>
      <c r="N1528" s="456">
        <v>729</v>
      </c>
      <c r="O1528" s="419">
        <v>1851621</v>
      </c>
      <c r="P1528" s="453">
        <v>0</v>
      </c>
      <c r="Q1528" s="419">
        <v>0</v>
      </c>
      <c r="R1528" s="454">
        <v>0</v>
      </c>
      <c r="S1528" s="419">
        <v>0</v>
      </c>
      <c r="T1528" s="453">
        <v>0</v>
      </c>
      <c r="U1528" s="455">
        <v>0</v>
      </c>
      <c r="V1528" s="241"/>
      <c r="W1528" s="241">
        <f t="shared" si="210"/>
        <v>2539.9465020576131</v>
      </c>
      <c r="X1528" s="241"/>
    </row>
    <row r="1529" spans="1:35">
      <c r="A1529" s="410"/>
      <c r="B1529" s="457"/>
      <c r="C1529" s="419"/>
      <c r="D1529" s="419"/>
      <c r="E1529" s="419"/>
      <c r="F1529" s="419"/>
      <c r="G1529" s="419"/>
      <c r="H1529" s="419"/>
      <c r="I1529" s="419"/>
      <c r="J1529" s="419"/>
      <c r="K1529" s="419"/>
      <c r="L1529" s="453"/>
      <c r="M1529" s="419"/>
      <c r="N1529" s="456"/>
      <c r="O1529" s="419"/>
      <c r="P1529" s="453"/>
      <c r="Q1529" s="419"/>
      <c r="R1529" s="454"/>
      <c r="S1529" s="419"/>
      <c r="T1529" s="453"/>
      <c r="U1529" s="455"/>
      <c r="V1529" s="241"/>
      <c r="W1529" s="241"/>
      <c r="X1529" s="241"/>
    </row>
    <row r="1530" spans="1:35">
      <c r="A1530" s="410"/>
      <c r="B1530" s="457"/>
      <c r="C1530" s="419"/>
      <c r="D1530" s="419"/>
      <c r="E1530" s="419"/>
      <c r="F1530" s="419"/>
      <c r="G1530" s="419"/>
      <c r="H1530" s="419"/>
      <c r="I1530" s="419"/>
      <c r="J1530" s="419"/>
      <c r="K1530" s="419"/>
      <c r="L1530" s="453"/>
      <c r="M1530" s="419"/>
      <c r="N1530" s="456"/>
      <c r="O1530" s="419"/>
      <c r="P1530" s="453"/>
      <c r="Q1530" s="419"/>
      <c r="R1530" s="454"/>
      <c r="S1530" s="419"/>
      <c r="T1530" s="453"/>
      <c r="U1530" s="455"/>
      <c r="V1530" s="241"/>
      <c r="W1530" s="241"/>
      <c r="X1530" s="241"/>
    </row>
    <row r="1531" spans="1:35">
      <c r="A1531" s="410"/>
      <c r="B1531" s="457"/>
      <c r="C1531" s="419"/>
      <c r="D1531" s="419"/>
      <c r="E1531" s="419"/>
      <c r="F1531" s="419"/>
      <c r="G1531" s="419"/>
      <c r="H1531" s="419"/>
      <c r="I1531" s="419"/>
      <c r="J1531" s="419"/>
      <c r="K1531" s="419"/>
      <c r="L1531" s="453"/>
      <c r="M1531" s="419"/>
      <c r="N1531" s="456"/>
      <c r="O1531" s="419"/>
      <c r="P1531" s="453"/>
      <c r="Q1531" s="419"/>
      <c r="R1531" s="454"/>
      <c r="S1531" s="419"/>
      <c r="T1531" s="453"/>
      <c r="U1531" s="455"/>
      <c r="V1531" s="241"/>
      <c r="W1531" s="241"/>
      <c r="X1531" s="241"/>
    </row>
    <row r="1532" spans="1:35">
      <c r="A1532" s="410"/>
      <c r="B1532" s="457"/>
      <c r="C1532" s="419"/>
      <c r="D1532" s="419"/>
      <c r="E1532" s="419"/>
      <c r="F1532" s="419"/>
      <c r="G1532" s="419"/>
      <c r="H1532" s="419"/>
      <c r="I1532" s="419"/>
      <c r="J1532" s="419"/>
      <c r="K1532" s="419"/>
      <c r="L1532" s="453"/>
      <c r="M1532" s="419"/>
      <c r="N1532" s="456"/>
      <c r="O1532" s="419"/>
      <c r="P1532" s="453"/>
      <c r="Q1532" s="419"/>
      <c r="R1532" s="454"/>
      <c r="S1532" s="419"/>
      <c r="T1532" s="453"/>
      <c r="U1532" s="455"/>
      <c r="V1532" s="241"/>
      <c r="W1532" s="241"/>
      <c r="X1532" s="241"/>
    </row>
    <row r="1533" spans="1:35">
      <c r="A1533" s="166"/>
      <c r="B1533" s="182" t="s">
        <v>67</v>
      </c>
      <c r="C1533" s="177">
        <v>2507155.0699999998</v>
      </c>
      <c r="D1533" s="177"/>
      <c r="E1533" s="177"/>
      <c r="F1533" s="177"/>
      <c r="G1533" s="177"/>
      <c r="H1533" s="177"/>
      <c r="I1533" s="177"/>
      <c r="J1533" s="177"/>
      <c r="K1533" s="177">
        <v>0</v>
      </c>
      <c r="L1533" s="178">
        <v>0</v>
      </c>
      <c r="M1533" s="177">
        <v>0</v>
      </c>
      <c r="N1533" s="177">
        <v>1630.2</v>
      </c>
      <c r="O1533" s="177">
        <v>2507155.0699999998</v>
      </c>
      <c r="P1533" s="178">
        <v>0</v>
      </c>
      <c r="Q1533" s="177">
        <v>0</v>
      </c>
      <c r="R1533" s="179">
        <v>0</v>
      </c>
      <c r="S1533" s="177">
        <v>0</v>
      </c>
      <c r="T1533" s="178">
        <v>0</v>
      </c>
      <c r="U1533" s="248">
        <v>0</v>
      </c>
      <c r="V1533" s="241"/>
      <c r="W1533" s="241"/>
      <c r="X1533" s="241"/>
    </row>
    <row r="1534" spans="1:35" ht="30">
      <c r="A1534" s="166"/>
      <c r="B1534" s="180" t="s">
        <v>90</v>
      </c>
      <c r="C1534" s="177">
        <v>728197.07</v>
      </c>
      <c r="D1534" s="177"/>
      <c r="E1534" s="177"/>
      <c r="F1534" s="177"/>
      <c r="G1534" s="177"/>
      <c r="H1534" s="177"/>
      <c r="I1534" s="177"/>
      <c r="J1534" s="177"/>
      <c r="K1534" s="177">
        <v>0</v>
      </c>
      <c r="L1534" s="178">
        <v>0</v>
      </c>
      <c r="M1534" s="177">
        <v>0</v>
      </c>
      <c r="N1534" s="177">
        <v>731.2</v>
      </c>
      <c r="O1534" s="177">
        <v>728197.07</v>
      </c>
      <c r="P1534" s="178">
        <v>0</v>
      </c>
      <c r="Q1534" s="177">
        <v>0</v>
      </c>
      <c r="R1534" s="179">
        <v>0</v>
      </c>
      <c r="S1534" s="177">
        <v>0</v>
      </c>
      <c r="T1534" s="178">
        <v>0</v>
      </c>
      <c r="U1534" s="248">
        <v>0</v>
      </c>
      <c r="V1534" s="241"/>
      <c r="W1534" s="241"/>
      <c r="X1534" s="241"/>
    </row>
    <row r="1535" spans="1:35" s="18" customFormat="1">
      <c r="A1535" s="166">
        <v>464</v>
      </c>
      <c r="B1535" s="206" t="s">
        <v>429</v>
      </c>
      <c r="C1535" s="177">
        <v>728197.07</v>
      </c>
      <c r="D1535" s="177"/>
      <c r="E1535" s="177"/>
      <c r="F1535" s="177"/>
      <c r="G1535" s="177"/>
      <c r="H1535" s="177"/>
      <c r="I1535" s="177"/>
      <c r="J1535" s="177"/>
      <c r="K1535" s="177">
        <v>0</v>
      </c>
      <c r="L1535" s="178">
        <v>0</v>
      </c>
      <c r="M1535" s="177">
        <v>0</v>
      </c>
      <c r="N1535" s="177">
        <v>731.2</v>
      </c>
      <c r="O1535" s="177">
        <v>728197.07</v>
      </c>
      <c r="P1535" s="178">
        <v>0</v>
      </c>
      <c r="Q1535" s="177">
        <v>0</v>
      </c>
      <c r="R1535" s="179">
        <v>0</v>
      </c>
      <c r="S1535" s="177">
        <v>0</v>
      </c>
      <c r="T1535" s="178">
        <v>0</v>
      </c>
      <c r="U1535" s="248">
        <v>0</v>
      </c>
      <c r="V1535" s="241"/>
      <c r="W1535" s="241"/>
      <c r="X1535" s="241"/>
    </row>
    <row r="1536" spans="1:35" ht="30">
      <c r="A1536" s="410"/>
      <c r="B1536" s="420" t="s">
        <v>127</v>
      </c>
      <c r="C1536" s="419">
        <f>C1537</f>
        <v>2254298</v>
      </c>
      <c r="D1536" s="419">
        <f t="shared" ref="D1536:V1536" si="211">D1537</f>
        <v>0</v>
      </c>
      <c r="E1536" s="419">
        <f t="shared" si="211"/>
        <v>0</v>
      </c>
      <c r="F1536" s="419">
        <f t="shared" si="211"/>
        <v>0</v>
      </c>
      <c r="G1536" s="419">
        <f t="shared" si="211"/>
        <v>0</v>
      </c>
      <c r="H1536" s="419">
        <f t="shared" si="211"/>
        <v>0</v>
      </c>
      <c r="I1536" s="419">
        <f t="shared" si="211"/>
        <v>0</v>
      </c>
      <c r="J1536" s="419">
        <f t="shared" si="211"/>
        <v>0</v>
      </c>
      <c r="K1536" s="419">
        <f t="shared" si="211"/>
        <v>0</v>
      </c>
      <c r="L1536" s="419">
        <f t="shared" si="211"/>
        <v>0</v>
      </c>
      <c r="M1536" s="419">
        <f t="shared" si="211"/>
        <v>0</v>
      </c>
      <c r="N1536" s="419">
        <f t="shared" si="211"/>
        <v>1190</v>
      </c>
      <c r="O1536" s="419">
        <f t="shared" si="211"/>
        <v>2254298</v>
      </c>
      <c r="P1536" s="419">
        <f t="shared" si="211"/>
        <v>0</v>
      </c>
      <c r="Q1536" s="419">
        <f t="shared" si="211"/>
        <v>0</v>
      </c>
      <c r="R1536" s="419">
        <f t="shared" si="211"/>
        <v>0</v>
      </c>
      <c r="S1536" s="419">
        <f t="shared" si="211"/>
        <v>0</v>
      </c>
      <c r="T1536" s="419">
        <f t="shared" si="211"/>
        <v>0</v>
      </c>
      <c r="U1536" s="419">
        <f t="shared" si="211"/>
        <v>0</v>
      </c>
      <c r="V1536" s="177">
        <f t="shared" si="211"/>
        <v>0</v>
      </c>
      <c r="W1536" s="241"/>
      <c r="X1536" s="241"/>
    </row>
    <row r="1537" spans="1:24" ht="25.15" customHeight="1">
      <c r="A1537" s="410">
        <v>465</v>
      </c>
      <c r="B1537" s="420" t="s">
        <v>430</v>
      </c>
      <c r="C1537" s="419">
        <f>'часть 1'!L1561</f>
        <v>2254298</v>
      </c>
      <c r="D1537" s="419">
        <v>0</v>
      </c>
      <c r="E1537" s="419">
        <v>0</v>
      </c>
      <c r="F1537" s="419">
        <v>0</v>
      </c>
      <c r="G1537" s="419">
        <v>0</v>
      </c>
      <c r="H1537" s="419">
        <v>0</v>
      </c>
      <c r="I1537" s="419">
        <v>0</v>
      </c>
      <c r="J1537" s="419">
        <v>0</v>
      </c>
      <c r="K1537" s="419">
        <v>0</v>
      </c>
      <c r="L1537" s="453">
        <v>0</v>
      </c>
      <c r="M1537" s="419">
        <v>0</v>
      </c>
      <c r="N1537" s="419">
        <v>1190</v>
      </c>
      <c r="O1537" s="419">
        <v>2254298</v>
      </c>
      <c r="P1537" s="453">
        <v>0</v>
      </c>
      <c r="Q1537" s="419">
        <v>0</v>
      </c>
      <c r="R1537" s="454">
        <v>0</v>
      </c>
      <c r="S1537" s="419">
        <v>0</v>
      </c>
      <c r="T1537" s="453">
        <v>0</v>
      </c>
      <c r="U1537" s="455">
        <v>0</v>
      </c>
      <c r="V1537" s="241"/>
      <c r="W1537" s="241">
        <f>O1537/N1537</f>
        <v>1894.3680672268908</v>
      </c>
      <c r="X1537" s="241"/>
    </row>
  </sheetData>
  <autoFilter ref="A6:BA749"/>
  <sortState ref="B8:AD175">
    <sortCondition ref="B8:B175"/>
  </sortState>
  <customSheetViews>
    <customSheetView guid="{971AA6D5-B469-4A54-816C-1252CCB6D265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1"/>
      <headerFooter>
        <oddHeader>&amp;C&amp;P</oddHeader>
      </headerFooter>
      <autoFilter ref="A6:BA749"/>
    </customSheetView>
    <customSheetView guid="{DFE5B545-478C-4B86-847C-1FEE882C6F69}" scale="68" showPageBreaks="1" showAutoFilter="1" hiddenColumns="1" state="hidden" view="pageBreakPreview">
      <pane xSplit="2" ySplit="5.7142857142857144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2"/>
      <headerFooter>
        <oddHeader>&amp;C&amp;P</oddHeader>
      </headerFooter>
      <autoFilter ref="A6:BA749"/>
    </customSheetView>
    <customSheetView guid="{4C44C113-DA02-468D-99C5-83FA6693F42F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3"/>
      <headerFooter>
        <oddHeader>&amp;C&amp;P</oddHeader>
      </headerFooter>
      <autoFilter ref="A6:BA749"/>
    </customSheetView>
    <customSheetView guid="{570403C4-1D93-4175-B4D8-BD47D46CE99C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4"/>
      <headerFooter>
        <oddHeader>&amp;C&amp;P</oddHeader>
      </headerFooter>
      <autoFilter ref="A6:BA749"/>
    </customSheetView>
    <customSheetView guid="{B1841E62-04AF-4786-8B2B-B1F42C88E6D1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5"/>
      <headerFooter>
        <oddHeader>&amp;C&amp;P</oddHeader>
      </headerFooter>
      <autoFilter ref="A6:BA560"/>
    </customSheetView>
    <customSheetView guid="{A28C0ADC-4E0C-4A0A-ACB1-DA409183476D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6"/>
      <headerFooter>
        <oddHeader>&amp;C&amp;P</oddHeader>
      </headerFooter>
      <autoFilter ref="A6:BA749"/>
    </customSheetView>
    <customSheetView guid="{144E5A37-1CF2-41F0-BEF8-CB5D4D392E2A}" scale="68" showPageBreaks="1" showAutoFilter="1" hiddenColumns="1" state="hidden" view="pageBreakPreview">
      <pane xSplit="1.7945205479452055" ySplit="5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7"/>
      <headerFooter>
        <oddHeader>&amp;C&amp;P</oddHeader>
      </headerFooter>
      <autoFilter ref="A6:BA749"/>
    </customSheetView>
    <customSheetView guid="{7A75CCE7-0E84-47E6-A162-5AC0354F2967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8"/>
      <headerFooter>
        <oddHeader>&amp;C&amp;P</oddHeader>
      </headerFooter>
      <autoFilter ref="A6:BA749"/>
    </customSheetView>
    <customSheetView guid="{A6187BD3-0BA4-497C-8924-4FA3D77530F0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9"/>
      <headerFooter>
        <oddHeader>&amp;C&amp;P</oddHeader>
      </headerFooter>
      <autoFilter ref="A6:BA749"/>
    </customSheetView>
    <customSheetView guid="{DC88C499-913F-4D15-846E-E5B9D5E047D7}" scale="68" showPageBreaks="1" showAutoFilter="1" hiddenColumns="1" state="hidden" view="pageBreakPreview">
      <pane xSplit="2" ySplit="6" topLeftCell="C514" activePane="bottomRight" state="frozen"/>
      <selection pane="bottomRight" sqref="A1:XFD1048576"/>
      <colBreaks count="2" manualBreakCount="2">
        <brk id="13" max="1541" man="1"/>
        <brk id="33" max="1048575" man="1"/>
      </colBreaks>
      <pageMargins left="3.937007874015748E-2" right="3.937007874015748E-2" top="0.98425196850393704" bottom="0.39370078740157483" header="0.70866141732283472" footer="0.19685039370078741"/>
      <printOptions horizontalCentered="1"/>
      <pageSetup paperSize="9" scale="64" firstPageNumber="20" orientation="landscape" useFirstPageNumber="1" horizontalDpi="4294967294" verticalDpi="4294967294" r:id="rId10"/>
      <headerFooter>
        <oddHeader>&amp;C&amp;P</oddHeader>
      </headerFooter>
      <autoFilter ref="A6:BA749"/>
    </customSheetView>
  </customSheetViews>
  <mergeCells count="11">
    <mergeCell ref="T4:U4"/>
    <mergeCell ref="A1:U1"/>
    <mergeCell ref="A2:A5"/>
    <mergeCell ref="B2:B5"/>
    <mergeCell ref="C2:C4"/>
    <mergeCell ref="L4:M4"/>
    <mergeCell ref="N4:O4"/>
    <mergeCell ref="P4:Q4"/>
    <mergeCell ref="R4:S4"/>
    <mergeCell ref="D3:K3"/>
    <mergeCell ref="D2:U2"/>
  </mergeCells>
  <printOptions horizontalCentered="1"/>
  <pageMargins left="3.937007874015748E-2" right="3.937007874015748E-2" top="0.98425196850393704" bottom="0.39370078740157483" header="0.70866141732283472" footer="0.19685039370078741"/>
  <pageSetup paperSize="9" scale="64" firstPageNumber="20" orientation="landscape" useFirstPageNumber="1" horizontalDpi="4294967294" verticalDpi="4294967294" r:id="rId11"/>
  <headerFooter>
    <oddHeader>&amp;C&amp;P</oddHeader>
  </headerFooter>
  <colBreaks count="2" manualBreakCount="2">
    <brk id="13" max="1541" man="1"/>
    <brk id="3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3"/>
  <sheetViews>
    <sheetView view="pageBreakPreview" zoomScale="72" zoomScaleSheetLayoutView="72" workbookViewId="0">
      <pane xSplit="2" ySplit="4" topLeftCell="C7" activePane="bottomRight" state="frozen"/>
      <selection pane="topRight" activeCell="C1" sqref="C1"/>
      <selection pane="bottomLeft" activeCell="A5" sqref="A5"/>
      <selection pane="bottomRight" sqref="A1:XFD1048576"/>
    </sheetView>
  </sheetViews>
  <sheetFormatPr defaultColWidth="8.85546875" defaultRowHeight="15"/>
  <cols>
    <col min="1" max="1" width="5.7109375" style="16" customWidth="1"/>
    <col min="2" max="2" width="28.5703125" style="1" customWidth="1"/>
    <col min="3" max="3" width="12" style="42" customWidth="1"/>
    <col min="4" max="4" width="13.7109375" style="44" customWidth="1"/>
    <col min="5" max="10" width="9.7109375" style="1" customWidth="1"/>
    <col min="11" max="11" width="10.42578125" style="1" customWidth="1"/>
    <col min="12" max="12" width="11.7109375" style="20" customWidth="1"/>
    <col min="13" max="13" width="13.5703125" style="1" customWidth="1"/>
    <col min="14" max="14" width="14.28515625" style="1" customWidth="1"/>
    <col min="15" max="15" width="12.42578125" style="1" customWidth="1"/>
    <col min="16" max="26" width="8.85546875" style="1"/>
    <col min="27" max="27" width="8.85546875" style="1" customWidth="1"/>
    <col min="28" max="16384" width="8.85546875" style="1"/>
  </cols>
  <sheetData>
    <row r="1" spans="1:16" ht="45" customHeight="1">
      <c r="A1" s="1158" t="s">
        <v>124</v>
      </c>
      <c r="B1" s="1158"/>
      <c r="C1" s="1158"/>
      <c r="D1" s="1158"/>
      <c r="E1" s="1158"/>
      <c r="F1" s="1158"/>
      <c r="G1" s="1158"/>
      <c r="H1" s="1158"/>
      <c r="I1" s="1158"/>
      <c r="J1" s="1158"/>
      <c r="K1" s="1158"/>
      <c r="L1" s="1158"/>
      <c r="M1" s="1158"/>
      <c r="N1" s="1158"/>
    </row>
    <row r="2" spans="1:16" ht="62.25" customHeight="1">
      <c r="A2" s="1154" t="s">
        <v>0</v>
      </c>
      <c r="B2" s="1154" t="s">
        <v>25</v>
      </c>
      <c r="C2" s="1159" t="s">
        <v>460</v>
      </c>
      <c r="D2" s="1160" t="s">
        <v>6</v>
      </c>
      <c r="E2" s="1154" t="s">
        <v>26</v>
      </c>
      <c r="F2" s="1154"/>
      <c r="G2" s="1154"/>
      <c r="H2" s="1154"/>
      <c r="I2" s="1154"/>
      <c r="J2" s="1154" t="s">
        <v>7</v>
      </c>
      <c r="K2" s="1154"/>
      <c r="L2" s="1154"/>
      <c r="M2" s="1154"/>
      <c r="N2" s="1154"/>
      <c r="O2" s="44"/>
    </row>
    <row r="3" spans="1:16" ht="48" customHeight="1">
      <c r="A3" s="1154"/>
      <c r="B3" s="1154"/>
      <c r="C3" s="1159"/>
      <c r="D3" s="1160"/>
      <c r="E3" s="156" t="s">
        <v>27</v>
      </c>
      <c r="F3" s="156" t="s">
        <v>28</v>
      </c>
      <c r="G3" s="156" t="s">
        <v>29</v>
      </c>
      <c r="H3" s="156" t="s">
        <v>30</v>
      </c>
      <c r="I3" s="156" t="s">
        <v>440</v>
      </c>
      <c r="J3" s="156" t="s">
        <v>27</v>
      </c>
      <c r="K3" s="156" t="s">
        <v>28</v>
      </c>
      <c r="L3" s="157" t="s">
        <v>29</v>
      </c>
      <c r="M3" s="156" t="s">
        <v>30</v>
      </c>
      <c r="N3" s="156" t="s">
        <v>440</v>
      </c>
    </row>
    <row r="4" spans="1:16">
      <c r="A4" s="1154"/>
      <c r="B4" s="1154"/>
      <c r="C4" s="207" t="s">
        <v>21</v>
      </c>
      <c r="D4" s="208" t="s">
        <v>16</v>
      </c>
      <c r="E4" s="158" t="s">
        <v>23</v>
      </c>
      <c r="F4" s="158" t="s">
        <v>23</v>
      </c>
      <c r="G4" s="158" t="s">
        <v>23</v>
      </c>
      <c r="H4" s="158" t="s">
        <v>23</v>
      </c>
      <c r="I4" s="158" t="s">
        <v>23</v>
      </c>
      <c r="J4" s="158" t="s">
        <v>17</v>
      </c>
      <c r="K4" s="158" t="s">
        <v>17</v>
      </c>
      <c r="L4" s="209" t="s">
        <v>17</v>
      </c>
      <c r="M4" s="158" t="s">
        <v>17</v>
      </c>
      <c r="N4" s="158" t="s">
        <v>17</v>
      </c>
    </row>
    <row r="5" spans="1:16" ht="12.75" customHeight="1">
      <c r="A5" s="210">
        <v>1</v>
      </c>
      <c r="B5" s="210">
        <v>2</v>
      </c>
      <c r="C5" s="210">
        <v>3</v>
      </c>
      <c r="D5" s="211">
        <v>4</v>
      </c>
      <c r="E5" s="210">
        <v>5</v>
      </c>
      <c r="F5" s="210">
        <v>6</v>
      </c>
      <c r="G5" s="210">
        <v>7</v>
      </c>
      <c r="H5" s="210">
        <v>8</v>
      </c>
      <c r="I5" s="210">
        <v>9</v>
      </c>
      <c r="J5" s="210">
        <v>10</v>
      </c>
      <c r="K5" s="210">
        <v>11</v>
      </c>
      <c r="L5" s="210">
        <v>12</v>
      </c>
      <c r="M5" s="210">
        <v>13</v>
      </c>
      <c r="N5" s="210">
        <v>14</v>
      </c>
    </row>
    <row r="6" spans="1:16" ht="28.5" customHeight="1">
      <c r="A6" s="158"/>
      <c r="B6" s="212" t="s">
        <v>42</v>
      </c>
      <c r="C6" s="213">
        <f>C7+C8+C9+C10+C11+C12+C14+C16+C18++C20+C23+C25+C33+C35+C37+C40+C46+C48+C51+C55+C64+C66+C68+C72+C74+C76+C79+C82+C84+C89+C92+C94+C96+C99+C101+C102</f>
        <v>468830.9499999999</v>
      </c>
      <c r="D6" s="214">
        <f>D7+D8+D9+D10+D11+D12+D14+D16+D18++D20+D23+D25+D33+D35+D37+D40+D46+D48+D51+D55+D64+D66+D68+D72+D74+D76+D79+D82+D84+D89+D92+D94+D96+D99+D101+D102</f>
        <v>15600</v>
      </c>
      <c r="E6" s="214">
        <f>E7+E8+E9+E10+E11+E12+E14+E16+E18+E20+E23+E25+E33+E35+E37+E40+E46+E48+E51+E55+E64+E66+E68+E72+E74+E76+E79+E82+E84+E89+E92+E94+E99+E101+E102</f>
        <v>0</v>
      </c>
      <c r="F6" s="214">
        <f>F7+F8+F9+F10+F11+F12+F14+F16+F18+F20+F23+F25+F33+F35+F37+F40+F46+F48+F51+F55+F64+F66+F68+F72+F74+F76+F79+F82+F84+F89+F92+F94+F99+F101+F102</f>
        <v>2</v>
      </c>
      <c r="G6" s="214">
        <f>G7+G8+G9+G10+G11+G12+G14+G16+G18+G20+G23+G25+G33+G35+G37+G40+G46+G48+G51+G55+G64+G66+G68+G72+G74+G76+G79+G82+G84+G89+G92+G94+G96+G99+G101+G102</f>
        <v>7</v>
      </c>
      <c r="H6" s="216" t="e">
        <f>H7+H8+H9+H10+H11+H12+H14+H16+H18+H20+H23+H25+H33+H35+H37+H40+H46+H48+H51+H55+H64+H66+H68+H72+H74+H76+H79+H82+H84+H89+H92+H94+H96+H99+H101+H102</f>
        <v>#REF!</v>
      </c>
      <c r="I6" s="216" t="e">
        <f>I7+I8+I9+I10+I11+I12+I14+I16+I18+I20+I23+I25+I33+I35+I37+I40+I46+I48+I51+I55+I64+I66+I68+I72+I74+I76+I79+I82+I84+I89+I92+I94+I96+I99+I101+I102</f>
        <v>#REF!</v>
      </c>
      <c r="J6" s="215">
        <f>J7+J8+J9+J10+J11+J12+J14+J16+J18+J20+J23+J25+J33+J35+J37+J40+J46+J48+J51+J55+J64+J66+J68+J72+J74+J76+J79+J82+J84+J89+J92+J94+J99+J101+J102</f>
        <v>0</v>
      </c>
      <c r="K6" s="215">
        <f>K7+K8+K9+K10+K11+K12+K14+K16+K18+K20+K23+K25+K33+K35+K37+K40+K46+K48+K51+K55+K64+K66+K68+K72+K74+K76+K79+K82+K84+K89+K92+K94+K99+K101+K102</f>
        <v>3666180</v>
      </c>
      <c r="L6" s="215">
        <f>L7+L8+L9+L10+L11+L12+L14+L16+L18+L20+L23+L25+L33+L35+L37+L40+L46+L48+L51+L55+L64+L66+L68+L72+L74+L76+L79+L82+L84+L89+L92+L94+L99+L101+L102</f>
        <v>7158350.0700000003</v>
      </c>
      <c r="M6" s="215">
        <f>M7+M8+M9+M10+M11+M12+M14+M16+M18+M20+M23+M25+M33+M35+M37+M40+M46+M48+M51+M55+M64+M66+M68+M72+M74+M76+M79+M82+M84+M89+M92+M94+M96+M99+M101+M102</f>
        <v>667981123.17999995</v>
      </c>
      <c r="N6" s="215">
        <f>N7+N8+N9+N10+N11+N12+N14+N16+N18+N20+N23+N25+N33+N35+N37+N40+N46+N48+N51+N55+N64+N66+N68+N72+N74+N76+N79+N82+N84+N89+N92+N94+N96+N99+N101+N102</f>
        <v>689255460.85000002</v>
      </c>
      <c r="O6" s="20"/>
    </row>
    <row r="7" spans="1:16" ht="15.75" customHeight="1">
      <c r="A7" s="393">
        <v>1</v>
      </c>
      <c r="B7" s="394" t="s">
        <v>89</v>
      </c>
      <c r="C7" s="395">
        <f>'часть 1'!H19</f>
        <v>0</v>
      </c>
      <c r="D7" s="396">
        <f>'часть 1'!K19</f>
        <v>0</v>
      </c>
      <c r="E7" s="397">
        <v>0</v>
      </c>
      <c r="F7" s="397">
        <v>0</v>
      </c>
      <c r="G7" s="397">
        <v>0</v>
      </c>
      <c r="H7" s="397">
        <v>168</v>
      </c>
      <c r="I7" s="397">
        <f>H7+G7</f>
        <v>168</v>
      </c>
      <c r="J7" s="398">
        <v>0</v>
      </c>
      <c r="K7" s="398">
        <v>0</v>
      </c>
      <c r="L7" s="398">
        <v>0</v>
      </c>
      <c r="M7" s="398">
        <f>'часть 1'!L19</f>
        <v>336230870.63</v>
      </c>
      <c r="N7" s="398">
        <f t="shared" ref="N7:N12" si="0">M7</f>
        <v>336230870.63</v>
      </c>
      <c r="O7" s="20"/>
      <c r="P7" s="20"/>
    </row>
    <row r="8" spans="1:16" ht="26.25" customHeight="1">
      <c r="A8" s="158">
        <v>2</v>
      </c>
      <c r="B8" s="212" t="s">
        <v>91</v>
      </c>
      <c r="C8" s="213">
        <f>'часть 1'!H188</f>
        <v>25162</v>
      </c>
      <c r="D8" s="214">
        <f>'часть 1'!K188</f>
        <v>816</v>
      </c>
      <c r="E8" s="216">
        <v>0</v>
      </c>
      <c r="F8" s="216">
        <v>0</v>
      </c>
      <c r="G8" s="216">
        <v>0</v>
      </c>
      <c r="H8" s="216">
        <v>16</v>
      </c>
      <c r="I8" s="216">
        <f t="shared" ref="I8:I77" si="1">H8+G8</f>
        <v>16</v>
      </c>
      <c r="J8" s="215">
        <v>0</v>
      </c>
      <c r="K8" s="215">
        <v>0</v>
      </c>
      <c r="L8" s="215">
        <v>0</v>
      </c>
      <c r="M8" s="215">
        <f>'часть 1'!L188</f>
        <v>31255395.629999999</v>
      </c>
      <c r="N8" s="215">
        <f t="shared" si="0"/>
        <v>31255395.629999999</v>
      </c>
      <c r="O8" s="20"/>
      <c r="P8" s="20"/>
    </row>
    <row r="9" spans="1:16" ht="15.75" customHeight="1">
      <c r="A9" s="393">
        <v>3</v>
      </c>
      <c r="B9" s="394" t="s">
        <v>92</v>
      </c>
      <c r="C9" s="395">
        <f>'часть 1'!H205</f>
        <v>432.8</v>
      </c>
      <c r="D9" s="396">
        <f>'часть 1'!K205</f>
        <v>27</v>
      </c>
      <c r="E9" s="397">
        <v>0</v>
      </c>
      <c r="F9" s="397">
        <v>0</v>
      </c>
      <c r="G9" s="397">
        <v>0</v>
      </c>
      <c r="H9" s="397">
        <v>1</v>
      </c>
      <c r="I9" s="397">
        <f t="shared" si="1"/>
        <v>1</v>
      </c>
      <c r="J9" s="398">
        <v>0</v>
      </c>
      <c r="K9" s="398">
        <v>0</v>
      </c>
      <c r="L9" s="398">
        <v>0</v>
      </c>
      <c r="M9" s="398">
        <f>'часть 1'!L205</f>
        <v>366350</v>
      </c>
      <c r="N9" s="398">
        <f t="shared" si="0"/>
        <v>366350</v>
      </c>
      <c r="P9" s="20"/>
    </row>
    <row r="10" spans="1:16" ht="15.75" customHeight="1">
      <c r="A10" s="393">
        <v>4</v>
      </c>
      <c r="B10" s="394" t="s">
        <v>93</v>
      </c>
      <c r="C10" s="395">
        <f>'часть 1'!H207</f>
        <v>19486.900000000001</v>
      </c>
      <c r="D10" s="396">
        <f>'часть 1'!K207</f>
        <v>669</v>
      </c>
      <c r="E10" s="397">
        <v>0</v>
      </c>
      <c r="F10" s="397">
        <v>0</v>
      </c>
      <c r="G10" s="397">
        <v>0</v>
      </c>
      <c r="H10" s="397">
        <v>12</v>
      </c>
      <c r="I10" s="397">
        <f t="shared" si="1"/>
        <v>12</v>
      </c>
      <c r="J10" s="398">
        <v>0</v>
      </c>
      <c r="K10" s="398">
        <v>0</v>
      </c>
      <c r="L10" s="398">
        <v>0</v>
      </c>
      <c r="M10" s="623">
        <f>'часть 1'!L207</f>
        <v>31146002</v>
      </c>
      <c r="N10" s="398">
        <f>M10</f>
        <v>31146002</v>
      </c>
      <c r="P10" s="20"/>
    </row>
    <row r="11" spans="1:16" ht="16.5" customHeight="1">
      <c r="A11" s="393">
        <v>5</v>
      </c>
      <c r="B11" s="399" t="s">
        <v>94</v>
      </c>
      <c r="C11" s="395">
        <f>'часть 1'!H231</f>
        <v>27680.9</v>
      </c>
      <c r="D11" s="396">
        <f>'часть 1'!K231</f>
        <v>984</v>
      </c>
      <c r="E11" s="397">
        <v>0</v>
      </c>
      <c r="F11" s="397">
        <v>0</v>
      </c>
      <c r="G11" s="397">
        <v>0</v>
      </c>
      <c r="H11" s="397">
        <v>9</v>
      </c>
      <c r="I11" s="397">
        <f t="shared" si="1"/>
        <v>9</v>
      </c>
      <c r="J11" s="398">
        <v>0</v>
      </c>
      <c r="K11" s="398">
        <v>0</v>
      </c>
      <c r="L11" s="398">
        <v>0</v>
      </c>
      <c r="M11" s="398">
        <f>'часть 1'!L231</f>
        <v>26467626</v>
      </c>
      <c r="N11" s="398">
        <f t="shared" si="0"/>
        <v>26467626</v>
      </c>
      <c r="O11" s="20"/>
      <c r="P11" s="20"/>
    </row>
    <row r="12" spans="1:16">
      <c r="A12" s="393">
        <v>6</v>
      </c>
      <c r="B12" s="740" t="s">
        <v>123</v>
      </c>
      <c r="C12" s="741">
        <f>'часть 1'!H244</f>
        <v>34678.06</v>
      </c>
      <c r="D12" s="743">
        <f>'часть 1'!K244</f>
        <v>1002</v>
      </c>
      <c r="E12" s="777">
        <v>0</v>
      </c>
      <c r="F12" s="777">
        <v>0</v>
      </c>
      <c r="G12" s="777">
        <v>0</v>
      </c>
      <c r="H12" s="393">
        <v>5</v>
      </c>
      <c r="I12" s="397">
        <f t="shared" si="1"/>
        <v>5</v>
      </c>
      <c r="J12" s="742">
        <v>0</v>
      </c>
      <c r="K12" s="742">
        <v>0</v>
      </c>
      <c r="L12" s="742">
        <v>0</v>
      </c>
      <c r="M12" s="742">
        <f>'часть 1'!L244</f>
        <v>11767484</v>
      </c>
      <c r="N12" s="742">
        <f t="shared" si="0"/>
        <v>11767484</v>
      </c>
      <c r="P12" s="20"/>
    </row>
    <row r="13" spans="1:16">
      <c r="A13" s="393"/>
      <c r="B13" s="740" t="s">
        <v>864</v>
      </c>
      <c r="C13" s="741">
        <f>'часть 1'!H257</f>
        <v>4284.7</v>
      </c>
      <c r="D13" s="743">
        <f>'часть 1'!K257</f>
        <v>97</v>
      </c>
      <c r="E13" s="777">
        <v>0</v>
      </c>
      <c r="F13" s="777">
        <v>1</v>
      </c>
      <c r="G13" s="777">
        <v>1</v>
      </c>
      <c r="H13" s="393">
        <v>0</v>
      </c>
      <c r="I13" s="397">
        <f>H13+G13+F13+E13</f>
        <v>2</v>
      </c>
      <c r="J13" s="742">
        <v>0</v>
      </c>
      <c r="K13" s="742">
        <v>898332</v>
      </c>
      <c r="L13" s="742">
        <v>1914360</v>
      </c>
      <c r="M13" s="742">
        <v>0</v>
      </c>
      <c r="N13" s="742">
        <f>M13+L13+K13+J13</f>
        <v>2812692</v>
      </c>
      <c r="P13" s="20"/>
    </row>
    <row r="14" spans="1:16">
      <c r="A14" s="739"/>
      <c r="B14" s="740" t="s">
        <v>72</v>
      </c>
      <c r="C14" s="741">
        <f>C15</f>
        <v>3033.7</v>
      </c>
      <c r="D14" s="741">
        <f t="shared" ref="D14:N14" si="2">D15</f>
        <v>100</v>
      </c>
      <c r="E14" s="741">
        <f t="shared" si="2"/>
        <v>0</v>
      </c>
      <c r="F14" s="741">
        <f t="shared" si="2"/>
        <v>0</v>
      </c>
      <c r="G14" s="741">
        <f t="shared" si="2"/>
        <v>0</v>
      </c>
      <c r="H14" s="741">
        <f t="shared" si="2"/>
        <v>7</v>
      </c>
      <c r="I14" s="741">
        <f t="shared" si="2"/>
        <v>7</v>
      </c>
      <c r="J14" s="742">
        <f t="shared" si="2"/>
        <v>0</v>
      </c>
      <c r="K14" s="742">
        <f t="shared" si="2"/>
        <v>0</v>
      </c>
      <c r="L14" s="742">
        <f t="shared" si="2"/>
        <v>0</v>
      </c>
      <c r="M14" s="742">
        <f t="shared" si="2"/>
        <v>5868972</v>
      </c>
      <c r="N14" s="742">
        <f t="shared" si="2"/>
        <v>5868972</v>
      </c>
      <c r="P14" s="20"/>
    </row>
    <row r="15" spans="1:16" ht="25.5">
      <c r="A15" s="739">
        <v>7</v>
      </c>
      <c r="B15" s="740" t="s">
        <v>95</v>
      </c>
      <c r="C15" s="741">
        <f>'часть 1'!H261</f>
        <v>3033.7</v>
      </c>
      <c r="D15" s="743">
        <f>'часть 1'!K261</f>
        <v>100</v>
      </c>
      <c r="E15" s="397">
        <v>0</v>
      </c>
      <c r="F15" s="397">
        <v>0</v>
      </c>
      <c r="G15" s="397">
        <v>0</v>
      </c>
      <c r="H15" s="393">
        <v>7</v>
      </c>
      <c r="I15" s="397">
        <f t="shared" si="1"/>
        <v>7</v>
      </c>
      <c r="J15" s="742">
        <v>0</v>
      </c>
      <c r="K15" s="742">
        <v>0</v>
      </c>
      <c r="L15" s="742">
        <v>0</v>
      </c>
      <c r="M15" s="742">
        <f>'часть 1'!L260</f>
        <v>5868972</v>
      </c>
      <c r="N15" s="742">
        <f>M15</f>
        <v>5868972</v>
      </c>
      <c r="P15" s="20"/>
    </row>
    <row r="16" spans="1:16">
      <c r="A16" s="216"/>
      <c r="B16" s="212" t="s">
        <v>41</v>
      </c>
      <c r="C16" s="213">
        <f>C17</f>
        <v>21724.199999999997</v>
      </c>
      <c r="D16" s="214">
        <f t="shared" ref="D16:N16" si="3">D17</f>
        <v>832</v>
      </c>
      <c r="E16" s="216">
        <f t="shared" si="3"/>
        <v>0</v>
      </c>
      <c r="F16" s="216">
        <f t="shared" si="3"/>
        <v>0</v>
      </c>
      <c r="G16" s="216">
        <f t="shared" si="3"/>
        <v>0</v>
      </c>
      <c r="H16" s="216">
        <f>H17</f>
        <v>10</v>
      </c>
      <c r="I16" s="216">
        <f t="shared" si="1"/>
        <v>10</v>
      </c>
      <c r="J16" s="215">
        <f t="shared" si="3"/>
        <v>0</v>
      </c>
      <c r="K16" s="215">
        <f t="shared" si="3"/>
        <v>0</v>
      </c>
      <c r="L16" s="215">
        <f t="shared" si="3"/>
        <v>0</v>
      </c>
      <c r="M16" s="215">
        <f>'часть 1'!L269</f>
        <v>22562280</v>
      </c>
      <c r="N16" s="215">
        <f t="shared" si="3"/>
        <v>22562280</v>
      </c>
      <c r="P16" s="20"/>
    </row>
    <row r="17" spans="1:16" ht="25.5">
      <c r="A17" s="397">
        <v>8</v>
      </c>
      <c r="B17" s="394" t="s">
        <v>96</v>
      </c>
      <c r="C17" s="395">
        <f>'часть 1'!H269</f>
        <v>21724.199999999997</v>
      </c>
      <c r="D17" s="396">
        <f>'часть 1'!K270</f>
        <v>832</v>
      </c>
      <c r="E17" s="397">
        <v>0</v>
      </c>
      <c r="F17" s="397">
        <v>0</v>
      </c>
      <c r="G17" s="397">
        <v>0</v>
      </c>
      <c r="H17" s="397">
        <v>10</v>
      </c>
      <c r="I17" s="397">
        <f t="shared" si="1"/>
        <v>10</v>
      </c>
      <c r="J17" s="398">
        <v>0</v>
      </c>
      <c r="K17" s="398">
        <v>0</v>
      </c>
      <c r="L17" s="398">
        <v>0</v>
      </c>
      <c r="M17" s="398">
        <f>'часть 1'!L269</f>
        <v>22562280</v>
      </c>
      <c r="N17" s="398">
        <f>M17</f>
        <v>22562280</v>
      </c>
      <c r="P17" s="20"/>
    </row>
    <row r="18" spans="1:16">
      <c r="A18" s="216"/>
      <c r="B18" s="212" t="s">
        <v>68</v>
      </c>
      <c r="C18" s="213">
        <f>C19</f>
        <v>362.9</v>
      </c>
      <c r="D18" s="213">
        <f t="shared" ref="D18:N18" si="4">D19</f>
        <v>15</v>
      </c>
      <c r="E18" s="213">
        <f t="shared" si="4"/>
        <v>0</v>
      </c>
      <c r="F18" s="213">
        <f t="shared" si="4"/>
        <v>0</v>
      </c>
      <c r="G18" s="213">
        <f t="shared" si="4"/>
        <v>0</v>
      </c>
      <c r="H18" s="213">
        <f t="shared" si="4"/>
        <v>1</v>
      </c>
      <c r="I18" s="213">
        <f t="shared" si="4"/>
        <v>1</v>
      </c>
      <c r="J18" s="213">
        <f t="shared" si="4"/>
        <v>0</v>
      </c>
      <c r="K18" s="213">
        <f t="shared" si="4"/>
        <v>0</v>
      </c>
      <c r="L18" s="213">
        <f t="shared" si="4"/>
        <v>0</v>
      </c>
      <c r="M18" s="213">
        <f t="shared" si="4"/>
        <v>241114</v>
      </c>
      <c r="N18" s="213">
        <f t="shared" si="4"/>
        <v>241114</v>
      </c>
      <c r="P18" s="20"/>
    </row>
    <row r="19" spans="1:16" ht="25.5">
      <c r="A19" s="397">
        <v>9</v>
      </c>
      <c r="B19" s="394" t="s">
        <v>97</v>
      </c>
      <c r="C19" s="395">
        <f>'часть 1'!H282</f>
        <v>362.9</v>
      </c>
      <c r="D19" s="396">
        <f>'часть 1'!K282</f>
        <v>15</v>
      </c>
      <c r="E19" s="397">
        <v>0</v>
      </c>
      <c r="F19" s="397">
        <v>0</v>
      </c>
      <c r="G19" s="397">
        <v>0</v>
      </c>
      <c r="H19" s="397">
        <v>1</v>
      </c>
      <c r="I19" s="397">
        <f t="shared" si="1"/>
        <v>1</v>
      </c>
      <c r="J19" s="398">
        <v>0</v>
      </c>
      <c r="K19" s="398">
        <v>0</v>
      </c>
      <c r="L19" s="398">
        <v>0</v>
      </c>
      <c r="M19" s="398">
        <f>'часть 1'!L282</f>
        <v>241114</v>
      </c>
      <c r="N19" s="398">
        <f>M19</f>
        <v>241114</v>
      </c>
      <c r="P19" s="20"/>
    </row>
    <row r="20" spans="1:16" s="15" customFormat="1">
      <c r="A20" s="218"/>
      <c r="B20" s="218" t="s">
        <v>43</v>
      </c>
      <c r="C20" s="213">
        <f t="shared" ref="C20:H20" si="5">C21+C22</f>
        <v>23164.559999999998</v>
      </c>
      <c r="D20" s="219">
        <f t="shared" si="5"/>
        <v>853</v>
      </c>
      <c r="E20" s="216">
        <f t="shared" si="5"/>
        <v>0</v>
      </c>
      <c r="F20" s="216">
        <f t="shared" si="5"/>
        <v>0</v>
      </c>
      <c r="G20" s="216">
        <f t="shared" si="5"/>
        <v>0</v>
      </c>
      <c r="H20" s="216" t="e">
        <f t="shared" si="5"/>
        <v>#REF!</v>
      </c>
      <c r="I20" s="216" t="e">
        <f t="shared" si="1"/>
        <v>#REF!</v>
      </c>
      <c r="J20" s="215">
        <f>J21+J22</f>
        <v>0</v>
      </c>
      <c r="K20" s="215">
        <f>K21+K22</f>
        <v>0</v>
      </c>
      <c r="L20" s="215">
        <f>L21+L22</f>
        <v>0</v>
      </c>
      <c r="M20" s="215">
        <f>M21+M22</f>
        <v>23032470</v>
      </c>
      <c r="N20" s="215">
        <f>N21+N22</f>
        <v>23032470</v>
      </c>
      <c r="O20" s="67"/>
      <c r="P20" s="20"/>
    </row>
    <row r="21" spans="1:16" s="15" customFormat="1" ht="25.5">
      <c r="A21" s="216">
        <v>10</v>
      </c>
      <c r="B21" s="217" t="s">
        <v>125</v>
      </c>
      <c r="C21" s="213">
        <f>'часть 1'!H285</f>
        <v>20106.559999999998</v>
      </c>
      <c r="D21" s="214">
        <f>'часть 1'!K285</f>
        <v>735</v>
      </c>
      <c r="E21" s="216">
        <v>0</v>
      </c>
      <c r="F21" s="216">
        <v>0</v>
      </c>
      <c r="G21" s="216">
        <v>0</v>
      </c>
      <c r="H21" s="216" t="e">
        <f>'часть 2'!#REF!</f>
        <v>#REF!</v>
      </c>
      <c r="I21" s="216" t="e">
        <f t="shared" si="1"/>
        <v>#REF!</v>
      </c>
      <c r="J21" s="215">
        <v>0</v>
      </c>
      <c r="K21" s="215">
        <v>0</v>
      </c>
      <c r="L21" s="215">
        <v>0</v>
      </c>
      <c r="M21" s="215">
        <f>'часть 1'!L285</f>
        <v>20696312</v>
      </c>
      <c r="N21" s="215">
        <f>M21</f>
        <v>20696312</v>
      </c>
      <c r="P21" s="20"/>
    </row>
    <row r="22" spans="1:16" s="15" customFormat="1" ht="25.5">
      <c r="A22" s="216">
        <v>11</v>
      </c>
      <c r="B22" s="217" t="s">
        <v>210</v>
      </c>
      <c r="C22" s="213">
        <f>'часть 1'!H300</f>
        <v>3058</v>
      </c>
      <c r="D22" s="214">
        <f>'часть 1'!K300</f>
        <v>118</v>
      </c>
      <c r="E22" s="216">
        <v>0</v>
      </c>
      <c r="F22" s="216">
        <v>0</v>
      </c>
      <c r="G22" s="216">
        <v>0</v>
      </c>
      <c r="H22" s="216">
        <v>2</v>
      </c>
      <c r="I22" s="216">
        <f t="shared" si="1"/>
        <v>2</v>
      </c>
      <c r="J22" s="215">
        <v>0</v>
      </c>
      <c r="K22" s="215">
        <v>0</v>
      </c>
      <c r="L22" s="215">
        <v>0</v>
      </c>
      <c r="M22" s="215">
        <f>'часть 1'!L300</f>
        <v>2336158</v>
      </c>
      <c r="N22" s="215">
        <f>M22</f>
        <v>2336158</v>
      </c>
      <c r="P22" s="20"/>
    </row>
    <row r="23" spans="1:16">
      <c r="A23" s="216"/>
      <c r="B23" s="218" t="s">
        <v>44</v>
      </c>
      <c r="C23" s="213">
        <f>C24</f>
        <v>1753.9</v>
      </c>
      <c r="D23" s="214">
        <f t="shared" ref="D23:N23" si="6">D24</f>
        <v>60</v>
      </c>
      <c r="E23" s="216">
        <f t="shared" si="6"/>
        <v>0</v>
      </c>
      <c r="F23" s="216">
        <f t="shared" si="6"/>
        <v>0</v>
      </c>
      <c r="G23" s="216">
        <f t="shared" si="6"/>
        <v>0</v>
      </c>
      <c r="H23" s="216">
        <f t="shared" si="6"/>
        <v>2</v>
      </c>
      <c r="I23" s="216">
        <f t="shared" si="1"/>
        <v>2</v>
      </c>
      <c r="J23" s="215">
        <f t="shared" si="6"/>
        <v>0</v>
      </c>
      <c r="K23" s="215">
        <f t="shared" si="6"/>
        <v>0</v>
      </c>
      <c r="L23" s="215">
        <f t="shared" si="6"/>
        <v>0</v>
      </c>
      <c r="M23" s="215">
        <f>'часть 1'!L303</f>
        <v>2561132</v>
      </c>
      <c r="N23" s="215">
        <f t="shared" si="6"/>
        <v>2561132</v>
      </c>
      <c r="P23" s="20"/>
    </row>
    <row r="24" spans="1:16" s="14" customFormat="1" ht="25.5">
      <c r="A24" s="397">
        <f>A22+1</f>
        <v>12</v>
      </c>
      <c r="B24" s="399" t="s">
        <v>435</v>
      </c>
      <c r="C24" s="395">
        <f>'часть 1'!H304</f>
        <v>1753.9</v>
      </c>
      <c r="D24" s="396">
        <f>'часть 1'!K304</f>
        <v>60</v>
      </c>
      <c r="E24" s="397">
        <v>0</v>
      </c>
      <c r="F24" s="397">
        <v>0</v>
      </c>
      <c r="G24" s="397">
        <v>0</v>
      </c>
      <c r="H24" s="397">
        <v>2</v>
      </c>
      <c r="I24" s="397">
        <f t="shared" si="1"/>
        <v>2</v>
      </c>
      <c r="J24" s="398">
        <v>0</v>
      </c>
      <c r="K24" s="398">
        <v>0</v>
      </c>
      <c r="L24" s="398">
        <v>0</v>
      </c>
      <c r="M24" s="398">
        <f>'часть 1'!L303</f>
        <v>2561132</v>
      </c>
      <c r="N24" s="398">
        <f>M24</f>
        <v>2561132</v>
      </c>
      <c r="P24" s="20"/>
    </row>
    <row r="25" spans="1:16" ht="21" customHeight="1">
      <c r="A25" s="216"/>
      <c r="B25" s="218" t="s">
        <v>45</v>
      </c>
      <c r="C25" s="213">
        <f>C26+C27+C28+C29+C30+C31+C32</f>
        <v>12862.18</v>
      </c>
      <c r="D25" s="213">
        <f t="shared" ref="D25:N25" si="7">D26+D27+D28+D29+D30+D31+D32</f>
        <v>459</v>
      </c>
      <c r="E25" s="213">
        <f t="shared" si="7"/>
        <v>0</v>
      </c>
      <c r="F25" s="213">
        <f t="shared" si="7"/>
        <v>0</v>
      </c>
      <c r="G25" s="213">
        <f t="shared" si="7"/>
        <v>0</v>
      </c>
      <c r="H25" s="213">
        <f t="shared" si="7"/>
        <v>5</v>
      </c>
      <c r="I25" s="213">
        <f t="shared" si="7"/>
        <v>5</v>
      </c>
      <c r="J25" s="215">
        <f t="shared" si="7"/>
        <v>0</v>
      </c>
      <c r="K25" s="215">
        <f t="shared" si="7"/>
        <v>0</v>
      </c>
      <c r="L25" s="215">
        <f t="shared" si="7"/>
        <v>0</v>
      </c>
      <c r="M25" s="215">
        <f t="shared" si="7"/>
        <v>9578601</v>
      </c>
      <c r="N25" s="215">
        <f t="shared" si="7"/>
        <v>9578601</v>
      </c>
      <c r="O25" s="20"/>
      <c r="P25" s="20"/>
    </row>
    <row r="26" spans="1:16" ht="25.5">
      <c r="A26" s="397">
        <f>A24+1</f>
        <v>13</v>
      </c>
      <c r="B26" s="519" t="s">
        <v>98</v>
      </c>
      <c r="C26" s="395">
        <f>'часть 1'!H308</f>
        <v>3536</v>
      </c>
      <c r="D26" s="396">
        <f>'часть 1'!K308</f>
        <v>153</v>
      </c>
      <c r="E26" s="397">
        <v>0</v>
      </c>
      <c r="F26" s="397">
        <v>0</v>
      </c>
      <c r="G26" s="397">
        <v>0</v>
      </c>
      <c r="H26" s="397">
        <v>1</v>
      </c>
      <c r="I26" s="397">
        <f t="shared" si="1"/>
        <v>1</v>
      </c>
      <c r="J26" s="398">
        <v>0</v>
      </c>
      <c r="K26" s="398">
        <v>0</v>
      </c>
      <c r="L26" s="398">
        <v>0</v>
      </c>
      <c r="M26" s="398">
        <f>'часть 1'!L308</f>
        <v>2256851</v>
      </c>
      <c r="N26" s="398">
        <f>M26</f>
        <v>2256851</v>
      </c>
      <c r="P26" s="20"/>
    </row>
    <row r="27" spans="1:16" ht="25.5">
      <c r="A27" s="397"/>
      <c r="B27" s="519" t="s">
        <v>688</v>
      </c>
      <c r="C27" s="395">
        <f>'часть 1'!H311</f>
        <v>1426.08</v>
      </c>
      <c r="D27" s="396">
        <f>'часть 1'!K311</f>
        <v>47</v>
      </c>
      <c r="E27" s="397">
        <v>0</v>
      </c>
      <c r="F27" s="397">
        <v>0</v>
      </c>
      <c r="G27" s="397">
        <v>0</v>
      </c>
      <c r="H27" s="397">
        <v>1</v>
      </c>
      <c r="I27" s="397">
        <v>1</v>
      </c>
      <c r="J27" s="398">
        <v>0</v>
      </c>
      <c r="K27" s="398">
        <v>0</v>
      </c>
      <c r="L27" s="398">
        <v>0</v>
      </c>
      <c r="M27" s="398">
        <v>1826091</v>
      </c>
      <c r="N27" s="398">
        <f>M27+L27+K27+J27</f>
        <v>1826091</v>
      </c>
      <c r="P27" s="20"/>
    </row>
    <row r="28" spans="1:16" ht="25.5">
      <c r="A28" s="397">
        <f>A26+1</f>
        <v>14</v>
      </c>
      <c r="B28" s="399" t="s">
        <v>99</v>
      </c>
      <c r="C28" s="383">
        <f>'часть 1'!H312</f>
        <v>961.2</v>
      </c>
      <c r="D28" s="386">
        <f>'часть 1'!K312</f>
        <v>37</v>
      </c>
      <c r="E28" s="397">
        <v>0</v>
      </c>
      <c r="F28" s="397">
        <v>0</v>
      </c>
      <c r="G28" s="397">
        <v>0</v>
      </c>
      <c r="H28" s="384">
        <v>1</v>
      </c>
      <c r="I28" s="397">
        <f t="shared" si="1"/>
        <v>1</v>
      </c>
      <c r="J28" s="398">
        <v>0</v>
      </c>
      <c r="K28" s="398">
        <v>0</v>
      </c>
      <c r="L28" s="398">
        <v>0</v>
      </c>
      <c r="M28" s="398">
        <f>'часть 1'!L312</f>
        <v>1602324</v>
      </c>
      <c r="N28" s="398">
        <f>M28</f>
        <v>1602324</v>
      </c>
      <c r="P28" s="20"/>
    </row>
    <row r="29" spans="1:16" ht="25.5">
      <c r="A29" s="524">
        <f>A28+1</f>
        <v>15</v>
      </c>
      <c r="B29" s="525" t="s">
        <v>100</v>
      </c>
      <c r="C29" s="526">
        <f>'часть 1'!H314</f>
        <v>3346.3</v>
      </c>
      <c r="D29" s="527">
        <f>'часть 1'!K314</f>
        <v>128</v>
      </c>
      <c r="E29" s="524">
        <v>0</v>
      </c>
      <c r="F29" s="524">
        <v>0</v>
      </c>
      <c r="G29" s="524">
        <v>0</v>
      </c>
      <c r="H29" s="524">
        <v>1</v>
      </c>
      <c r="I29" s="524">
        <f t="shared" si="1"/>
        <v>1</v>
      </c>
      <c r="J29" s="528">
        <v>0</v>
      </c>
      <c r="K29" s="528">
        <v>0</v>
      </c>
      <c r="L29" s="528">
        <v>0</v>
      </c>
      <c r="M29" s="528">
        <f>'часть 1'!L314</f>
        <v>1986648</v>
      </c>
      <c r="N29" s="528">
        <f>M29</f>
        <v>1986648</v>
      </c>
      <c r="P29" s="20"/>
    </row>
    <row r="30" spans="1:16" ht="25.5">
      <c r="A30" s="397">
        <f>A29+1</f>
        <v>16</v>
      </c>
      <c r="B30" s="399" t="s">
        <v>101</v>
      </c>
      <c r="C30" s="395">
        <f>'часть 1'!H316</f>
        <v>0</v>
      </c>
      <c r="D30" s="396">
        <f>'часть 1'!K316</f>
        <v>0</v>
      </c>
      <c r="E30" s="397">
        <v>0</v>
      </c>
      <c r="F30" s="397">
        <v>0</v>
      </c>
      <c r="G30" s="397">
        <v>0</v>
      </c>
      <c r="H30" s="397">
        <v>0</v>
      </c>
      <c r="I30" s="397">
        <f t="shared" si="1"/>
        <v>0</v>
      </c>
      <c r="J30" s="398">
        <v>0</v>
      </c>
      <c r="K30" s="398">
        <v>0</v>
      </c>
      <c r="L30" s="398">
        <v>0</v>
      </c>
      <c r="M30" s="398">
        <f>'часть 1'!L316</f>
        <v>0</v>
      </c>
      <c r="N30" s="398">
        <f>M30</f>
        <v>0</v>
      </c>
      <c r="P30" s="20"/>
    </row>
    <row r="31" spans="1:16" ht="28.5" customHeight="1">
      <c r="A31" s="384">
        <f>A30+1</f>
        <v>17</v>
      </c>
      <c r="B31" s="399" t="s">
        <v>863</v>
      </c>
      <c r="C31" s="395">
        <f>'часть 1'!H317</f>
        <v>0</v>
      </c>
      <c r="D31" s="396">
        <f>'часть 1'!K317</f>
        <v>0</v>
      </c>
      <c r="E31" s="397">
        <v>0</v>
      </c>
      <c r="F31" s="397">
        <v>0</v>
      </c>
      <c r="G31" s="397">
        <v>0</v>
      </c>
      <c r="H31" s="397">
        <v>0</v>
      </c>
      <c r="I31" s="397">
        <f t="shared" si="1"/>
        <v>0</v>
      </c>
      <c r="J31" s="398">
        <v>0</v>
      </c>
      <c r="K31" s="398">
        <v>0</v>
      </c>
      <c r="L31" s="398">
        <v>0</v>
      </c>
      <c r="M31" s="398">
        <f>'часть 1'!L317</f>
        <v>0</v>
      </c>
      <c r="N31" s="398">
        <f>M31</f>
        <v>0</v>
      </c>
      <c r="P31" s="20"/>
    </row>
    <row r="32" spans="1:16" ht="28.5" customHeight="1">
      <c r="A32" s="384"/>
      <c r="B32" s="399" t="s">
        <v>861</v>
      </c>
      <c r="C32" s="395">
        <f>'часть 1'!H319</f>
        <v>3592.6</v>
      </c>
      <c r="D32" s="396">
        <f>'часть 1'!K319</f>
        <v>94</v>
      </c>
      <c r="E32" s="397">
        <v>0</v>
      </c>
      <c r="F32" s="397">
        <v>0</v>
      </c>
      <c r="G32" s="397">
        <v>0</v>
      </c>
      <c r="H32" s="397">
        <v>1</v>
      </c>
      <c r="I32" s="397">
        <v>1</v>
      </c>
      <c r="J32" s="398">
        <v>0</v>
      </c>
      <c r="K32" s="398">
        <v>0</v>
      </c>
      <c r="L32" s="398">
        <v>0</v>
      </c>
      <c r="M32" s="398">
        <f>'часть 1'!L319</f>
        <v>1906687</v>
      </c>
      <c r="N32" s="398">
        <f>M32+L32+K32+J32</f>
        <v>1906687</v>
      </c>
      <c r="P32" s="20"/>
    </row>
    <row r="33" spans="1:16">
      <c r="A33" s="216"/>
      <c r="B33" s="218" t="s">
        <v>46</v>
      </c>
      <c r="C33" s="213">
        <f>'часть 1'!H320</f>
        <v>525.4</v>
      </c>
      <c r="D33" s="214">
        <f>'часть 1'!K320</f>
        <v>21</v>
      </c>
      <c r="E33" s="216">
        <f t="shared" ref="E33:N33" si="8">E34</f>
        <v>0</v>
      </c>
      <c r="F33" s="216">
        <f t="shared" si="8"/>
        <v>0</v>
      </c>
      <c r="G33" s="216">
        <f t="shared" si="8"/>
        <v>0</v>
      </c>
      <c r="H33" s="216">
        <f t="shared" si="8"/>
        <v>1</v>
      </c>
      <c r="I33" s="216">
        <f t="shared" si="1"/>
        <v>1</v>
      </c>
      <c r="J33" s="215">
        <f t="shared" si="8"/>
        <v>0</v>
      </c>
      <c r="K33" s="215">
        <f t="shared" si="8"/>
        <v>0</v>
      </c>
      <c r="L33" s="215">
        <f t="shared" si="8"/>
        <v>0</v>
      </c>
      <c r="M33" s="215">
        <f t="shared" si="8"/>
        <v>1415265</v>
      </c>
      <c r="N33" s="215">
        <f t="shared" si="8"/>
        <v>1415265</v>
      </c>
      <c r="O33" s="20"/>
      <c r="P33" s="20"/>
    </row>
    <row r="34" spans="1:16" ht="25.5">
      <c r="A34" s="397">
        <f>A31+1</f>
        <v>18</v>
      </c>
      <c r="B34" s="399" t="s">
        <v>587</v>
      </c>
      <c r="C34" s="395">
        <f>'часть 1'!H321</f>
        <v>525.4</v>
      </c>
      <c r="D34" s="396">
        <f>'часть 1'!K320</f>
        <v>21</v>
      </c>
      <c r="E34" s="397">
        <v>0</v>
      </c>
      <c r="F34" s="397">
        <v>0</v>
      </c>
      <c r="G34" s="397">
        <v>0</v>
      </c>
      <c r="H34" s="397">
        <v>1</v>
      </c>
      <c r="I34" s="397">
        <f t="shared" si="1"/>
        <v>1</v>
      </c>
      <c r="J34" s="398">
        <v>0</v>
      </c>
      <c r="K34" s="398">
        <v>0</v>
      </c>
      <c r="L34" s="398">
        <v>0</v>
      </c>
      <c r="M34" s="398">
        <f>'часть 1'!L321</f>
        <v>1415265</v>
      </c>
      <c r="N34" s="398">
        <f>M34</f>
        <v>1415265</v>
      </c>
      <c r="P34" s="20"/>
    </row>
    <row r="35" spans="1:16">
      <c r="A35" s="216"/>
      <c r="B35" s="218" t="s">
        <v>47</v>
      </c>
      <c r="C35" s="213">
        <f>'часть 1'!H324</f>
        <v>3715.2</v>
      </c>
      <c r="D35" s="214">
        <f>'часть 1'!K324</f>
        <v>106</v>
      </c>
      <c r="E35" s="216">
        <f t="shared" ref="E35:N35" si="9">E36</f>
        <v>0</v>
      </c>
      <c r="F35" s="216">
        <f t="shared" si="9"/>
        <v>0</v>
      </c>
      <c r="G35" s="216">
        <f t="shared" si="9"/>
        <v>0</v>
      </c>
      <c r="H35" s="216">
        <f>H36</f>
        <v>5</v>
      </c>
      <c r="I35" s="216">
        <f t="shared" si="1"/>
        <v>5</v>
      </c>
      <c r="J35" s="215">
        <f t="shared" si="9"/>
        <v>0</v>
      </c>
      <c r="K35" s="215">
        <f t="shared" si="9"/>
        <v>0</v>
      </c>
      <c r="L35" s="215">
        <f t="shared" si="9"/>
        <v>0</v>
      </c>
      <c r="M35" s="215">
        <f t="shared" si="9"/>
        <v>6592116</v>
      </c>
      <c r="N35" s="215">
        <f t="shared" si="9"/>
        <v>6592116</v>
      </c>
      <c r="O35" s="20"/>
      <c r="P35" s="20"/>
    </row>
    <row r="36" spans="1:16" ht="25.5">
      <c r="A36" s="384">
        <f>A34+1</f>
        <v>19</v>
      </c>
      <c r="B36" s="399" t="s">
        <v>103</v>
      </c>
      <c r="C36" s="395">
        <f>'часть 1'!H325</f>
        <v>3715.2</v>
      </c>
      <c r="D36" s="396">
        <f>'часть 1'!K325</f>
        <v>106</v>
      </c>
      <c r="E36" s="397">
        <v>0</v>
      </c>
      <c r="F36" s="397">
        <v>0</v>
      </c>
      <c r="G36" s="397">
        <v>0</v>
      </c>
      <c r="H36" s="397">
        <v>5</v>
      </c>
      <c r="I36" s="397">
        <f t="shared" si="1"/>
        <v>5</v>
      </c>
      <c r="J36" s="398">
        <v>0</v>
      </c>
      <c r="K36" s="398">
        <v>0</v>
      </c>
      <c r="L36" s="398">
        <v>0</v>
      </c>
      <c r="M36" s="398">
        <f>'часть 1'!L325</f>
        <v>6592116</v>
      </c>
      <c r="N36" s="398">
        <f>M36</f>
        <v>6592116</v>
      </c>
      <c r="P36" s="20"/>
    </row>
    <row r="37" spans="1:16" s="7" customFormat="1">
      <c r="A37" s="216"/>
      <c r="B37" s="218" t="s">
        <v>48</v>
      </c>
      <c r="C37" s="213">
        <f>'часть 1'!H331</f>
        <v>1348.8000000000002</v>
      </c>
      <c r="D37" s="214">
        <f>'часть 1'!K331</f>
        <v>52</v>
      </c>
      <c r="E37" s="216">
        <f t="shared" ref="E37:N37" si="10">E38+E39</f>
        <v>0</v>
      </c>
      <c r="F37" s="216">
        <f t="shared" si="10"/>
        <v>0</v>
      </c>
      <c r="G37" s="216">
        <f t="shared" si="10"/>
        <v>0</v>
      </c>
      <c r="H37" s="216" t="e">
        <f>H38+H39</f>
        <v>#REF!</v>
      </c>
      <c r="I37" s="216" t="e">
        <f t="shared" si="1"/>
        <v>#REF!</v>
      </c>
      <c r="J37" s="215">
        <f t="shared" si="10"/>
        <v>0</v>
      </c>
      <c r="K37" s="215">
        <f t="shared" si="10"/>
        <v>0</v>
      </c>
      <c r="L37" s="215">
        <f t="shared" si="10"/>
        <v>0</v>
      </c>
      <c r="M37" s="215">
        <f t="shared" si="10"/>
        <v>3699748</v>
      </c>
      <c r="N37" s="215">
        <f t="shared" si="10"/>
        <v>3699748</v>
      </c>
      <c r="O37" s="31"/>
      <c r="P37" s="20"/>
    </row>
    <row r="38" spans="1:16" ht="25.5">
      <c r="A38" s="384">
        <f>A36+1</f>
        <v>20</v>
      </c>
      <c r="B38" s="399" t="s">
        <v>107</v>
      </c>
      <c r="C38" s="395">
        <f>'часть 1'!H332</f>
        <v>1083.3000000000002</v>
      </c>
      <c r="D38" s="396">
        <f>'часть 1'!K332</f>
        <v>50</v>
      </c>
      <c r="E38" s="397">
        <v>0</v>
      </c>
      <c r="F38" s="397">
        <v>0</v>
      </c>
      <c r="G38" s="397">
        <v>0</v>
      </c>
      <c r="H38" s="397">
        <v>2</v>
      </c>
      <c r="I38" s="397">
        <f t="shared" si="1"/>
        <v>2</v>
      </c>
      <c r="J38" s="398">
        <v>0</v>
      </c>
      <c r="K38" s="398">
        <v>0</v>
      </c>
      <c r="L38" s="398">
        <v>0</v>
      </c>
      <c r="M38" s="398">
        <f>'часть 1'!L332</f>
        <v>3145909</v>
      </c>
      <c r="N38" s="398">
        <f>M38</f>
        <v>3145909</v>
      </c>
      <c r="P38" s="20"/>
    </row>
    <row r="39" spans="1:16" ht="27" customHeight="1">
      <c r="A39" s="178">
        <f>A38+1</f>
        <v>21</v>
      </c>
      <c r="B39" s="217" t="s">
        <v>104</v>
      </c>
      <c r="C39" s="213">
        <f>'часть 1'!H336</f>
        <v>265.5</v>
      </c>
      <c r="D39" s="214">
        <f>'часть 1'!K336</f>
        <v>2</v>
      </c>
      <c r="E39" s="216">
        <v>0</v>
      </c>
      <c r="F39" s="216">
        <v>0</v>
      </c>
      <c r="G39" s="216">
        <v>0</v>
      </c>
      <c r="H39" s="216" t="e">
        <f>'часть 2'!#REF!</f>
        <v>#REF!</v>
      </c>
      <c r="I39" s="216" t="e">
        <f t="shared" si="1"/>
        <v>#REF!</v>
      </c>
      <c r="J39" s="215">
        <v>0</v>
      </c>
      <c r="K39" s="215">
        <v>0</v>
      </c>
      <c r="L39" s="215">
        <v>0</v>
      </c>
      <c r="M39" s="215">
        <f>'часть 1'!L336</f>
        <v>553839</v>
      </c>
      <c r="N39" s="215">
        <f>M39</f>
        <v>553839</v>
      </c>
      <c r="P39" s="20"/>
    </row>
    <row r="40" spans="1:16">
      <c r="A40" s="178"/>
      <c r="B40" s="218" t="s">
        <v>49</v>
      </c>
      <c r="C40" s="213">
        <f>'часть 1'!H338</f>
        <v>8221.4</v>
      </c>
      <c r="D40" s="214">
        <f>'часть 1'!K338</f>
        <v>388</v>
      </c>
      <c r="E40" s="216">
        <f t="shared" ref="E40:K40" si="11">E41</f>
        <v>0</v>
      </c>
      <c r="F40" s="216">
        <f t="shared" si="11"/>
        <v>0</v>
      </c>
      <c r="G40" s="216">
        <f>G41+G43+G44+G45</f>
        <v>1</v>
      </c>
      <c r="H40" s="216">
        <f>H41+H43+H44+H45</f>
        <v>2</v>
      </c>
      <c r="I40" s="216">
        <f t="shared" si="1"/>
        <v>3</v>
      </c>
      <c r="J40" s="215">
        <f t="shared" si="11"/>
        <v>0</v>
      </c>
      <c r="K40" s="215">
        <f t="shared" si="11"/>
        <v>0</v>
      </c>
      <c r="L40" s="215">
        <f>L43</f>
        <v>1905804</v>
      </c>
      <c r="M40" s="215">
        <f>SUM(M41:M45)</f>
        <v>6108282</v>
      </c>
      <c r="N40" s="215">
        <f>SUM(N41:N45)</f>
        <v>18463893.600000001</v>
      </c>
      <c r="O40" s="20"/>
      <c r="P40" s="20"/>
    </row>
    <row r="41" spans="1:16" ht="25.5">
      <c r="A41" s="384">
        <f>A39+1</f>
        <v>22</v>
      </c>
      <c r="B41" s="399" t="s">
        <v>588</v>
      </c>
      <c r="C41" s="395">
        <f>'часть 1'!H339</f>
        <v>1542.7</v>
      </c>
      <c r="D41" s="396">
        <f>'часть 1'!K339</f>
        <v>78</v>
      </c>
      <c r="E41" s="397">
        <v>0</v>
      </c>
      <c r="F41" s="397">
        <v>0</v>
      </c>
      <c r="G41" s="397">
        <v>0</v>
      </c>
      <c r="H41" s="397">
        <v>1</v>
      </c>
      <c r="I41" s="397">
        <f t="shared" si="1"/>
        <v>1</v>
      </c>
      <c r="J41" s="398">
        <v>0</v>
      </c>
      <c r="K41" s="398">
        <v>0</v>
      </c>
      <c r="L41" s="398">
        <v>0</v>
      </c>
      <c r="M41" s="398">
        <f>'часть 1'!L339</f>
        <v>5287622</v>
      </c>
      <c r="N41" s="398">
        <f>M41</f>
        <v>5287622</v>
      </c>
      <c r="P41" s="20"/>
    </row>
    <row r="42" spans="1:16" ht="25.5">
      <c r="A42" s="178"/>
      <c r="B42" s="217" t="s">
        <v>985</v>
      </c>
      <c r="C42" s="213">
        <f>'часть 1'!H341</f>
        <v>1774</v>
      </c>
      <c r="D42" s="214">
        <f>'часть 1'!K341</f>
        <v>99</v>
      </c>
      <c r="E42" s="216">
        <v>0</v>
      </c>
      <c r="F42" s="216">
        <v>0</v>
      </c>
      <c r="G42" s="216">
        <v>2</v>
      </c>
      <c r="H42" s="216">
        <v>0</v>
      </c>
      <c r="I42" s="216">
        <v>2</v>
      </c>
      <c r="J42" s="215">
        <v>0</v>
      </c>
      <c r="K42" s="215">
        <v>0</v>
      </c>
      <c r="L42" s="215">
        <f>'часть 1'!L341</f>
        <v>7561422.5999999996</v>
      </c>
      <c r="M42" s="215">
        <v>0</v>
      </c>
      <c r="N42" s="215">
        <f>M42+L42+K42+J42</f>
        <v>7561422.5999999996</v>
      </c>
      <c r="P42" s="20"/>
    </row>
    <row r="43" spans="1:16" ht="25.5">
      <c r="A43" s="178">
        <f>A41+1</f>
        <v>23</v>
      </c>
      <c r="B43" s="217" t="s">
        <v>188</v>
      </c>
      <c r="C43" s="213">
        <f>'часть 1'!H344</f>
        <v>1595.1</v>
      </c>
      <c r="D43" s="214">
        <f>'часть 1'!K344</f>
        <v>87</v>
      </c>
      <c r="E43" s="216">
        <v>0</v>
      </c>
      <c r="F43" s="216">
        <v>0</v>
      </c>
      <c r="G43" s="216">
        <v>0</v>
      </c>
      <c r="H43" s="216">
        <v>0</v>
      </c>
      <c r="I43" s="216">
        <f t="shared" si="1"/>
        <v>0</v>
      </c>
      <c r="J43" s="215">
        <v>0</v>
      </c>
      <c r="K43" s="215">
        <v>0</v>
      </c>
      <c r="L43" s="215">
        <f>'часть 1'!L344</f>
        <v>1905804</v>
      </c>
      <c r="M43" s="215">
        <v>0</v>
      </c>
      <c r="N43" s="215">
        <f>L43</f>
        <v>1905804</v>
      </c>
      <c r="P43" s="20"/>
    </row>
    <row r="44" spans="1:16" ht="25.5">
      <c r="A44" s="178">
        <f>A43+1</f>
        <v>24</v>
      </c>
      <c r="B44" s="217" t="s">
        <v>189</v>
      </c>
      <c r="C44" s="213">
        <f>'часть 1'!H347</f>
        <v>506.9</v>
      </c>
      <c r="D44" s="214">
        <f>'часть 1'!K347</f>
        <v>7</v>
      </c>
      <c r="E44" s="216">
        <v>0</v>
      </c>
      <c r="F44" s="216">
        <v>0</v>
      </c>
      <c r="G44" s="216">
        <v>0</v>
      </c>
      <c r="H44" s="216">
        <v>1</v>
      </c>
      <c r="I44" s="216">
        <f t="shared" si="1"/>
        <v>1</v>
      </c>
      <c r="J44" s="215">
        <v>0</v>
      </c>
      <c r="K44" s="215">
        <v>0</v>
      </c>
      <c r="L44" s="215">
        <v>0</v>
      </c>
      <c r="M44" s="215">
        <f>'часть 1'!L347</f>
        <v>820660</v>
      </c>
      <c r="N44" s="215">
        <f>M44</f>
        <v>820660</v>
      </c>
      <c r="P44" s="20"/>
    </row>
    <row r="45" spans="1:16" ht="25.5">
      <c r="A45" s="178">
        <f>A44+1</f>
        <v>25</v>
      </c>
      <c r="B45" s="217" t="s">
        <v>589</v>
      </c>
      <c r="C45" s="213">
        <f>'часть 1'!H349</f>
        <v>4576.7</v>
      </c>
      <c r="D45" s="214">
        <f>'часть 1'!K349</f>
        <v>216</v>
      </c>
      <c r="E45" s="216">
        <v>0</v>
      </c>
      <c r="F45" s="216">
        <v>0</v>
      </c>
      <c r="G45" s="216">
        <v>1</v>
      </c>
      <c r="H45" s="216">
        <v>0</v>
      </c>
      <c r="I45" s="216">
        <f t="shared" si="1"/>
        <v>1</v>
      </c>
      <c r="J45" s="215">
        <v>0</v>
      </c>
      <c r="K45" s="215">
        <v>0</v>
      </c>
      <c r="L45" s="215">
        <v>2888385</v>
      </c>
      <c r="M45" s="215">
        <v>0</v>
      </c>
      <c r="N45" s="215">
        <v>2888385</v>
      </c>
      <c r="P45" s="20"/>
    </row>
    <row r="46" spans="1:16">
      <c r="A46" s="178"/>
      <c r="B46" s="218" t="s">
        <v>50</v>
      </c>
      <c r="C46" s="213">
        <f>C47</f>
        <v>6412.52</v>
      </c>
      <c r="D46" s="214">
        <f t="shared" ref="D46:N46" si="12">D47</f>
        <v>202</v>
      </c>
      <c r="E46" s="216">
        <f t="shared" si="12"/>
        <v>0</v>
      </c>
      <c r="F46" s="216">
        <f t="shared" si="12"/>
        <v>0</v>
      </c>
      <c r="G46" s="216">
        <f t="shared" si="12"/>
        <v>0</v>
      </c>
      <c r="H46" s="216">
        <f t="shared" si="12"/>
        <v>9</v>
      </c>
      <c r="I46" s="216">
        <f t="shared" si="1"/>
        <v>9</v>
      </c>
      <c r="J46" s="215">
        <f t="shared" si="12"/>
        <v>0</v>
      </c>
      <c r="K46" s="215">
        <f t="shared" si="12"/>
        <v>0</v>
      </c>
      <c r="L46" s="215">
        <f t="shared" si="12"/>
        <v>0</v>
      </c>
      <c r="M46" s="215">
        <f t="shared" si="12"/>
        <v>14213854</v>
      </c>
      <c r="N46" s="215">
        <f t="shared" si="12"/>
        <v>14213854</v>
      </c>
      <c r="O46" s="20"/>
      <c r="P46" s="20"/>
    </row>
    <row r="47" spans="1:16" ht="25.5">
      <c r="A47" s="178">
        <f>A45+1</f>
        <v>26</v>
      </c>
      <c r="B47" s="217" t="s">
        <v>106</v>
      </c>
      <c r="C47" s="213">
        <f>'часть 1'!H353</f>
        <v>6412.52</v>
      </c>
      <c r="D47" s="214">
        <f>'часть 1'!K353</f>
        <v>202</v>
      </c>
      <c r="E47" s="216">
        <v>0</v>
      </c>
      <c r="F47" s="216">
        <v>0</v>
      </c>
      <c r="G47" s="216">
        <v>0</v>
      </c>
      <c r="H47" s="216">
        <v>9</v>
      </c>
      <c r="I47" s="216">
        <f t="shared" si="1"/>
        <v>9</v>
      </c>
      <c r="J47" s="215">
        <v>0</v>
      </c>
      <c r="K47" s="215">
        <v>0</v>
      </c>
      <c r="L47" s="215">
        <v>0</v>
      </c>
      <c r="M47" s="215">
        <f>'часть 1'!L352</f>
        <v>14213854</v>
      </c>
      <c r="N47" s="215">
        <f>M47</f>
        <v>14213854</v>
      </c>
      <c r="P47" s="20"/>
    </row>
    <row r="48" spans="1:16">
      <c r="A48" s="178"/>
      <c r="B48" s="218" t="s">
        <v>51</v>
      </c>
      <c r="C48" s="213">
        <f>C49</f>
        <v>7394.6</v>
      </c>
      <c r="D48" s="214">
        <f t="shared" ref="D48:N48" si="13">D49</f>
        <v>302</v>
      </c>
      <c r="E48" s="216">
        <f t="shared" si="13"/>
        <v>0</v>
      </c>
      <c r="F48" s="216">
        <f t="shared" si="13"/>
        <v>0</v>
      </c>
      <c r="G48" s="216">
        <f t="shared" si="13"/>
        <v>0</v>
      </c>
      <c r="H48" s="216">
        <f t="shared" si="13"/>
        <v>8</v>
      </c>
      <c r="I48" s="216">
        <f t="shared" si="1"/>
        <v>8</v>
      </c>
      <c r="J48" s="215">
        <f t="shared" si="13"/>
        <v>0</v>
      </c>
      <c r="K48" s="215">
        <f t="shared" si="13"/>
        <v>0</v>
      </c>
      <c r="L48" s="215">
        <f t="shared" si="13"/>
        <v>0</v>
      </c>
      <c r="M48" s="215">
        <f t="shared" si="13"/>
        <v>11379869</v>
      </c>
      <c r="N48" s="215">
        <f t="shared" si="13"/>
        <v>11379869</v>
      </c>
      <c r="O48" s="20"/>
      <c r="P48" s="20"/>
    </row>
    <row r="49" spans="1:16" ht="25.5">
      <c r="A49" s="178">
        <f>A47+1</f>
        <v>27</v>
      </c>
      <c r="B49" s="217" t="s">
        <v>108</v>
      </c>
      <c r="C49" s="213">
        <f>'часть 1'!H363</f>
        <v>7394.6</v>
      </c>
      <c r="D49" s="214">
        <f>'часть 1'!K363</f>
        <v>302</v>
      </c>
      <c r="E49" s="216">
        <v>0</v>
      </c>
      <c r="F49" s="216">
        <v>0</v>
      </c>
      <c r="G49" s="216">
        <v>0</v>
      </c>
      <c r="H49" s="216">
        <v>8</v>
      </c>
      <c r="I49" s="216">
        <f t="shared" si="1"/>
        <v>8</v>
      </c>
      <c r="J49" s="215">
        <v>0</v>
      </c>
      <c r="K49" s="215">
        <v>0</v>
      </c>
      <c r="L49" s="215">
        <v>0</v>
      </c>
      <c r="M49" s="215">
        <f>'часть 1'!L364</f>
        <v>11379869</v>
      </c>
      <c r="N49" s="215">
        <f>M49</f>
        <v>11379869</v>
      </c>
      <c r="P49" s="20"/>
    </row>
    <row r="50" spans="1:16" ht="25.5">
      <c r="A50" s="384"/>
      <c r="B50" s="399" t="s">
        <v>882</v>
      </c>
      <c r="C50" s="395">
        <f>'часть 1'!H373</f>
        <v>1087.7</v>
      </c>
      <c r="D50" s="396">
        <f>'часть 1'!K373</f>
        <v>55</v>
      </c>
      <c r="E50" s="397">
        <v>0</v>
      </c>
      <c r="F50" s="397">
        <v>0</v>
      </c>
      <c r="G50" s="397">
        <v>2</v>
      </c>
      <c r="H50" s="397">
        <v>0</v>
      </c>
      <c r="I50" s="397">
        <v>2</v>
      </c>
      <c r="J50" s="398">
        <v>0</v>
      </c>
      <c r="K50" s="398">
        <v>0</v>
      </c>
      <c r="L50" s="398">
        <v>2903743</v>
      </c>
      <c r="M50" s="398">
        <v>0</v>
      </c>
      <c r="N50" s="398">
        <f>M50+L50+K50+J50</f>
        <v>2903743</v>
      </c>
      <c r="P50" s="20"/>
    </row>
    <row r="51" spans="1:16">
      <c r="A51" s="178"/>
      <c r="B51" s="218" t="s">
        <v>52</v>
      </c>
      <c r="C51" s="213">
        <f>C53+C52+C54</f>
        <v>2360.4</v>
      </c>
      <c r="D51" s="214">
        <f>D53+D52+D54</f>
        <v>81</v>
      </c>
      <c r="E51" s="216">
        <f>E53+E52</f>
        <v>0</v>
      </c>
      <c r="F51" s="216">
        <f>F53+F52</f>
        <v>0</v>
      </c>
      <c r="G51" s="216">
        <f>G53+G52</f>
        <v>1</v>
      </c>
      <c r="H51" s="216">
        <f>H53+H52+H54</f>
        <v>2</v>
      </c>
      <c r="I51" s="216">
        <f t="shared" si="1"/>
        <v>3</v>
      </c>
      <c r="J51" s="215">
        <f>J53</f>
        <v>0</v>
      </c>
      <c r="K51" s="215">
        <f>K53</f>
        <v>0</v>
      </c>
      <c r="L51" s="215">
        <f>L53</f>
        <v>0</v>
      </c>
      <c r="M51" s="215">
        <f>M53+M52+M54</f>
        <v>1292346</v>
      </c>
      <c r="N51" s="215">
        <f>M51</f>
        <v>1292346</v>
      </c>
      <c r="O51" s="20"/>
      <c r="P51" s="20"/>
    </row>
    <row r="52" spans="1:16" ht="25.5">
      <c r="A52" s="384">
        <f>A49+1</f>
        <v>28</v>
      </c>
      <c r="B52" s="399" t="s">
        <v>130</v>
      </c>
      <c r="C52" s="395">
        <f>'часть 1'!H377</f>
        <v>704.6</v>
      </c>
      <c r="D52" s="396">
        <f>'часть 1'!K377</f>
        <v>16</v>
      </c>
      <c r="E52" s="397">
        <v>0</v>
      </c>
      <c r="F52" s="397">
        <v>0</v>
      </c>
      <c r="G52" s="397">
        <v>1</v>
      </c>
      <c r="H52" s="397">
        <v>0</v>
      </c>
      <c r="I52" s="397">
        <f t="shared" si="1"/>
        <v>1</v>
      </c>
      <c r="J52" s="398">
        <v>0</v>
      </c>
      <c r="K52" s="398">
        <v>0</v>
      </c>
      <c r="L52" s="398">
        <v>1828731</v>
      </c>
      <c r="M52" s="398">
        <v>0</v>
      </c>
      <c r="N52" s="398">
        <v>1828731</v>
      </c>
      <c r="O52" s="20"/>
      <c r="P52" s="20"/>
    </row>
    <row r="53" spans="1:16" ht="25.5">
      <c r="A53" s="178">
        <f>A52+1</f>
        <v>29</v>
      </c>
      <c r="B53" s="217" t="s">
        <v>109</v>
      </c>
      <c r="C53" s="213">
        <f>'часть 1'!H380</f>
        <v>799.3</v>
      </c>
      <c r="D53" s="214">
        <f>'часть 1'!K380</f>
        <v>32</v>
      </c>
      <c r="E53" s="216">
        <v>0</v>
      </c>
      <c r="F53" s="216">
        <v>0</v>
      </c>
      <c r="G53" s="216">
        <v>0</v>
      </c>
      <c r="H53" s="216">
        <v>1</v>
      </c>
      <c r="I53" s="216">
        <f t="shared" si="1"/>
        <v>1</v>
      </c>
      <c r="J53" s="215">
        <v>0</v>
      </c>
      <c r="K53" s="215">
        <v>0</v>
      </c>
      <c r="L53" s="215">
        <v>0</v>
      </c>
      <c r="M53" s="215">
        <v>201010</v>
      </c>
      <c r="N53" s="215">
        <f>M53</f>
        <v>201010</v>
      </c>
      <c r="P53" s="20"/>
    </row>
    <row r="54" spans="1:16" ht="25.5">
      <c r="A54" s="178">
        <f>A53+1</f>
        <v>30</v>
      </c>
      <c r="B54" s="217" t="s">
        <v>198</v>
      </c>
      <c r="C54" s="213">
        <f>'часть 1'!H382</f>
        <v>856.5</v>
      </c>
      <c r="D54" s="214">
        <f>'часть 1'!K382</f>
        <v>33</v>
      </c>
      <c r="E54" s="216">
        <v>0</v>
      </c>
      <c r="F54" s="216">
        <v>0</v>
      </c>
      <c r="G54" s="216">
        <v>0</v>
      </c>
      <c r="H54" s="216">
        <v>1</v>
      </c>
      <c r="I54" s="216">
        <f t="shared" si="1"/>
        <v>1</v>
      </c>
      <c r="J54" s="215">
        <v>0</v>
      </c>
      <c r="K54" s="215">
        <v>0</v>
      </c>
      <c r="L54" s="215">
        <v>0</v>
      </c>
      <c r="M54" s="215">
        <f>'часть 1'!L382</f>
        <v>1091336</v>
      </c>
      <c r="N54" s="215">
        <f>M54</f>
        <v>1091336</v>
      </c>
      <c r="P54" s="20"/>
    </row>
    <row r="55" spans="1:16">
      <c r="A55" s="178"/>
      <c r="B55" s="218" t="s">
        <v>53</v>
      </c>
      <c r="C55" s="213">
        <f>'часть 1'!H384+'часть 1'!H524</f>
        <v>125982.9</v>
      </c>
      <c r="D55" s="214">
        <f>'часть 1'!K384+'часть 1'!K524</f>
        <v>3722</v>
      </c>
      <c r="E55" s="216">
        <f t="shared" ref="E55:L55" si="14">E58+E61+E62+E56</f>
        <v>0</v>
      </c>
      <c r="F55" s="216">
        <f t="shared" si="14"/>
        <v>0</v>
      </c>
      <c r="G55" s="216">
        <f t="shared" si="14"/>
        <v>0</v>
      </c>
      <c r="H55" s="216">
        <f>H58+H61+H59+H62+H56+H57+H63</f>
        <v>22</v>
      </c>
      <c r="I55" s="216">
        <f t="shared" si="1"/>
        <v>22</v>
      </c>
      <c r="J55" s="215">
        <f t="shared" si="14"/>
        <v>0</v>
      </c>
      <c r="K55" s="215">
        <f t="shared" si="14"/>
        <v>0</v>
      </c>
      <c r="L55" s="215">
        <f t="shared" si="14"/>
        <v>0</v>
      </c>
      <c r="M55" s="215">
        <f>M58+M61+M59+M62+M56+M57+M63</f>
        <v>54292021.920000002</v>
      </c>
      <c r="N55" s="215">
        <f t="shared" ref="N55:N63" si="15">M55</f>
        <v>54292021.920000002</v>
      </c>
      <c r="O55" s="20"/>
      <c r="P55" s="20"/>
    </row>
    <row r="56" spans="1:16" ht="26.25" customHeight="1">
      <c r="A56" s="384">
        <f>A54+1</f>
        <v>31</v>
      </c>
      <c r="B56" s="399" t="s">
        <v>88</v>
      </c>
      <c r="C56" s="395">
        <f>'часть 1'!H385</f>
        <v>77350</v>
      </c>
      <c r="D56" s="396">
        <f>'часть 1'!K385</f>
        <v>2037</v>
      </c>
      <c r="E56" s="397">
        <v>0</v>
      </c>
      <c r="F56" s="397">
        <v>0</v>
      </c>
      <c r="G56" s="397">
        <v>0</v>
      </c>
      <c r="H56" s="397">
        <v>10</v>
      </c>
      <c r="I56" s="397">
        <f t="shared" si="1"/>
        <v>10</v>
      </c>
      <c r="J56" s="398">
        <v>0</v>
      </c>
      <c r="K56" s="398">
        <v>0</v>
      </c>
      <c r="L56" s="398">
        <v>0</v>
      </c>
      <c r="M56" s="398">
        <f>'часть 2'!C375</f>
        <v>31676745</v>
      </c>
      <c r="N56" s="398">
        <f t="shared" si="15"/>
        <v>31676745</v>
      </c>
      <c r="P56" s="20"/>
    </row>
    <row r="57" spans="1:16" ht="26.25" customHeight="1">
      <c r="A57" s="384">
        <f t="shared" ref="A57:A63" si="16">A56+1</f>
        <v>32</v>
      </c>
      <c r="B57" s="399" t="s">
        <v>132</v>
      </c>
      <c r="C57" s="395">
        <f>'часть 1'!H397</f>
        <v>2337.4</v>
      </c>
      <c r="D57" s="396">
        <f>'часть 1'!K397</f>
        <v>91</v>
      </c>
      <c r="E57" s="397">
        <v>0</v>
      </c>
      <c r="F57" s="397">
        <v>0</v>
      </c>
      <c r="G57" s="397">
        <v>0</v>
      </c>
      <c r="H57" s="397">
        <v>3</v>
      </c>
      <c r="I57" s="397">
        <f t="shared" si="1"/>
        <v>3</v>
      </c>
      <c r="J57" s="398">
        <v>0</v>
      </c>
      <c r="K57" s="398">
        <v>0</v>
      </c>
      <c r="L57" s="398">
        <v>0</v>
      </c>
      <c r="M57" s="398">
        <f>'часть 1'!L397</f>
        <v>5439639</v>
      </c>
      <c r="N57" s="398">
        <f>M57</f>
        <v>5439639</v>
      </c>
      <c r="P57" s="20"/>
    </row>
    <row r="58" spans="1:16" ht="26.25" customHeight="1">
      <c r="A58" s="384">
        <f t="shared" si="16"/>
        <v>33</v>
      </c>
      <c r="B58" s="399" t="s">
        <v>110</v>
      </c>
      <c r="C58" s="395">
        <f>'часть 1'!H403</f>
        <v>1494</v>
      </c>
      <c r="D58" s="396">
        <f>'часть 1'!K403</f>
        <v>59</v>
      </c>
      <c r="E58" s="397">
        <v>0</v>
      </c>
      <c r="F58" s="397">
        <v>0</v>
      </c>
      <c r="G58" s="397">
        <v>0</v>
      </c>
      <c r="H58" s="397">
        <v>1</v>
      </c>
      <c r="I58" s="397">
        <f t="shared" si="1"/>
        <v>1</v>
      </c>
      <c r="J58" s="398">
        <v>0</v>
      </c>
      <c r="K58" s="398">
        <v>0</v>
      </c>
      <c r="L58" s="398">
        <v>0</v>
      </c>
      <c r="M58" s="398">
        <f>'часть 1'!L403</f>
        <v>2476043</v>
      </c>
      <c r="N58" s="398">
        <f t="shared" si="15"/>
        <v>2476043</v>
      </c>
      <c r="P58" s="20"/>
    </row>
    <row r="59" spans="1:16" ht="26.25" customHeight="1">
      <c r="A59" s="384">
        <f t="shared" si="16"/>
        <v>34</v>
      </c>
      <c r="B59" s="399" t="s">
        <v>128</v>
      </c>
      <c r="C59" s="395">
        <f>'часть 1'!H405</f>
        <v>13933</v>
      </c>
      <c r="D59" s="396">
        <f>'часть 1'!K405</f>
        <v>553</v>
      </c>
      <c r="E59" s="397">
        <v>0</v>
      </c>
      <c r="F59" s="397">
        <v>0</v>
      </c>
      <c r="G59" s="397">
        <v>0</v>
      </c>
      <c r="H59" s="397">
        <v>4</v>
      </c>
      <c r="I59" s="397">
        <f t="shared" si="1"/>
        <v>4</v>
      </c>
      <c r="J59" s="398">
        <v>0</v>
      </c>
      <c r="K59" s="398">
        <v>0</v>
      </c>
      <c r="L59" s="398">
        <v>0</v>
      </c>
      <c r="M59" s="398">
        <f>'часть 1'!L405</f>
        <v>11027716</v>
      </c>
      <c r="N59" s="398">
        <f t="shared" si="15"/>
        <v>11027716</v>
      </c>
      <c r="P59" s="20"/>
    </row>
    <row r="60" spans="1:16" ht="26.25" customHeight="1">
      <c r="A60" s="384"/>
      <c r="B60" s="399" t="s">
        <v>668</v>
      </c>
      <c r="C60" s="395">
        <f>'часть 1'!H412</f>
        <v>5520.2</v>
      </c>
      <c r="D60" s="396">
        <f>'часть 1'!K412</f>
        <v>173</v>
      </c>
      <c r="E60" s="397">
        <v>0</v>
      </c>
      <c r="F60" s="397">
        <v>0</v>
      </c>
      <c r="G60" s="397">
        <v>0</v>
      </c>
      <c r="H60" s="397">
        <v>2</v>
      </c>
      <c r="I60" s="397">
        <v>2</v>
      </c>
      <c r="J60" s="398">
        <v>0</v>
      </c>
      <c r="K60" s="398">
        <v>0</v>
      </c>
      <c r="L60" s="398">
        <v>0</v>
      </c>
      <c r="M60" s="398">
        <v>4521219</v>
      </c>
      <c r="N60" s="398">
        <v>4521219</v>
      </c>
      <c r="P60" s="20"/>
    </row>
    <row r="61" spans="1:16" ht="25.5">
      <c r="A61" s="178">
        <f>A59+1</f>
        <v>35</v>
      </c>
      <c r="B61" s="217" t="s">
        <v>994</v>
      </c>
      <c r="C61" s="213">
        <f>'часть 1'!H415</f>
        <v>625.9</v>
      </c>
      <c r="D61" s="214">
        <f>'часть 1'!K415</f>
        <v>32</v>
      </c>
      <c r="E61" s="216">
        <v>0</v>
      </c>
      <c r="F61" s="216">
        <v>0</v>
      </c>
      <c r="G61" s="216">
        <v>0</v>
      </c>
      <c r="H61" s="216">
        <v>1</v>
      </c>
      <c r="I61" s="216">
        <f t="shared" si="1"/>
        <v>1</v>
      </c>
      <c r="J61" s="215">
        <v>0</v>
      </c>
      <c r="K61" s="215">
        <v>0</v>
      </c>
      <c r="L61" s="215">
        <v>0</v>
      </c>
      <c r="M61" s="215">
        <f>'часть 1'!L415</f>
        <v>1540610</v>
      </c>
      <c r="N61" s="215">
        <f t="shared" si="15"/>
        <v>1540610</v>
      </c>
      <c r="P61" s="20"/>
    </row>
    <row r="62" spans="1:16" ht="27.75" customHeight="1">
      <c r="A62" s="178">
        <f t="shared" si="16"/>
        <v>36</v>
      </c>
      <c r="B62" s="217" t="s">
        <v>111</v>
      </c>
      <c r="C62" s="213">
        <f>'часть 1'!H417</f>
        <v>533.5</v>
      </c>
      <c r="D62" s="214">
        <f>'часть 1'!K417</f>
        <v>54</v>
      </c>
      <c r="E62" s="216">
        <v>0</v>
      </c>
      <c r="F62" s="216">
        <v>0</v>
      </c>
      <c r="G62" s="216">
        <v>0</v>
      </c>
      <c r="H62" s="216">
        <v>1</v>
      </c>
      <c r="I62" s="216">
        <f t="shared" si="1"/>
        <v>1</v>
      </c>
      <c r="J62" s="215">
        <v>0</v>
      </c>
      <c r="K62" s="215">
        <v>0</v>
      </c>
      <c r="L62" s="215">
        <v>0</v>
      </c>
      <c r="M62" s="215">
        <f>'часть 1'!L417</f>
        <v>657835.92000000004</v>
      </c>
      <c r="N62" s="215">
        <f t="shared" si="15"/>
        <v>657835.92000000004</v>
      </c>
      <c r="P62" s="20"/>
    </row>
    <row r="63" spans="1:16" ht="27.75" customHeight="1">
      <c r="A63" s="384">
        <f t="shared" si="16"/>
        <v>37</v>
      </c>
      <c r="B63" s="399" t="s">
        <v>129</v>
      </c>
      <c r="C63" s="395">
        <f>'часть 1'!H419</f>
        <v>1150.0999999999999</v>
      </c>
      <c r="D63" s="396">
        <f>'часть 1'!K419</f>
        <v>58</v>
      </c>
      <c r="E63" s="397">
        <v>0</v>
      </c>
      <c r="F63" s="397">
        <v>0</v>
      </c>
      <c r="G63" s="397">
        <v>0</v>
      </c>
      <c r="H63" s="397">
        <v>2</v>
      </c>
      <c r="I63" s="397">
        <f t="shared" si="1"/>
        <v>2</v>
      </c>
      <c r="J63" s="398">
        <v>0</v>
      </c>
      <c r="K63" s="398">
        <v>0</v>
      </c>
      <c r="L63" s="398">
        <v>0</v>
      </c>
      <c r="M63" s="398">
        <f>'часть 1'!L419</f>
        <v>1473433</v>
      </c>
      <c r="N63" s="398">
        <f t="shared" si="15"/>
        <v>1473433</v>
      </c>
      <c r="P63" s="20"/>
    </row>
    <row r="64" spans="1:16">
      <c r="A64" s="178"/>
      <c r="B64" s="218" t="s">
        <v>54</v>
      </c>
      <c r="C64" s="213">
        <f>C65</f>
        <v>1983</v>
      </c>
      <c r="D64" s="214">
        <f t="shared" ref="D64:N64" si="17">D65</f>
        <v>80</v>
      </c>
      <c r="E64" s="216">
        <f t="shared" si="17"/>
        <v>0</v>
      </c>
      <c r="F64" s="216">
        <f t="shared" si="17"/>
        <v>0</v>
      </c>
      <c r="G64" s="216">
        <f t="shared" si="17"/>
        <v>0</v>
      </c>
      <c r="H64" s="216" t="e">
        <f t="shared" si="17"/>
        <v>#REF!</v>
      </c>
      <c r="I64" s="216" t="e">
        <f t="shared" si="1"/>
        <v>#REF!</v>
      </c>
      <c r="J64" s="215">
        <f t="shared" si="17"/>
        <v>0</v>
      </c>
      <c r="K64" s="215">
        <f t="shared" si="17"/>
        <v>0</v>
      </c>
      <c r="L64" s="215">
        <f t="shared" si="17"/>
        <v>0</v>
      </c>
      <c r="M64" s="215">
        <f t="shared" si="17"/>
        <v>2222747</v>
      </c>
      <c r="N64" s="215">
        <f t="shared" si="17"/>
        <v>2222747</v>
      </c>
      <c r="O64" s="20"/>
      <c r="P64" s="20"/>
    </row>
    <row r="65" spans="1:16" ht="25.5">
      <c r="A65" s="178">
        <f>A63+1</f>
        <v>38</v>
      </c>
      <c r="B65" s="217" t="s">
        <v>112</v>
      </c>
      <c r="C65" s="213">
        <f>'часть 1'!H425</f>
        <v>1983</v>
      </c>
      <c r="D65" s="214">
        <f>'часть 1'!K425</f>
        <v>80</v>
      </c>
      <c r="E65" s="216">
        <v>0</v>
      </c>
      <c r="F65" s="216">
        <v>0</v>
      </c>
      <c r="G65" s="216">
        <v>0</v>
      </c>
      <c r="H65" s="216" t="e">
        <f>'часть 2'!#REF!</f>
        <v>#REF!</v>
      </c>
      <c r="I65" s="216" t="e">
        <f t="shared" si="1"/>
        <v>#REF!</v>
      </c>
      <c r="J65" s="215">
        <v>0</v>
      </c>
      <c r="K65" s="215">
        <v>0</v>
      </c>
      <c r="L65" s="215">
        <v>0</v>
      </c>
      <c r="M65" s="215">
        <f>'часть 1'!L425</f>
        <v>2222747</v>
      </c>
      <c r="N65" s="215">
        <f>M65</f>
        <v>2222747</v>
      </c>
      <c r="P65" s="20"/>
    </row>
    <row r="66" spans="1:16">
      <c r="A66" s="178"/>
      <c r="B66" s="218" t="s">
        <v>55</v>
      </c>
      <c r="C66" s="213">
        <f>C67</f>
        <v>912.1</v>
      </c>
      <c r="D66" s="213">
        <f t="shared" ref="D66:N66" si="18">D67</f>
        <v>39</v>
      </c>
      <c r="E66" s="213">
        <f t="shared" si="18"/>
        <v>0</v>
      </c>
      <c r="F66" s="213">
        <f t="shared" si="18"/>
        <v>0</v>
      </c>
      <c r="G66" s="213">
        <f t="shared" si="18"/>
        <v>2</v>
      </c>
      <c r="H66" s="214">
        <f t="shared" si="18"/>
        <v>0</v>
      </c>
      <c r="I66" s="214">
        <f t="shared" si="18"/>
        <v>2</v>
      </c>
      <c r="J66" s="215">
        <f t="shared" si="18"/>
        <v>0</v>
      </c>
      <c r="K66" s="215">
        <f t="shared" si="18"/>
        <v>0</v>
      </c>
      <c r="L66" s="215">
        <f t="shared" si="18"/>
        <v>2809430</v>
      </c>
      <c r="M66" s="215">
        <f t="shared" si="18"/>
        <v>0</v>
      </c>
      <c r="N66" s="215">
        <f t="shared" si="18"/>
        <v>2809430</v>
      </c>
      <c r="O66" s="20"/>
      <c r="P66" s="20"/>
    </row>
    <row r="67" spans="1:16" ht="25.5">
      <c r="A67" s="384">
        <v>38</v>
      </c>
      <c r="B67" s="399" t="s">
        <v>590</v>
      </c>
      <c r="C67" s="395">
        <f>'часть 1'!H430</f>
        <v>912.1</v>
      </c>
      <c r="D67" s="396">
        <f>'часть 1'!K430</f>
        <v>39</v>
      </c>
      <c r="E67" s="397">
        <v>0</v>
      </c>
      <c r="F67" s="397">
        <v>0</v>
      </c>
      <c r="G67" s="397">
        <v>2</v>
      </c>
      <c r="H67" s="397">
        <v>0</v>
      </c>
      <c r="I67" s="397">
        <f t="shared" si="1"/>
        <v>2</v>
      </c>
      <c r="J67" s="398">
        <v>0</v>
      </c>
      <c r="K67" s="398">
        <v>0</v>
      </c>
      <c r="L67" s="398">
        <v>2809430</v>
      </c>
      <c r="M67" s="398">
        <v>0</v>
      </c>
      <c r="N67" s="398">
        <f>M67+L67+K67+J67</f>
        <v>2809430</v>
      </c>
      <c r="P67" s="20"/>
    </row>
    <row r="68" spans="1:16">
      <c r="A68" s="178"/>
      <c r="B68" s="218" t="s">
        <v>56</v>
      </c>
      <c r="C68" s="213">
        <f>'часть 1'!H434</f>
        <v>10396</v>
      </c>
      <c r="D68" s="214">
        <f>'часть 1'!K434</f>
        <v>320</v>
      </c>
      <c r="E68" s="216">
        <f t="shared" ref="E68:N68" si="19">E69+E70+E71</f>
        <v>0</v>
      </c>
      <c r="F68" s="216">
        <f t="shared" si="19"/>
        <v>0</v>
      </c>
      <c r="G68" s="216">
        <f t="shared" si="19"/>
        <v>1</v>
      </c>
      <c r="H68" s="216">
        <f t="shared" si="19"/>
        <v>6</v>
      </c>
      <c r="I68" s="216">
        <f t="shared" si="1"/>
        <v>7</v>
      </c>
      <c r="J68" s="215">
        <f t="shared" si="19"/>
        <v>0</v>
      </c>
      <c r="K68" s="215">
        <f t="shared" si="19"/>
        <v>0</v>
      </c>
      <c r="L68" s="215">
        <f t="shared" si="19"/>
        <v>1510788</v>
      </c>
      <c r="M68" s="215">
        <f>M69+M70+M71</f>
        <v>9278483</v>
      </c>
      <c r="N68" s="215">
        <f t="shared" si="19"/>
        <v>10789271</v>
      </c>
      <c r="O68" s="20"/>
      <c r="P68" s="20"/>
    </row>
    <row r="69" spans="1:16" ht="25.5">
      <c r="A69" s="384">
        <v>39</v>
      </c>
      <c r="B69" s="399" t="s">
        <v>424</v>
      </c>
      <c r="C69" s="395">
        <f>'часть 1'!H435</f>
        <v>4140.7</v>
      </c>
      <c r="D69" s="396">
        <f>'часть 1'!K435</f>
        <v>125</v>
      </c>
      <c r="E69" s="397">
        <v>0</v>
      </c>
      <c r="F69" s="397">
        <v>0</v>
      </c>
      <c r="G69" s="397">
        <v>0</v>
      </c>
      <c r="H69" s="397">
        <v>5</v>
      </c>
      <c r="I69" s="397">
        <f t="shared" si="1"/>
        <v>5</v>
      </c>
      <c r="J69" s="398">
        <v>0</v>
      </c>
      <c r="K69" s="398">
        <v>0</v>
      </c>
      <c r="L69" s="398">
        <v>0</v>
      </c>
      <c r="M69" s="398">
        <f>'часть 1'!L435</f>
        <v>6762929</v>
      </c>
      <c r="N69" s="398">
        <f>M69</f>
        <v>6762929</v>
      </c>
      <c r="P69" s="20"/>
    </row>
    <row r="70" spans="1:16" ht="25.5">
      <c r="A70" s="178">
        <v>40</v>
      </c>
      <c r="B70" s="217" t="s">
        <v>121</v>
      </c>
      <c r="C70" s="213">
        <f>'часть 1'!H441</f>
        <v>4874.1000000000004</v>
      </c>
      <c r="D70" s="214">
        <f>'часть 1'!K441</f>
        <v>127</v>
      </c>
      <c r="E70" s="216">
        <v>0</v>
      </c>
      <c r="F70" s="216">
        <v>0</v>
      </c>
      <c r="G70" s="216">
        <v>0</v>
      </c>
      <c r="H70" s="216">
        <v>1</v>
      </c>
      <c r="I70" s="216">
        <f t="shared" si="1"/>
        <v>1</v>
      </c>
      <c r="J70" s="215">
        <v>0</v>
      </c>
      <c r="K70" s="215">
        <v>0</v>
      </c>
      <c r="L70" s="215">
        <v>0</v>
      </c>
      <c r="M70" s="215">
        <f>'часть 1'!L441</f>
        <v>2515554</v>
      </c>
      <c r="N70" s="215">
        <f>M70</f>
        <v>2515554</v>
      </c>
      <c r="O70" s="20"/>
      <c r="P70" s="20"/>
    </row>
    <row r="71" spans="1:16" ht="25.5">
      <c r="A71" s="178">
        <v>41</v>
      </c>
      <c r="B71" s="217" t="s">
        <v>807</v>
      </c>
      <c r="C71" s="213">
        <f>'часть 1'!H443</f>
        <v>1381.2</v>
      </c>
      <c r="D71" s="214">
        <f>'часть 1'!K443</f>
        <v>68</v>
      </c>
      <c r="E71" s="216">
        <v>0</v>
      </c>
      <c r="F71" s="216">
        <v>0</v>
      </c>
      <c r="G71" s="216">
        <v>1</v>
      </c>
      <c r="H71" s="216">
        <v>0</v>
      </c>
      <c r="I71" s="216">
        <f t="shared" si="1"/>
        <v>1</v>
      </c>
      <c r="J71" s="215">
        <v>0</v>
      </c>
      <c r="K71" s="215">
        <v>0</v>
      </c>
      <c r="L71" s="215">
        <v>1510788</v>
      </c>
      <c r="M71" s="215">
        <v>0</v>
      </c>
      <c r="N71" s="215">
        <f>L71</f>
        <v>1510788</v>
      </c>
      <c r="O71" s="20"/>
      <c r="P71" s="20"/>
    </row>
    <row r="72" spans="1:16">
      <c r="A72" s="178"/>
      <c r="B72" s="218" t="s">
        <v>57</v>
      </c>
      <c r="C72" s="213">
        <f>C73</f>
        <v>8010.4</v>
      </c>
      <c r="D72" s="214">
        <f t="shared" ref="D72:L72" si="20">D73</f>
        <v>199</v>
      </c>
      <c r="E72" s="216">
        <f t="shared" si="20"/>
        <v>0</v>
      </c>
      <c r="F72" s="216">
        <f t="shared" si="20"/>
        <v>0</v>
      </c>
      <c r="G72" s="216">
        <f t="shared" si="20"/>
        <v>0</v>
      </c>
      <c r="H72" s="216">
        <f t="shared" si="20"/>
        <v>2</v>
      </c>
      <c r="I72" s="216">
        <f t="shared" si="1"/>
        <v>2</v>
      </c>
      <c r="J72" s="215">
        <f t="shared" si="20"/>
        <v>0</v>
      </c>
      <c r="K72" s="215">
        <f t="shared" si="20"/>
        <v>0</v>
      </c>
      <c r="L72" s="215">
        <f t="shared" si="20"/>
        <v>0</v>
      </c>
      <c r="M72" s="215">
        <f>M73</f>
        <v>2579247</v>
      </c>
      <c r="N72" s="215">
        <f>N73</f>
        <v>2579247</v>
      </c>
      <c r="P72" s="20"/>
    </row>
    <row r="73" spans="1:16" ht="25.5">
      <c r="A73" s="178">
        <v>42</v>
      </c>
      <c r="B73" s="217" t="s">
        <v>119</v>
      </c>
      <c r="C73" s="213">
        <f>'часть 1'!H446</f>
        <v>8010.4</v>
      </c>
      <c r="D73" s="214">
        <f>'часть 1'!K446</f>
        <v>199</v>
      </c>
      <c r="E73" s="216">
        <v>0</v>
      </c>
      <c r="F73" s="216">
        <v>0</v>
      </c>
      <c r="G73" s="216">
        <v>0</v>
      </c>
      <c r="H73" s="216">
        <v>2</v>
      </c>
      <c r="I73" s="216">
        <f t="shared" si="1"/>
        <v>2</v>
      </c>
      <c r="J73" s="215">
        <v>0</v>
      </c>
      <c r="K73" s="215">
        <v>0</v>
      </c>
      <c r="L73" s="215">
        <v>0</v>
      </c>
      <c r="M73" s="215">
        <f>'часть 1'!L445</f>
        <v>2579247</v>
      </c>
      <c r="N73" s="215">
        <f>M73</f>
        <v>2579247</v>
      </c>
      <c r="P73" s="20"/>
    </row>
    <row r="74" spans="1:16">
      <c r="A74" s="178"/>
      <c r="B74" s="218" t="s">
        <v>58</v>
      </c>
      <c r="C74" s="213">
        <f>C75</f>
        <v>17371.800000000003</v>
      </c>
      <c r="D74" s="214">
        <f>'часть 1'!K449+'часть 1'!K533</f>
        <v>538</v>
      </c>
      <c r="E74" s="216">
        <f t="shared" ref="E74:N74" si="21">E75</f>
        <v>0</v>
      </c>
      <c r="F74" s="216">
        <f t="shared" si="21"/>
        <v>0</v>
      </c>
      <c r="G74" s="216">
        <f t="shared" si="21"/>
        <v>0</v>
      </c>
      <c r="H74" s="216" t="e">
        <f t="shared" si="21"/>
        <v>#REF!</v>
      </c>
      <c r="I74" s="216" t="e">
        <f t="shared" si="1"/>
        <v>#REF!</v>
      </c>
      <c r="J74" s="215">
        <f t="shared" si="21"/>
        <v>0</v>
      </c>
      <c r="K74" s="215">
        <f t="shared" si="21"/>
        <v>0</v>
      </c>
      <c r="L74" s="215">
        <f t="shared" si="21"/>
        <v>0</v>
      </c>
      <c r="M74" s="215">
        <f t="shared" si="21"/>
        <v>12228909</v>
      </c>
      <c r="N74" s="215">
        <f t="shared" si="21"/>
        <v>12228909</v>
      </c>
      <c r="P74" s="20"/>
    </row>
    <row r="75" spans="1:16" ht="27.75" customHeight="1">
      <c r="A75" s="178">
        <v>43</v>
      </c>
      <c r="B75" s="217" t="s">
        <v>87</v>
      </c>
      <c r="C75" s="213">
        <f>'часть 1'!H449+'часть 1'!H534</f>
        <v>17371.800000000003</v>
      </c>
      <c r="D75" s="214">
        <f>'часть 1'!K534+'часть 1'!K450</f>
        <v>538</v>
      </c>
      <c r="E75" s="216">
        <v>0</v>
      </c>
      <c r="F75" s="216">
        <v>0</v>
      </c>
      <c r="G75" s="216">
        <v>0</v>
      </c>
      <c r="H75" s="216" t="e">
        <f>'часть 2'!#REF!</f>
        <v>#REF!</v>
      </c>
      <c r="I75" s="216" t="e">
        <f t="shared" si="1"/>
        <v>#REF!</v>
      </c>
      <c r="J75" s="215">
        <v>0</v>
      </c>
      <c r="K75" s="215">
        <v>0</v>
      </c>
      <c r="L75" s="215">
        <v>0</v>
      </c>
      <c r="M75" s="215">
        <f>'часть 2'!C444</f>
        <v>12228909</v>
      </c>
      <c r="N75" s="215">
        <f>M75</f>
        <v>12228909</v>
      </c>
      <c r="P75" s="20"/>
    </row>
    <row r="76" spans="1:16" ht="24.6" customHeight="1">
      <c r="A76" s="384"/>
      <c r="B76" s="478" t="s">
        <v>59</v>
      </c>
      <c r="C76" s="395">
        <f>C77+C78</f>
        <v>26864.3</v>
      </c>
      <c r="D76" s="395">
        <f t="shared" ref="D76:N76" si="22">D77+D78</f>
        <v>879</v>
      </c>
      <c r="E76" s="395">
        <f t="shared" si="22"/>
        <v>0</v>
      </c>
      <c r="F76" s="395">
        <f t="shared" si="22"/>
        <v>0</v>
      </c>
      <c r="G76" s="395">
        <f t="shared" si="22"/>
        <v>0</v>
      </c>
      <c r="H76" s="395">
        <f t="shared" si="22"/>
        <v>42</v>
      </c>
      <c r="I76" s="395">
        <f t="shared" si="22"/>
        <v>42</v>
      </c>
      <c r="J76" s="398">
        <f t="shared" si="22"/>
        <v>0</v>
      </c>
      <c r="K76" s="398">
        <f t="shared" si="22"/>
        <v>0</v>
      </c>
      <c r="L76" s="398">
        <f t="shared" si="22"/>
        <v>0</v>
      </c>
      <c r="M76" s="398">
        <f t="shared" si="22"/>
        <v>4724118</v>
      </c>
      <c r="N76" s="398">
        <f t="shared" si="22"/>
        <v>4724118</v>
      </c>
      <c r="P76" s="20"/>
    </row>
    <row r="77" spans="1:16" ht="25.5">
      <c r="A77" s="384">
        <v>44</v>
      </c>
      <c r="B77" s="399" t="s">
        <v>86</v>
      </c>
      <c r="C77" s="395">
        <f>'часть 1'!H537</f>
        <v>4504.3</v>
      </c>
      <c r="D77" s="396">
        <f>'часть 1'!K537</f>
        <v>203</v>
      </c>
      <c r="E77" s="397">
        <v>0</v>
      </c>
      <c r="F77" s="397">
        <v>0</v>
      </c>
      <c r="G77" s="397">
        <v>0</v>
      </c>
      <c r="H77" s="397">
        <v>7</v>
      </c>
      <c r="I77" s="397">
        <f t="shared" si="1"/>
        <v>7</v>
      </c>
      <c r="J77" s="398">
        <v>0</v>
      </c>
      <c r="K77" s="398">
        <v>0</v>
      </c>
      <c r="L77" s="398">
        <v>0</v>
      </c>
      <c r="M77" s="398">
        <f>'часть 1'!L537</f>
        <v>1839043</v>
      </c>
      <c r="N77" s="398">
        <f>M77</f>
        <v>1839043</v>
      </c>
      <c r="P77" s="20"/>
    </row>
    <row r="78" spans="1:16" ht="25.5">
      <c r="A78" s="384">
        <v>45</v>
      </c>
      <c r="B78" s="399" t="s">
        <v>85</v>
      </c>
      <c r="C78" s="395">
        <f>'часть 1'!H545</f>
        <v>22360</v>
      </c>
      <c r="D78" s="396">
        <f>'часть 1'!K545</f>
        <v>676</v>
      </c>
      <c r="E78" s="397">
        <v>0</v>
      </c>
      <c r="F78" s="397">
        <v>0</v>
      </c>
      <c r="G78" s="397">
        <v>0</v>
      </c>
      <c r="H78" s="397">
        <v>35</v>
      </c>
      <c r="I78" s="397">
        <f>H78+G78</f>
        <v>35</v>
      </c>
      <c r="J78" s="398">
        <v>0</v>
      </c>
      <c r="K78" s="398">
        <v>0</v>
      </c>
      <c r="L78" s="398">
        <v>0</v>
      </c>
      <c r="M78" s="398">
        <f>'часть 1'!L545</f>
        <v>2885075</v>
      </c>
      <c r="N78" s="398">
        <f>M78</f>
        <v>2885075</v>
      </c>
      <c r="P78" s="20"/>
    </row>
    <row r="79" spans="1:16">
      <c r="A79" s="178"/>
      <c r="B79" s="218" t="s">
        <v>60</v>
      </c>
      <c r="C79" s="213">
        <f>'часть 1'!H460</f>
        <v>8449.7999999999993</v>
      </c>
      <c r="D79" s="214">
        <f>'часть 1'!K460</f>
        <v>357</v>
      </c>
      <c r="E79" s="216">
        <f t="shared" ref="E79:N79" si="23">E81</f>
        <v>0</v>
      </c>
      <c r="F79" s="216">
        <f t="shared" si="23"/>
        <v>2</v>
      </c>
      <c r="G79" s="216">
        <f t="shared" si="23"/>
        <v>0</v>
      </c>
      <c r="H79" s="216">
        <f t="shared" si="23"/>
        <v>0</v>
      </c>
      <c r="I79" s="216">
        <f>H79+G79+F79+E79</f>
        <v>2</v>
      </c>
      <c r="J79" s="215">
        <f t="shared" si="23"/>
        <v>0</v>
      </c>
      <c r="K79" s="215">
        <f t="shared" si="23"/>
        <v>3666180</v>
      </c>
      <c r="L79" s="215">
        <f t="shared" si="23"/>
        <v>0</v>
      </c>
      <c r="M79" s="215">
        <f t="shared" si="23"/>
        <v>0</v>
      </c>
      <c r="N79" s="215">
        <f t="shared" si="23"/>
        <v>3666180</v>
      </c>
      <c r="P79" s="20"/>
    </row>
    <row r="80" spans="1:16">
      <c r="A80" s="384"/>
      <c r="B80" s="478" t="s">
        <v>208</v>
      </c>
      <c r="C80" s="395">
        <f>'часть 1'!H466</f>
        <v>318.7</v>
      </c>
      <c r="D80" s="396">
        <f>'часть 1'!K466</f>
        <v>14</v>
      </c>
      <c r="E80" s="397">
        <v>0</v>
      </c>
      <c r="F80" s="397">
        <v>0</v>
      </c>
      <c r="G80" s="397">
        <v>0</v>
      </c>
      <c r="H80" s="397">
        <v>1</v>
      </c>
      <c r="I80" s="397">
        <f>H80+G80+F80+E80</f>
        <v>1</v>
      </c>
      <c r="J80" s="398">
        <v>0</v>
      </c>
      <c r="K80" s="398">
        <v>0</v>
      </c>
      <c r="L80" s="398">
        <v>0</v>
      </c>
      <c r="M80" s="398">
        <v>1167102</v>
      </c>
      <c r="N80" s="398">
        <f>M80+L80+K80+J80</f>
        <v>1167102</v>
      </c>
      <c r="P80" s="20"/>
    </row>
    <row r="81" spans="1:16">
      <c r="A81" s="384">
        <v>46</v>
      </c>
      <c r="B81" s="399" t="s">
        <v>61</v>
      </c>
      <c r="C81" s="395">
        <f>'часть 1'!H469</f>
        <v>4625.8</v>
      </c>
      <c r="D81" s="396">
        <f>'часть 1'!K469</f>
        <v>154</v>
      </c>
      <c r="E81" s="397">
        <v>0</v>
      </c>
      <c r="F81" s="397">
        <v>2</v>
      </c>
      <c r="G81" s="397">
        <v>0</v>
      </c>
      <c r="H81" s="397">
        <v>0</v>
      </c>
      <c r="I81" s="397">
        <f>H81+G81+F81+E81</f>
        <v>2</v>
      </c>
      <c r="J81" s="398">
        <v>0</v>
      </c>
      <c r="K81" s="398">
        <v>3666180</v>
      </c>
      <c r="L81" s="398">
        <v>0</v>
      </c>
      <c r="M81" s="398">
        <v>0</v>
      </c>
      <c r="N81" s="398">
        <f>M81+L81+K81+J81</f>
        <v>3666180</v>
      </c>
      <c r="P81" s="20"/>
    </row>
    <row r="82" spans="1:16">
      <c r="A82" s="178"/>
      <c r="B82" s="218" t="s">
        <v>649</v>
      </c>
      <c r="C82" s="213">
        <v>478</v>
      </c>
      <c r="D82" s="214">
        <v>15</v>
      </c>
      <c r="E82" s="216">
        <v>0</v>
      </c>
      <c r="F82" s="216">
        <v>0</v>
      </c>
      <c r="G82" s="216">
        <v>1</v>
      </c>
      <c r="H82" s="216">
        <v>0</v>
      </c>
      <c r="I82" s="216">
        <v>1</v>
      </c>
      <c r="J82" s="215">
        <v>0</v>
      </c>
      <c r="K82" s="215">
        <v>0</v>
      </c>
      <c r="L82" s="215">
        <v>204131</v>
      </c>
      <c r="M82" s="215">
        <v>0</v>
      </c>
      <c r="N82" s="215">
        <v>204131</v>
      </c>
      <c r="P82" s="20"/>
    </row>
    <row r="83" spans="1:16">
      <c r="A83" s="384">
        <v>47</v>
      </c>
      <c r="B83" s="399" t="s">
        <v>62</v>
      </c>
      <c r="C83" s="395">
        <f>'часть 1'!H476</f>
        <v>508.92</v>
      </c>
      <c r="D83" s="396">
        <f>'часть 1'!K476</f>
        <v>16</v>
      </c>
      <c r="E83" s="397">
        <v>0</v>
      </c>
      <c r="F83" s="397">
        <v>0</v>
      </c>
      <c r="G83" s="397">
        <v>1</v>
      </c>
      <c r="H83" s="397">
        <v>0</v>
      </c>
      <c r="I83" s="397">
        <f>H83+G83+F83+E83</f>
        <v>1</v>
      </c>
      <c r="J83" s="398">
        <v>0</v>
      </c>
      <c r="K83" s="398">
        <v>0</v>
      </c>
      <c r="L83" s="398">
        <v>1214790</v>
      </c>
      <c r="M83" s="398">
        <v>0</v>
      </c>
      <c r="N83" s="398">
        <f>J83+K83+L83+M83</f>
        <v>1214790</v>
      </c>
      <c r="P83" s="20"/>
    </row>
    <row r="84" spans="1:16">
      <c r="A84" s="178"/>
      <c r="B84" s="218" t="s">
        <v>211</v>
      </c>
      <c r="C84" s="213">
        <f>'часть 1'!H491</f>
        <v>1095.3</v>
      </c>
      <c r="D84" s="214">
        <f>'часть 1'!K491</f>
        <v>27</v>
      </c>
      <c r="E84" s="216">
        <f>E88</f>
        <v>0</v>
      </c>
      <c r="F84" s="216">
        <f>F88</f>
        <v>0</v>
      </c>
      <c r="G84" s="216">
        <f>G88</f>
        <v>0</v>
      </c>
      <c r="H84" s="214">
        <v>2</v>
      </c>
      <c r="I84" s="216">
        <f>H84+G84+F84+E84</f>
        <v>2</v>
      </c>
      <c r="J84" s="215">
        <f>J88</f>
        <v>0</v>
      </c>
      <c r="K84" s="215">
        <f>K88</f>
        <v>0</v>
      </c>
      <c r="L84" s="215">
        <f>L88</f>
        <v>0</v>
      </c>
      <c r="M84" s="215">
        <f>'часть 1'!L491</f>
        <v>2988909</v>
      </c>
      <c r="N84" s="215">
        <f>M84+L84+K84+J84</f>
        <v>2988909</v>
      </c>
      <c r="P84" s="20"/>
    </row>
    <row r="85" spans="1:16">
      <c r="A85" s="384"/>
      <c r="B85" s="478" t="s">
        <v>63</v>
      </c>
      <c r="C85" s="395">
        <f>'часть 1'!H479</f>
        <v>4999.2</v>
      </c>
      <c r="D85" s="396">
        <f>'часть 1'!K479</f>
        <v>190</v>
      </c>
      <c r="E85" s="397">
        <v>0</v>
      </c>
      <c r="F85" s="397">
        <v>0</v>
      </c>
      <c r="G85" s="397">
        <v>0</v>
      </c>
      <c r="H85" s="396">
        <v>2</v>
      </c>
      <c r="I85" s="397">
        <v>2</v>
      </c>
      <c r="J85" s="398">
        <v>0</v>
      </c>
      <c r="K85" s="398">
        <v>0</v>
      </c>
      <c r="L85" s="398">
        <v>0</v>
      </c>
      <c r="M85" s="398">
        <v>3037109</v>
      </c>
      <c r="N85" s="398">
        <f>M85+L85+K85+J85</f>
        <v>3037109</v>
      </c>
      <c r="P85" s="20"/>
    </row>
    <row r="86" spans="1:16">
      <c r="A86" s="384"/>
      <c r="B86" s="478" t="s">
        <v>663</v>
      </c>
      <c r="C86" s="395">
        <f>C87</f>
        <v>555</v>
      </c>
      <c r="D86" s="395">
        <f t="shared" ref="D86:N86" si="24">D87</f>
        <v>16</v>
      </c>
      <c r="E86" s="395">
        <f t="shared" si="24"/>
        <v>0</v>
      </c>
      <c r="F86" s="395">
        <f t="shared" si="24"/>
        <v>0</v>
      </c>
      <c r="G86" s="395">
        <f t="shared" si="24"/>
        <v>1</v>
      </c>
      <c r="H86" s="395">
        <f t="shared" si="24"/>
        <v>0</v>
      </c>
      <c r="I86" s="395">
        <f t="shared" si="24"/>
        <v>1</v>
      </c>
      <c r="J86" s="395">
        <f t="shared" si="24"/>
        <v>0</v>
      </c>
      <c r="K86" s="395">
        <f t="shared" si="24"/>
        <v>0</v>
      </c>
      <c r="L86" s="395">
        <f t="shared" si="24"/>
        <v>1402598</v>
      </c>
      <c r="M86" s="395">
        <f t="shared" si="24"/>
        <v>0</v>
      </c>
      <c r="N86" s="395">
        <f t="shared" si="24"/>
        <v>1402598</v>
      </c>
      <c r="P86" s="20"/>
    </row>
    <row r="87" spans="1:16" ht="25.5">
      <c r="A87" s="384"/>
      <c r="B87" s="399" t="s">
        <v>667</v>
      </c>
      <c r="C87" s="395">
        <f>'часть 1'!H484</f>
        <v>555</v>
      </c>
      <c r="D87" s="396">
        <f>'часть 1'!K484</f>
        <v>16</v>
      </c>
      <c r="E87" s="397">
        <v>0</v>
      </c>
      <c r="F87" s="397">
        <v>0</v>
      </c>
      <c r="G87" s="397">
        <v>1</v>
      </c>
      <c r="H87" s="396">
        <v>0</v>
      </c>
      <c r="I87" s="397">
        <v>1</v>
      </c>
      <c r="J87" s="398">
        <v>0</v>
      </c>
      <c r="K87" s="398">
        <v>0</v>
      </c>
      <c r="L87" s="398">
        <v>1402598</v>
      </c>
      <c r="M87" s="398">
        <v>0</v>
      </c>
      <c r="N87" s="398">
        <v>1402598</v>
      </c>
      <c r="P87" s="20"/>
    </row>
    <row r="88" spans="1:16" ht="20.45" customHeight="1">
      <c r="A88" s="178"/>
      <c r="B88" s="217" t="s">
        <v>64</v>
      </c>
      <c r="C88" s="213">
        <f>C89</f>
        <v>1306.5</v>
      </c>
      <c r="D88" s="213">
        <f t="shared" ref="D88:N88" si="25">D89</f>
        <v>49</v>
      </c>
      <c r="E88" s="213">
        <f t="shared" si="25"/>
        <v>0</v>
      </c>
      <c r="F88" s="213">
        <f t="shared" si="25"/>
        <v>0</v>
      </c>
      <c r="G88" s="213">
        <f t="shared" si="25"/>
        <v>0</v>
      </c>
      <c r="H88" s="213">
        <f t="shared" si="25"/>
        <v>4</v>
      </c>
      <c r="I88" s="213">
        <f t="shared" si="25"/>
        <v>4</v>
      </c>
      <c r="J88" s="215">
        <f t="shared" si="25"/>
        <v>0</v>
      </c>
      <c r="K88" s="215">
        <f t="shared" si="25"/>
        <v>0</v>
      </c>
      <c r="L88" s="215">
        <f t="shared" si="25"/>
        <v>0</v>
      </c>
      <c r="M88" s="215">
        <f t="shared" si="25"/>
        <v>5743338</v>
      </c>
      <c r="N88" s="215">
        <f t="shared" si="25"/>
        <v>5743338</v>
      </c>
      <c r="P88" s="20"/>
    </row>
    <row r="89" spans="1:16" ht="27" customHeight="1">
      <c r="A89" s="384">
        <v>49</v>
      </c>
      <c r="B89" s="399" t="s">
        <v>115</v>
      </c>
      <c r="C89" s="395">
        <f>'часть 1'!H486</f>
        <v>1306.5</v>
      </c>
      <c r="D89" s="396">
        <f>'часть 1'!K486</f>
        <v>49</v>
      </c>
      <c r="E89" s="397">
        <v>0</v>
      </c>
      <c r="F89" s="397">
        <v>0</v>
      </c>
      <c r="G89" s="397">
        <v>0</v>
      </c>
      <c r="H89" s="397">
        <v>4</v>
      </c>
      <c r="I89" s="397">
        <f>H89+G89</f>
        <v>4</v>
      </c>
      <c r="J89" s="398">
        <v>0</v>
      </c>
      <c r="K89" s="398">
        <v>0</v>
      </c>
      <c r="L89" s="398">
        <v>0</v>
      </c>
      <c r="M89" s="398">
        <f>'часть 2'!C527</f>
        <v>5743338</v>
      </c>
      <c r="N89" s="398">
        <f>M89</f>
        <v>5743338</v>
      </c>
      <c r="P89" s="20"/>
    </row>
    <row r="90" spans="1:16">
      <c r="A90" s="178"/>
      <c r="B90" s="218" t="s">
        <v>66</v>
      </c>
      <c r="C90" s="213">
        <f>C92+C91</f>
        <v>2315.6</v>
      </c>
      <c r="D90" s="213">
        <f t="shared" ref="D90:N90" si="26">D92+D91</f>
        <v>65</v>
      </c>
      <c r="E90" s="213">
        <f t="shared" si="26"/>
        <v>0</v>
      </c>
      <c r="F90" s="213">
        <f t="shared" si="26"/>
        <v>0</v>
      </c>
      <c r="G90" s="213">
        <f t="shared" si="26"/>
        <v>0</v>
      </c>
      <c r="H90" s="213">
        <f t="shared" si="26"/>
        <v>4</v>
      </c>
      <c r="I90" s="213">
        <f t="shared" si="26"/>
        <v>4</v>
      </c>
      <c r="J90" s="215">
        <f t="shared" si="26"/>
        <v>0</v>
      </c>
      <c r="K90" s="215">
        <f t="shared" si="26"/>
        <v>0</v>
      </c>
      <c r="L90" s="215">
        <f t="shared" si="26"/>
        <v>0</v>
      </c>
      <c r="M90" s="215">
        <f t="shared" si="26"/>
        <v>4692143</v>
      </c>
      <c r="N90" s="215">
        <f t="shared" si="26"/>
        <v>4692143</v>
      </c>
      <c r="P90" s="20"/>
    </row>
    <row r="91" spans="1:16" ht="25.5">
      <c r="A91" s="384"/>
      <c r="B91" s="399" t="s">
        <v>641</v>
      </c>
      <c r="C91" s="395">
        <f>'часть 1'!H497</f>
        <v>675.9</v>
      </c>
      <c r="D91" s="395">
        <f>'часть 1'!K497</f>
        <v>21</v>
      </c>
      <c r="E91" s="395">
        <v>0</v>
      </c>
      <c r="F91" s="395">
        <v>0</v>
      </c>
      <c r="G91" s="395">
        <v>0</v>
      </c>
      <c r="H91" s="395">
        <v>1</v>
      </c>
      <c r="I91" s="395">
        <f>H91+G91+F91+E91</f>
        <v>1</v>
      </c>
      <c r="J91" s="398">
        <v>0</v>
      </c>
      <c r="K91" s="398">
        <v>0</v>
      </c>
      <c r="L91" s="398">
        <v>0</v>
      </c>
      <c r="M91" s="398">
        <v>346938</v>
      </c>
      <c r="N91" s="398">
        <v>346938</v>
      </c>
      <c r="P91" s="20"/>
    </row>
    <row r="92" spans="1:16" ht="25.5">
      <c r="A92" s="384"/>
      <c r="B92" s="399" t="s">
        <v>114</v>
      </c>
      <c r="C92" s="395">
        <v>1639.7</v>
      </c>
      <c r="D92" s="396">
        <v>44</v>
      </c>
      <c r="E92" s="397">
        <v>0</v>
      </c>
      <c r="F92" s="397">
        <v>0</v>
      </c>
      <c r="G92" s="397">
        <v>0</v>
      </c>
      <c r="H92" s="397">
        <v>3</v>
      </c>
      <c r="I92" s="397">
        <f>H92+G92</f>
        <v>3</v>
      </c>
      <c r="J92" s="398">
        <v>0</v>
      </c>
      <c r="K92" s="398">
        <v>0</v>
      </c>
      <c r="L92" s="398">
        <v>0</v>
      </c>
      <c r="M92" s="398">
        <v>4345205</v>
      </c>
      <c r="N92" s="398">
        <f>M92</f>
        <v>4345205</v>
      </c>
      <c r="P92" s="20"/>
    </row>
    <row r="93" spans="1:16">
      <c r="A93" s="384"/>
      <c r="B93" s="399"/>
      <c r="C93" s="395"/>
      <c r="D93" s="396"/>
      <c r="E93" s="396"/>
      <c r="F93" s="396"/>
      <c r="G93" s="396"/>
      <c r="H93" s="396"/>
      <c r="I93" s="397"/>
      <c r="J93" s="398"/>
      <c r="K93" s="398"/>
      <c r="L93" s="398"/>
      <c r="M93" s="398"/>
      <c r="N93" s="398"/>
      <c r="P93" s="20"/>
    </row>
    <row r="94" spans="1:16">
      <c r="A94" s="216"/>
      <c r="B94" s="221"/>
      <c r="C94" s="213"/>
      <c r="D94" s="214"/>
      <c r="E94" s="216"/>
      <c r="F94" s="216"/>
      <c r="G94" s="216"/>
      <c r="H94" s="216"/>
      <c r="I94" s="216"/>
      <c r="J94" s="215"/>
      <c r="K94" s="215"/>
      <c r="L94" s="215"/>
      <c r="M94" s="215"/>
      <c r="N94" s="215"/>
      <c r="P94" s="20"/>
    </row>
    <row r="95" spans="1:16" ht="27" customHeight="1">
      <c r="A95" s="178"/>
      <c r="B95" s="220"/>
      <c r="C95" s="213"/>
      <c r="D95" s="214"/>
      <c r="E95" s="216"/>
      <c r="F95" s="216"/>
      <c r="G95" s="216"/>
      <c r="H95" s="216"/>
      <c r="I95" s="216"/>
      <c r="J95" s="215"/>
      <c r="K95" s="215"/>
      <c r="L95" s="215"/>
      <c r="M95" s="215"/>
      <c r="N95" s="215"/>
      <c r="P95" s="20"/>
    </row>
    <row r="96" spans="1:16">
      <c r="A96" s="178"/>
      <c r="B96" s="217"/>
      <c r="C96" s="213"/>
      <c r="D96" s="214"/>
      <c r="E96" s="216"/>
      <c r="F96" s="216"/>
      <c r="G96" s="216"/>
      <c r="H96" s="216"/>
      <c r="I96" s="216"/>
      <c r="J96" s="215"/>
      <c r="K96" s="215"/>
      <c r="L96" s="215"/>
      <c r="M96" s="215"/>
      <c r="N96" s="215"/>
      <c r="P96" s="20"/>
    </row>
    <row r="97" spans="1:16" ht="29.25" customHeight="1">
      <c r="A97" s="178">
        <f>A95+1</f>
        <v>1</v>
      </c>
      <c r="B97" s="217" t="s">
        <v>212</v>
      </c>
      <c r="C97" s="213">
        <f>'часть 1'!H492</f>
        <v>494.8</v>
      </c>
      <c r="D97" s="214">
        <f>'часть 1'!K492</f>
        <v>12</v>
      </c>
      <c r="E97" s="216">
        <v>0</v>
      </c>
      <c r="F97" s="216">
        <v>0</v>
      </c>
      <c r="G97" s="216">
        <v>0</v>
      </c>
      <c r="H97" s="216">
        <v>1</v>
      </c>
      <c r="I97" s="216">
        <f>H97+G97</f>
        <v>1</v>
      </c>
      <c r="J97" s="215">
        <v>0</v>
      </c>
      <c r="K97" s="215">
        <v>0</v>
      </c>
      <c r="L97" s="215">
        <v>0</v>
      </c>
      <c r="M97" s="215">
        <f>'часть 2'!C533</f>
        <v>1537679</v>
      </c>
      <c r="N97" s="215">
        <f>M97</f>
        <v>1537679</v>
      </c>
      <c r="P97" s="20"/>
    </row>
    <row r="98" spans="1:16" ht="27" customHeight="1">
      <c r="A98" s="178">
        <v>54</v>
      </c>
      <c r="B98" s="217" t="s">
        <v>213</v>
      </c>
      <c r="C98" s="213">
        <f>'часть 1'!H494</f>
        <v>600.5</v>
      </c>
      <c r="D98" s="214">
        <f>'часть 1'!K494</f>
        <v>15</v>
      </c>
      <c r="E98" s="216">
        <v>0</v>
      </c>
      <c r="F98" s="216">
        <v>0</v>
      </c>
      <c r="G98" s="216">
        <v>0</v>
      </c>
      <c r="H98" s="216">
        <v>1</v>
      </c>
      <c r="I98" s="216">
        <f>H98+G98</f>
        <v>1</v>
      </c>
      <c r="J98" s="215">
        <v>0</v>
      </c>
      <c r="K98" s="215">
        <v>0</v>
      </c>
      <c r="L98" s="215">
        <v>0</v>
      </c>
      <c r="M98" s="215">
        <f>'часть 2'!C535</f>
        <v>1451230</v>
      </c>
      <c r="N98" s="215">
        <f>M98</f>
        <v>1451230</v>
      </c>
      <c r="P98" s="20"/>
    </row>
    <row r="99" spans="1:16">
      <c r="A99" s="178"/>
      <c r="B99" s="218"/>
      <c r="C99" s="213"/>
      <c r="D99" s="214"/>
      <c r="E99" s="216"/>
      <c r="F99" s="216"/>
      <c r="G99" s="216"/>
      <c r="H99" s="216"/>
      <c r="I99" s="216"/>
      <c r="J99" s="215"/>
      <c r="K99" s="215"/>
      <c r="L99" s="215"/>
      <c r="M99" s="215"/>
      <c r="N99" s="215"/>
      <c r="P99" s="20"/>
    </row>
    <row r="100" spans="1:16">
      <c r="A100" s="384"/>
      <c r="B100" s="399"/>
      <c r="C100" s="395"/>
      <c r="D100" s="396"/>
      <c r="E100" s="397"/>
      <c r="F100" s="397"/>
      <c r="G100" s="397"/>
      <c r="H100" s="397"/>
      <c r="I100" s="397"/>
      <c r="J100" s="398"/>
      <c r="K100" s="398"/>
      <c r="L100" s="398"/>
      <c r="M100" s="398"/>
      <c r="N100" s="398"/>
      <c r="P100" s="20"/>
    </row>
    <row r="101" spans="1:16">
      <c r="A101" s="384">
        <v>56</v>
      </c>
      <c r="B101" s="399" t="s">
        <v>207</v>
      </c>
      <c r="C101" s="395">
        <f>'часть 1'!H503</f>
        <v>59226.13</v>
      </c>
      <c r="D101" s="396">
        <f>'часть 1'!K503</f>
        <v>2200</v>
      </c>
      <c r="E101" s="396">
        <v>0</v>
      </c>
      <c r="F101" s="396">
        <v>0</v>
      </c>
      <c r="G101" s="396">
        <v>0</v>
      </c>
      <c r="H101" s="396">
        <v>7</v>
      </c>
      <c r="I101" s="397">
        <f>H101+G101</f>
        <v>7</v>
      </c>
      <c r="J101" s="398">
        <v>0</v>
      </c>
      <c r="K101" s="398">
        <v>0</v>
      </c>
      <c r="L101" s="398">
        <v>0</v>
      </c>
      <c r="M101" s="398">
        <f>'часть 1'!L503</f>
        <v>21667282</v>
      </c>
      <c r="N101" s="398">
        <f>M101</f>
        <v>21667282</v>
      </c>
      <c r="P101" s="20"/>
    </row>
    <row r="102" spans="1:16">
      <c r="A102" s="216"/>
      <c r="B102" s="221" t="s">
        <v>67</v>
      </c>
      <c r="C102" s="213">
        <f>'часть 1'!H515</f>
        <v>4794.6000000000004</v>
      </c>
      <c r="D102" s="214">
        <f>'часть 1'!K515</f>
        <v>162</v>
      </c>
      <c r="E102" s="216">
        <v>0</v>
      </c>
      <c r="F102" s="216">
        <v>0</v>
      </c>
      <c r="G102" s="216">
        <f>G103</f>
        <v>1</v>
      </c>
      <c r="H102" s="216">
        <f>H103+H104</f>
        <v>1</v>
      </c>
      <c r="I102" s="216">
        <f>H102+G102</f>
        <v>2</v>
      </c>
      <c r="J102" s="215">
        <v>0</v>
      </c>
      <c r="K102" s="215">
        <v>0</v>
      </c>
      <c r="L102" s="215">
        <f>L103</f>
        <v>728197.07</v>
      </c>
      <c r="M102" s="215">
        <f>M103+M104</f>
        <v>2131086</v>
      </c>
      <c r="N102" s="215">
        <f>N103+N104</f>
        <v>2859283.07</v>
      </c>
      <c r="P102" s="20"/>
    </row>
    <row r="103" spans="1:16" ht="27" customHeight="1">
      <c r="A103" s="178">
        <v>57</v>
      </c>
      <c r="B103" s="220" t="s">
        <v>90</v>
      </c>
      <c r="C103" s="213">
        <f>'часть 1'!H516</f>
        <v>1507.8</v>
      </c>
      <c r="D103" s="214">
        <f>'часть 1'!K516</f>
        <v>62</v>
      </c>
      <c r="E103" s="216">
        <v>0</v>
      </c>
      <c r="F103" s="216">
        <v>0</v>
      </c>
      <c r="G103" s="216">
        <v>1</v>
      </c>
      <c r="H103" s="216">
        <v>0</v>
      </c>
      <c r="I103" s="216">
        <f>H103+G103</f>
        <v>1</v>
      </c>
      <c r="J103" s="215">
        <v>0</v>
      </c>
      <c r="K103" s="215">
        <v>0</v>
      </c>
      <c r="L103" s="215">
        <f>'часть 1'!L516</f>
        <v>728197.07</v>
      </c>
      <c r="M103" s="215">
        <v>0</v>
      </c>
      <c r="N103" s="215">
        <f>L103</f>
        <v>728197.07</v>
      </c>
      <c r="P103" s="20"/>
    </row>
    <row r="104" spans="1:16" ht="25.5">
      <c r="A104" s="384">
        <v>58</v>
      </c>
      <c r="B104" s="399" t="s">
        <v>127</v>
      </c>
      <c r="C104" s="395">
        <f>'часть 1'!H518</f>
        <v>3286.8</v>
      </c>
      <c r="D104" s="396">
        <f>'часть 1'!K518</f>
        <v>100</v>
      </c>
      <c r="E104" s="397">
        <v>0</v>
      </c>
      <c r="F104" s="397">
        <v>0</v>
      </c>
      <c r="G104" s="397">
        <v>0</v>
      </c>
      <c r="H104" s="397">
        <v>1</v>
      </c>
      <c r="I104" s="397">
        <f>H104+G104</f>
        <v>1</v>
      </c>
      <c r="J104" s="398">
        <v>0</v>
      </c>
      <c r="K104" s="398">
        <v>0</v>
      </c>
      <c r="L104" s="398">
        <v>0</v>
      </c>
      <c r="M104" s="398">
        <f>'часть 1'!L518</f>
        <v>2131086</v>
      </c>
      <c r="N104" s="398">
        <f t="shared" ref="N104:N110" si="27">M104</f>
        <v>2131086</v>
      </c>
      <c r="P104" s="20"/>
    </row>
    <row r="105" spans="1:16" ht="15.75" customHeight="1">
      <c r="A105" s="464">
        <v>1</v>
      </c>
      <c r="B105" s="465" t="s">
        <v>89</v>
      </c>
      <c r="C105" s="466">
        <f>'часть 1'!H106</f>
        <v>0</v>
      </c>
      <c r="D105" s="467">
        <f>'часть 1'!K106</f>
        <v>0</v>
      </c>
      <c r="E105" s="468">
        <v>0</v>
      </c>
      <c r="F105" s="468">
        <v>0</v>
      </c>
      <c r="G105" s="468">
        <v>0</v>
      </c>
      <c r="H105" s="468">
        <v>168</v>
      </c>
      <c r="I105" s="468">
        <f>H105+G105</f>
        <v>168</v>
      </c>
      <c r="J105" s="469">
        <v>0</v>
      </c>
      <c r="K105" s="469">
        <v>0</v>
      </c>
      <c r="L105" s="469">
        <v>0</v>
      </c>
      <c r="M105" s="469">
        <f>'часть 1'!L106</f>
        <v>1116228</v>
      </c>
      <c r="N105" s="469">
        <f t="shared" si="27"/>
        <v>1116228</v>
      </c>
      <c r="O105" s="20"/>
      <c r="P105" s="20"/>
    </row>
    <row r="106" spans="1:16" ht="26.25" customHeight="1">
      <c r="A106" s="158">
        <v>2</v>
      </c>
      <c r="B106" s="212" t="s">
        <v>91</v>
      </c>
      <c r="C106" s="213">
        <f>'часть 1'!H753</f>
        <v>11522.799999999997</v>
      </c>
      <c r="D106" s="214">
        <f>'часть 1'!K753</f>
        <v>365</v>
      </c>
      <c r="E106" s="216">
        <v>0</v>
      </c>
      <c r="F106" s="216">
        <v>0</v>
      </c>
      <c r="G106" s="216">
        <v>0</v>
      </c>
      <c r="H106" s="216">
        <v>13</v>
      </c>
      <c r="I106" s="216">
        <f t="shared" ref="I106:I171" si="28">H106+G106</f>
        <v>13</v>
      </c>
      <c r="J106" s="215">
        <v>0</v>
      </c>
      <c r="K106" s="215">
        <v>0</v>
      </c>
      <c r="L106" s="215">
        <v>0</v>
      </c>
      <c r="M106" s="215">
        <f>'часть 1'!L753</f>
        <v>21022265</v>
      </c>
      <c r="N106" s="215">
        <f t="shared" si="27"/>
        <v>21022265</v>
      </c>
      <c r="O106" s="20"/>
      <c r="P106" s="20"/>
    </row>
    <row r="107" spans="1:16" ht="15.75" customHeight="1">
      <c r="A107" s="464">
        <v>3</v>
      </c>
      <c r="B107" s="465" t="s">
        <v>92</v>
      </c>
      <c r="C107" s="466">
        <v>929.5</v>
      </c>
      <c r="D107" s="467">
        <v>43</v>
      </c>
      <c r="E107" s="468">
        <v>0</v>
      </c>
      <c r="F107" s="468">
        <v>0</v>
      </c>
      <c r="G107" s="468">
        <v>0</v>
      </c>
      <c r="H107" s="468">
        <v>2</v>
      </c>
      <c r="I107" s="468">
        <f t="shared" si="28"/>
        <v>2</v>
      </c>
      <c r="J107" s="469">
        <v>0</v>
      </c>
      <c r="K107" s="469">
        <v>0</v>
      </c>
      <c r="L107" s="469">
        <v>0</v>
      </c>
      <c r="M107" s="469">
        <v>1681461</v>
      </c>
      <c r="N107" s="469">
        <f t="shared" si="27"/>
        <v>1681461</v>
      </c>
      <c r="P107" s="20"/>
    </row>
    <row r="108" spans="1:16" ht="15.75" customHeight="1">
      <c r="A108" s="464">
        <v>4</v>
      </c>
      <c r="B108" s="465" t="s">
        <v>93</v>
      </c>
      <c r="C108" s="466">
        <f>'часть 1'!H770</f>
        <v>4540.7999999999993</v>
      </c>
      <c r="D108" s="467">
        <f>'часть 1'!K770</f>
        <v>151</v>
      </c>
      <c r="E108" s="468">
        <v>0</v>
      </c>
      <c r="F108" s="468">
        <v>0</v>
      </c>
      <c r="G108" s="468">
        <v>0</v>
      </c>
      <c r="H108" s="468">
        <v>2</v>
      </c>
      <c r="I108" s="468">
        <f t="shared" si="28"/>
        <v>2</v>
      </c>
      <c r="J108" s="469">
        <v>0</v>
      </c>
      <c r="K108" s="469">
        <v>0</v>
      </c>
      <c r="L108" s="469">
        <v>0</v>
      </c>
      <c r="M108" s="624">
        <f>'часть 1'!L770</f>
        <v>4013524</v>
      </c>
      <c r="N108" s="469">
        <f t="shared" si="27"/>
        <v>4013524</v>
      </c>
      <c r="P108" s="20"/>
    </row>
    <row r="109" spans="1:16" ht="16.5" customHeight="1">
      <c r="A109" s="464">
        <v>5</v>
      </c>
      <c r="B109" s="471" t="s">
        <v>94</v>
      </c>
      <c r="C109" s="466">
        <f>'часть 1'!H796</f>
        <v>13237.699999999999</v>
      </c>
      <c r="D109" s="467">
        <f>'часть 1'!K796</f>
        <v>482</v>
      </c>
      <c r="E109" s="468">
        <v>0</v>
      </c>
      <c r="F109" s="468">
        <v>0</v>
      </c>
      <c r="G109" s="468">
        <v>0</v>
      </c>
      <c r="H109" s="468">
        <v>9</v>
      </c>
      <c r="I109" s="468">
        <f t="shared" si="28"/>
        <v>9</v>
      </c>
      <c r="J109" s="469">
        <v>0</v>
      </c>
      <c r="K109" s="469">
        <v>0</v>
      </c>
      <c r="L109" s="469">
        <v>0</v>
      </c>
      <c r="M109" s="469">
        <f>'часть 1'!L796</f>
        <v>17682419</v>
      </c>
      <c r="N109" s="469">
        <f t="shared" si="27"/>
        <v>17682419</v>
      </c>
      <c r="O109" s="20"/>
      <c r="P109" s="20"/>
    </row>
    <row r="110" spans="1:16">
      <c r="A110" s="464">
        <v>6</v>
      </c>
      <c r="B110" s="745" t="s">
        <v>123</v>
      </c>
      <c r="C110" s="746">
        <f>'часть 1'!H809</f>
        <v>26975.9</v>
      </c>
      <c r="D110" s="747">
        <f>'часть 1'!K809</f>
        <v>1039</v>
      </c>
      <c r="E110" s="778">
        <v>0</v>
      </c>
      <c r="F110" s="778">
        <v>0</v>
      </c>
      <c r="G110" s="778">
        <v>0</v>
      </c>
      <c r="H110" s="464">
        <v>5</v>
      </c>
      <c r="I110" s="468">
        <f t="shared" si="28"/>
        <v>5</v>
      </c>
      <c r="J110" s="748">
        <v>0</v>
      </c>
      <c r="K110" s="748">
        <v>0</v>
      </c>
      <c r="L110" s="748">
        <v>0</v>
      </c>
      <c r="M110" s="748">
        <f>'часть 1'!L809</f>
        <v>12904489</v>
      </c>
      <c r="N110" s="748">
        <f t="shared" si="27"/>
        <v>12904489</v>
      </c>
      <c r="P110" s="20"/>
    </row>
    <row r="111" spans="1:16">
      <c r="A111" s="464"/>
      <c r="B111" s="745" t="s">
        <v>864</v>
      </c>
      <c r="C111" s="746">
        <f>'часть 1'!H822</f>
        <v>5260.1</v>
      </c>
      <c r="D111" s="747">
        <f>'часть 1'!K822</f>
        <v>160</v>
      </c>
      <c r="E111" s="778">
        <v>0</v>
      </c>
      <c r="F111" s="778">
        <v>1</v>
      </c>
      <c r="G111" s="778">
        <v>1</v>
      </c>
      <c r="H111" s="464">
        <v>0</v>
      </c>
      <c r="I111" s="468">
        <f>H111+G111+F111+E111</f>
        <v>2</v>
      </c>
      <c r="J111" s="748">
        <v>0</v>
      </c>
      <c r="K111" s="748">
        <v>1146524</v>
      </c>
      <c r="L111" s="748">
        <v>2505179</v>
      </c>
      <c r="M111" s="748">
        <v>0</v>
      </c>
      <c r="N111" s="748">
        <f>M111+L111+K111+J111</f>
        <v>3651703</v>
      </c>
      <c r="P111" s="20"/>
    </row>
    <row r="112" spans="1:16">
      <c r="A112" s="744"/>
      <c r="B112" s="745" t="s">
        <v>72</v>
      </c>
      <c r="C112" s="746">
        <f>C113</f>
        <v>3267.2000000000003</v>
      </c>
      <c r="D112" s="747">
        <f t="shared" ref="D112:N112" si="29">D113</f>
        <v>71</v>
      </c>
      <c r="E112" s="747">
        <f t="shared" si="29"/>
        <v>0</v>
      </c>
      <c r="F112" s="747">
        <f t="shared" si="29"/>
        <v>0</v>
      </c>
      <c r="G112" s="747">
        <f t="shared" si="29"/>
        <v>0</v>
      </c>
      <c r="H112" s="747">
        <f t="shared" si="29"/>
        <v>2</v>
      </c>
      <c r="I112" s="747">
        <f t="shared" si="29"/>
        <v>2</v>
      </c>
      <c r="J112" s="748">
        <f t="shared" si="29"/>
        <v>0</v>
      </c>
      <c r="K112" s="748">
        <f t="shared" si="29"/>
        <v>0</v>
      </c>
      <c r="L112" s="748">
        <f t="shared" si="29"/>
        <v>0</v>
      </c>
      <c r="M112" s="748">
        <f t="shared" si="29"/>
        <v>4218095</v>
      </c>
      <c r="N112" s="748">
        <f t="shared" si="29"/>
        <v>4218095</v>
      </c>
      <c r="P112" s="20"/>
    </row>
    <row r="113" spans="1:16" ht="25.5">
      <c r="A113" s="744">
        <v>7</v>
      </c>
      <c r="B113" s="745" t="s">
        <v>95</v>
      </c>
      <c r="C113" s="746">
        <f>'часть 1'!H826</f>
        <v>3267.2000000000003</v>
      </c>
      <c r="D113" s="747">
        <f>'часть 1'!K826</f>
        <v>71</v>
      </c>
      <c r="E113" s="468">
        <v>0</v>
      </c>
      <c r="F113" s="468">
        <v>0</v>
      </c>
      <c r="G113" s="468">
        <v>0</v>
      </c>
      <c r="H113" s="464">
        <v>2</v>
      </c>
      <c r="I113" s="468">
        <f t="shared" si="28"/>
        <v>2</v>
      </c>
      <c r="J113" s="748">
        <v>0</v>
      </c>
      <c r="K113" s="748">
        <v>0</v>
      </c>
      <c r="L113" s="748">
        <v>0</v>
      </c>
      <c r="M113" s="748">
        <f>'часть 1'!L826</f>
        <v>4218095</v>
      </c>
      <c r="N113" s="748">
        <f>M113</f>
        <v>4218095</v>
      </c>
      <c r="P113" s="20"/>
    </row>
    <row r="114" spans="1:16">
      <c r="A114" s="216"/>
      <c r="B114" s="212" t="s">
        <v>41</v>
      </c>
      <c r="C114" s="213">
        <f>C115</f>
        <v>4403.5</v>
      </c>
      <c r="D114" s="213">
        <f t="shared" ref="D114:N114" si="30">D115</f>
        <v>191</v>
      </c>
      <c r="E114" s="213">
        <f t="shared" si="30"/>
        <v>0</v>
      </c>
      <c r="F114" s="213">
        <f t="shared" si="30"/>
        <v>0</v>
      </c>
      <c r="G114" s="213">
        <f t="shared" si="30"/>
        <v>0</v>
      </c>
      <c r="H114" s="213">
        <f t="shared" si="30"/>
        <v>5</v>
      </c>
      <c r="I114" s="213">
        <f t="shared" si="30"/>
        <v>5</v>
      </c>
      <c r="J114" s="213">
        <f t="shared" si="30"/>
        <v>0</v>
      </c>
      <c r="K114" s="213">
        <f t="shared" si="30"/>
        <v>0</v>
      </c>
      <c r="L114" s="213">
        <f t="shared" si="30"/>
        <v>0</v>
      </c>
      <c r="M114" s="213">
        <f t="shared" si="30"/>
        <v>9289441</v>
      </c>
      <c r="N114" s="213">
        <f t="shared" si="30"/>
        <v>9289441</v>
      </c>
      <c r="P114" s="20"/>
    </row>
    <row r="115" spans="1:16" ht="25.5">
      <c r="A115" s="468">
        <v>8</v>
      </c>
      <c r="B115" s="465" t="s">
        <v>96</v>
      </c>
      <c r="C115" s="466">
        <f>'часть 1'!H835</f>
        <v>4403.5</v>
      </c>
      <c r="D115" s="467">
        <f>'часть 1'!K835</f>
        <v>191</v>
      </c>
      <c r="E115" s="468">
        <v>0</v>
      </c>
      <c r="F115" s="468">
        <v>0</v>
      </c>
      <c r="G115" s="468">
        <v>0</v>
      </c>
      <c r="H115" s="468">
        <v>5</v>
      </c>
      <c r="I115" s="468">
        <f t="shared" si="28"/>
        <v>5</v>
      </c>
      <c r="J115" s="469">
        <v>0</v>
      </c>
      <c r="K115" s="469">
        <v>0</v>
      </c>
      <c r="L115" s="469">
        <v>0</v>
      </c>
      <c r="M115" s="469">
        <f>'часть 1'!L835</f>
        <v>9289441</v>
      </c>
      <c r="N115" s="469">
        <f>M115</f>
        <v>9289441</v>
      </c>
      <c r="P115" s="20"/>
    </row>
    <row r="116" spans="1:16">
      <c r="A116" s="216"/>
      <c r="B116" s="212" t="s">
        <v>68</v>
      </c>
      <c r="C116" s="213">
        <f>C117</f>
        <v>285.2</v>
      </c>
      <c r="D116" s="214">
        <f t="shared" ref="D116:N116" si="31">D117</f>
        <v>13</v>
      </c>
      <c r="E116" s="216">
        <f t="shared" si="31"/>
        <v>0</v>
      </c>
      <c r="F116" s="216">
        <f t="shared" si="31"/>
        <v>0</v>
      </c>
      <c r="G116" s="216">
        <f t="shared" si="31"/>
        <v>0</v>
      </c>
      <c r="H116" s="216" t="e">
        <f>'часть 2'!#REF!</f>
        <v>#REF!</v>
      </c>
      <c r="I116" s="216" t="e">
        <f t="shared" si="28"/>
        <v>#REF!</v>
      </c>
      <c r="J116" s="215">
        <f t="shared" si="31"/>
        <v>0</v>
      </c>
      <c r="K116" s="215">
        <f t="shared" si="31"/>
        <v>0</v>
      </c>
      <c r="L116" s="215">
        <f t="shared" si="31"/>
        <v>0</v>
      </c>
      <c r="M116" s="215">
        <f>'часть 1'!L368</f>
        <v>1551693</v>
      </c>
      <c r="N116" s="215">
        <f t="shared" si="31"/>
        <v>443001</v>
      </c>
      <c r="P116" s="20"/>
    </row>
    <row r="117" spans="1:16" ht="25.5">
      <c r="A117" s="468">
        <v>9</v>
      </c>
      <c r="B117" s="465" t="s">
        <v>97</v>
      </c>
      <c r="C117" s="466">
        <f>'часть 1'!H843</f>
        <v>285.2</v>
      </c>
      <c r="D117" s="467">
        <f>'часть 1'!K843</f>
        <v>13</v>
      </c>
      <c r="E117" s="468">
        <v>0</v>
      </c>
      <c r="F117" s="468">
        <v>0</v>
      </c>
      <c r="G117" s="468">
        <v>0</v>
      </c>
      <c r="H117" s="468">
        <v>1</v>
      </c>
      <c r="I117" s="468">
        <f t="shared" si="28"/>
        <v>1</v>
      </c>
      <c r="J117" s="469">
        <v>0</v>
      </c>
      <c r="K117" s="469">
        <v>0</v>
      </c>
      <c r="L117" s="469">
        <v>0</v>
      </c>
      <c r="M117" s="469">
        <f>'часть 1'!L842</f>
        <v>443001</v>
      </c>
      <c r="N117" s="469">
        <f>M117</f>
        <v>443001</v>
      </c>
      <c r="P117" s="20"/>
    </row>
    <row r="118" spans="1:16" s="15" customFormat="1">
      <c r="A118" s="218"/>
      <c r="B118" s="218" t="s">
        <v>43</v>
      </c>
      <c r="C118" s="213">
        <f t="shared" ref="C118:H118" si="32">C119+C120</f>
        <v>105310.90000000001</v>
      </c>
      <c r="D118" s="219">
        <f t="shared" si="32"/>
        <v>3133</v>
      </c>
      <c r="E118" s="216">
        <f t="shared" si="32"/>
        <v>0</v>
      </c>
      <c r="F118" s="216">
        <f t="shared" si="32"/>
        <v>0</v>
      </c>
      <c r="G118" s="216">
        <f t="shared" si="32"/>
        <v>0</v>
      </c>
      <c r="H118" s="216" t="e">
        <f t="shared" si="32"/>
        <v>#REF!</v>
      </c>
      <c r="I118" s="216" t="e">
        <f t="shared" si="28"/>
        <v>#REF!</v>
      </c>
      <c r="J118" s="215">
        <f>J119+J120</f>
        <v>0</v>
      </c>
      <c r="K118" s="215">
        <f>K119+K120</f>
        <v>0</v>
      </c>
      <c r="L118" s="215">
        <f>L119+L120</f>
        <v>0</v>
      </c>
      <c r="M118" s="215">
        <f>M119+M120</f>
        <v>58030999.920000002</v>
      </c>
      <c r="N118" s="215">
        <f>N119+N120</f>
        <v>58030999.920000002</v>
      </c>
      <c r="O118" s="67"/>
      <c r="P118" s="20"/>
    </row>
    <row r="119" spans="1:16" s="15" customFormat="1" ht="25.5">
      <c r="A119" s="216">
        <v>10</v>
      </c>
      <c r="B119" s="217" t="s">
        <v>125</v>
      </c>
      <c r="C119" s="213">
        <f>'часть 1'!H372</f>
        <v>3129.1</v>
      </c>
      <c r="D119" s="214">
        <f>'часть 1'!K372</f>
        <v>113</v>
      </c>
      <c r="E119" s="216">
        <v>0</v>
      </c>
      <c r="F119" s="216">
        <v>0</v>
      </c>
      <c r="G119" s="216">
        <v>0</v>
      </c>
      <c r="H119" s="216" t="e">
        <f>'часть 2'!#REF!</f>
        <v>#REF!</v>
      </c>
      <c r="I119" s="216" t="e">
        <f t="shared" si="28"/>
        <v>#REF!</v>
      </c>
      <c r="J119" s="215">
        <v>0</v>
      </c>
      <c r="K119" s="215">
        <v>0</v>
      </c>
      <c r="L119" s="215">
        <v>0</v>
      </c>
      <c r="M119" s="215">
        <f>'часть 1'!L372</f>
        <v>2178044</v>
      </c>
      <c r="N119" s="215">
        <f>M119</f>
        <v>2178044</v>
      </c>
      <c r="P119" s="20"/>
    </row>
    <row r="120" spans="1:16" s="15" customFormat="1" ht="25.5">
      <c r="A120" s="216">
        <v>11</v>
      </c>
      <c r="B120" s="217" t="s">
        <v>210</v>
      </c>
      <c r="C120" s="213">
        <f>'часть 1'!H384</f>
        <v>102181.8</v>
      </c>
      <c r="D120" s="214">
        <f>'часть 1'!K384</f>
        <v>3020</v>
      </c>
      <c r="E120" s="216">
        <v>0</v>
      </c>
      <c r="F120" s="216">
        <v>0</v>
      </c>
      <c r="G120" s="216">
        <v>0</v>
      </c>
      <c r="H120" s="216">
        <v>2</v>
      </c>
      <c r="I120" s="216">
        <f t="shared" si="28"/>
        <v>2</v>
      </c>
      <c r="J120" s="215">
        <v>0</v>
      </c>
      <c r="K120" s="215">
        <v>0</v>
      </c>
      <c r="L120" s="215">
        <v>0</v>
      </c>
      <c r="M120" s="215">
        <f>'часть 1'!L384</f>
        <v>55852955.920000002</v>
      </c>
      <c r="N120" s="215">
        <f>M120</f>
        <v>55852955.920000002</v>
      </c>
      <c r="P120" s="20"/>
    </row>
    <row r="121" spans="1:16">
      <c r="A121" s="216"/>
      <c r="B121" s="218" t="s">
        <v>44</v>
      </c>
      <c r="C121" s="213">
        <f>C122</f>
        <v>520.9</v>
      </c>
      <c r="D121" s="214">
        <f t="shared" ref="D121:N121" si="33">D122</f>
        <v>25</v>
      </c>
      <c r="E121" s="216">
        <f t="shared" si="33"/>
        <v>0</v>
      </c>
      <c r="F121" s="216">
        <f t="shared" si="33"/>
        <v>0</v>
      </c>
      <c r="G121" s="216">
        <f t="shared" si="33"/>
        <v>0</v>
      </c>
      <c r="H121" s="216">
        <f t="shared" si="33"/>
        <v>1</v>
      </c>
      <c r="I121" s="216">
        <f t="shared" si="28"/>
        <v>1</v>
      </c>
      <c r="J121" s="215">
        <f t="shared" si="33"/>
        <v>0</v>
      </c>
      <c r="K121" s="215">
        <f t="shared" si="33"/>
        <v>0</v>
      </c>
      <c r="L121" s="215">
        <f t="shared" si="33"/>
        <v>0</v>
      </c>
      <c r="M121" s="215">
        <f>'часть 1'!L387</f>
        <v>3894862</v>
      </c>
      <c r="N121" s="215">
        <f t="shared" si="33"/>
        <v>922687</v>
      </c>
      <c r="P121" s="20"/>
    </row>
    <row r="122" spans="1:16" s="14" customFormat="1" ht="25.5">
      <c r="A122" s="468">
        <f>A120+1</f>
        <v>12</v>
      </c>
      <c r="B122" s="471" t="s">
        <v>435</v>
      </c>
      <c r="C122" s="466">
        <f>'часть 1'!H864</f>
        <v>520.9</v>
      </c>
      <c r="D122" s="467">
        <f>'часть 1'!K864</f>
        <v>25</v>
      </c>
      <c r="E122" s="468">
        <v>0</v>
      </c>
      <c r="F122" s="468">
        <v>0</v>
      </c>
      <c r="G122" s="468">
        <v>0</v>
      </c>
      <c r="H122" s="468">
        <v>1</v>
      </c>
      <c r="I122" s="468">
        <f t="shared" si="28"/>
        <v>1</v>
      </c>
      <c r="J122" s="469">
        <v>0</v>
      </c>
      <c r="K122" s="469">
        <v>0</v>
      </c>
      <c r="L122" s="469">
        <v>0</v>
      </c>
      <c r="M122" s="469">
        <f>'часть 1'!L865</f>
        <v>922687</v>
      </c>
      <c r="N122" s="469">
        <f>M122</f>
        <v>922687</v>
      </c>
      <c r="P122" s="20"/>
    </row>
    <row r="123" spans="1:16">
      <c r="A123" s="216"/>
      <c r="B123" s="218" t="s">
        <v>45</v>
      </c>
      <c r="C123" s="213">
        <f>C124+C125+C126+C127+C128+C129</f>
        <v>7577.5</v>
      </c>
      <c r="D123" s="213">
        <f t="shared" ref="D123:N123" si="34">D124+D125+D126+D127+D128+D129</f>
        <v>291</v>
      </c>
      <c r="E123" s="213">
        <f t="shared" si="34"/>
        <v>0</v>
      </c>
      <c r="F123" s="213">
        <f t="shared" si="34"/>
        <v>0</v>
      </c>
      <c r="G123" s="213">
        <f t="shared" si="34"/>
        <v>1</v>
      </c>
      <c r="H123" s="213">
        <f t="shared" si="34"/>
        <v>6</v>
      </c>
      <c r="I123" s="213">
        <f t="shared" si="34"/>
        <v>7</v>
      </c>
      <c r="J123" s="213">
        <f t="shared" si="34"/>
        <v>0</v>
      </c>
      <c r="K123" s="213">
        <f t="shared" si="34"/>
        <v>0</v>
      </c>
      <c r="L123" s="213">
        <f t="shared" si="34"/>
        <v>1646792</v>
      </c>
      <c r="M123" s="213">
        <f t="shared" si="34"/>
        <v>6930539</v>
      </c>
      <c r="N123" s="213">
        <f t="shared" si="34"/>
        <v>8577331</v>
      </c>
      <c r="O123" s="20"/>
      <c r="P123" s="20"/>
    </row>
    <row r="124" spans="1:16" ht="25.5">
      <c r="A124" s="468">
        <f>A122+1</f>
        <v>13</v>
      </c>
      <c r="B124" s="520" t="s">
        <v>98</v>
      </c>
      <c r="C124" s="466">
        <f>'часть 1'!H868</f>
        <v>1910.1999999999998</v>
      </c>
      <c r="D124" s="467">
        <f>'часть 1'!K868</f>
        <v>85</v>
      </c>
      <c r="E124" s="468">
        <v>0</v>
      </c>
      <c r="F124" s="468">
        <v>0</v>
      </c>
      <c r="G124" s="468">
        <v>0</v>
      </c>
      <c r="H124" s="468">
        <v>3</v>
      </c>
      <c r="I124" s="468">
        <f t="shared" si="28"/>
        <v>3</v>
      </c>
      <c r="J124" s="469">
        <v>0</v>
      </c>
      <c r="K124" s="469">
        <v>0</v>
      </c>
      <c r="L124" s="469">
        <v>0</v>
      </c>
      <c r="M124" s="469">
        <f>'часть 1'!L868</f>
        <v>3345596</v>
      </c>
      <c r="N124" s="469">
        <f>M124</f>
        <v>3345596</v>
      </c>
      <c r="P124" s="20"/>
    </row>
    <row r="125" spans="1:16" ht="25.5">
      <c r="A125" s="468"/>
      <c r="B125" s="520" t="s">
        <v>688</v>
      </c>
      <c r="C125" s="466">
        <f>'часть 1'!H873</f>
        <v>484.1</v>
      </c>
      <c r="D125" s="467">
        <f>'часть 1'!K873</f>
        <v>31</v>
      </c>
      <c r="E125" s="468">
        <v>0</v>
      </c>
      <c r="F125" s="468">
        <v>0</v>
      </c>
      <c r="G125" s="468">
        <v>0</v>
      </c>
      <c r="H125" s="468">
        <v>1</v>
      </c>
      <c r="I125" s="468">
        <v>1</v>
      </c>
      <c r="J125" s="469">
        <v>0</v>
      </c>
      <c r="K125" s="469">
        <v>0</v>
      </c>
      <c r="L125" s="469">
        <v>0</v>
      </c>
      <c r="M125" s="469">
        <v>908962</v>
      </c>
      <c r="N125" s="469">
        <f>M125+L125+K125+J125</f>
        <v>908962</v>
      </c>
      <c r="P125" s="20"/>
    </row>
    <row r="126" spans="1:16" ht="25.5">
      <c r="A126" s="468"/>
      <c r="B126" s="471" t="s">
        <v>99</v>
      </c>
      <c r="C126" s="437">
        <f>'часть 1'!H874</f>
        <v>386.6</v>
      </c>
      <c r="D126" s="441">
        <f>'часть 1'!K874</f>
        <v>19</v>
      </c>
      <c r="E126" s="468">
        <v>0</v>
      </c>
      <c r="F126" s="468">
        <v>0</v>
      </c>
      <c r="G126" s="468">
        <v>0</v>
      </c>
      <c r="H126" s="440">
        <v>1</v>
      </c>
      <c r="I126" s="468">
        <f t="shared" si="28"/>
        <v>1</v>
      </c>
      <c r="J126" s="469">
        <v>0</v>
      </c>
      <c r="K126" s="469">
        <v>0</v>
      </c>
      <c r="L126" s="469">
        <v>0</v>
      </c>
      <c r="M126" s="469">
        <f>'часть 1'!L874</f>
        <v>655569</v>
      </c>
      <c r="N126" s="469">
        <f>M126</f>
        <v>655569</v>
      </c>
      <c r="P126" s="20"/>
    </row>
    <row r="127" spans="1:16" ht="25.5">
      <c r="A127" s="468">
        <f>A126+1</f>
        <v>1</v>
      </c>
      <c r="B127" s="471" t="s">
        <v>100</v>
      </c>
      <c r="C127" s="466">
        <f>'часть 1'!H877</f>
        <v>3324.5</v>
      </c>
      <c r="D127" s="467">
        <f>'часть 1'!K877</f>
        <v>127</v>
      </c>
      <c r="E127" s="468">
        <v>0</v>
      </c>
      <c r="F127" s="468">
        <v>0</v>
      </c>
      <c r="G127" s="468">
        <v>0</v>
      </c>
      <c r="H127" s="468">
        <v>1</v>
      </c>
      <c r="I127" s="468">
        <f t="shared" si="28"/>
        <v>1</v>
      </c>
      <c r="J127" s="469">
        <v>0</v>
      </c>
      <c r="K127" s="469">
        <v>0</v>
      </c>
      <c r="L127" s="469">
        <v>0</v>
      </c>
      <c r="M127" s="469">
        <f>'часть 1'!L877</f>
        <v>2020412</v>
      </c>
      <c r="N127" s="469">
        <f>M127</f>
        <v>2020412</v>
      </c>
      <c r="P127" s="20"/>
    </row>
    <row r="128" spans="1:16" ht="25.5">
      <c r="A128" s="468">
        <f>A127+1</f>
        <v>2</v>
      </c>
      <c r="B128" s="471" t="s">
        <v>101</v>
      </c>
      <c r="C128" s="466">
        <f>'часть 1'!H878</f>
        <v>1472.1</v>
      </c>
      <c r="D128" s="467">
        <f>'часть 1'!K878</f>
        <v>29</v>
      </c>
      <c r="E128" s="468">
        <v>0</v>
      </c>
      <c r="F128" s="468">
        <v>0</v>
      </c>
      <c r="G128" s="468">
        <v>1</v>
      </c>
      <c r="H128" s="468">
        <v>0</v>
      </c>
      <c r="I128" s="468">
        <f t="shared" si="28"/>
        <v>1</v>
      </c>
      <c r="J128" s="469">
        <v>0</v>
      </c>
      <c r="K128" s="469">
        <v>0</v>
      </c>
      <c r="L128" s="469">
        <f>'часть 1'!L878</f>
        <v>1646792</v>
      </c>
      <c r="M128" s="469">
        <v>0</v>
      </c>
      <c r="N128" s="469">
        <f>M128+L128+K128+J128</f>
        <v>1646792</v>
      </c>
      <c r="P128" s="20"/>
    </row>
    <row r="129" spans="1:16" ht="28.5" customHeight="1">
      <c r="A129" s="440">
        <f>A128+1</f>
        <v>3</v>
      </c>
      <c r="B129" s="471" t="s">
        <v>586</v>
      </c>
      <c r="C129" s="466">
        <v>0</v>
      </c>
      <c r="D129" s="467">
        <v>0</v>
      </c>
      <c r="E129" s="468">
        <v>0</v>
      </c>
      <c r="F129" s="468">
        <v>0</v>
      </c>
      <c r="G129" s="468">
        <v>0</v>
      </c>
      <c r="H129" s="468">
        <v>0</v>
      </c>
      <c r="I129" s="468">
        <f t="shared" si="28"/>
        <v>0</v>
      </c>
      <c r="J129" s="469">
        <v>0</v>
      </c>
      <c r="K129" s="469">
        <v>0</v>
      </c>
      <c r="L129" s="469">
        <v>0</v>
      </c>
      <c r="M129" s="469">
        <v>0</v>
      </c>
      <c r="N129" s="469">
        <f>M129</f>
        <v>0</v>
      </c>
      <c r="P129" s="20"/>
    </row>
    <row r="130" spans="1:16">
      <c r="A130" s="216"/>
      <c r="B130" s="218" t="s">
        <v>46</v>
      </c>
      <c r="C130" s="213">
        <f>C131</f>
        <v>459.1</v>
      </c>
      <c r="D130" s="213">
        <f t="shared" ref="D130:N130" si="35">D131</f>
        <v>18</v>
      </c>
      <c r="E130" s="213">
        <f t="shared" si="35"/>
        <v>0</v>
      </c>
      <c r="F130" s="213">
        <f t="shared" si="35"/>
        <v>0</v>
      </c>
      <c r="G130" s="213">
        <f t="shared" si="35"/>
        <v>0</v>
      </c>
      <c r="H130" s="213">
        <f t="shared" si="35"/>
        <v>1</v>
      </c>
      <c r="I130" s="213">
        <f t="shared" si="35"/>
        <v>1</v>
      </c>
      <c r="J130" s="215">
        <f t="shared" si="35"/>
        <v>0</v>
      </c>
      <c r="K130" s="215">
        <f t="shared" si="35"/>
        <v>0</v>
      </c>
      <c r="L130" s="215">
        <f t="shared" si="35"/>
        <v>0</v>
      </c>
      <c r="M130" s="215">
        <f t="shared" si="35"/>
        <v>674133</v>
      </c>
      <c r="N130" s="215">
        <f t="shared" si="35"/>
        <v>674133</v>
      </c>
      <c r="O130" s="20"/>
      <c r="P130" s="20"/>
    </row>
    <row r="131" spans="1:16" ht="25.5">
      <c r="A131" s="468">
        <f>A129+1</f>
        <v>4</v>
      </c>
      <c r="B131" s="471" t="s">
        <v>587</v>
      </c>
      <c r="C131" s="466">
        <v>459.1</v>
      </c>
      <c r="D131" s="467">
        <v>18</v>
      </c>
      <c r="E131" s="468">
        <v>0</v>
      </c>
      <c r="F131" s="468">
        <v>0</v>
      </c>
      <c r="G131" s="468">
        <v>0</v>
      </c>
      <c r="H131" s="468">
        <v>1</v>
      </c>
      <c r="I131" s="468">
        <f t="shared" si="28"/>
        <v>1</v>
      </c>
      <c r="J131" s="469">
        <v>0</v>
      </c>
      <c r="K131" s="469">
        <v>0</v>
      </c>
      <c r="L131" s="469">
        <v>0</v>
      </c>
      <c r="M131" s="469">
        <v>674133</v>
      </c>
      <c r="N131" s="469">
        <f>M131</f>
        <v>674133</v>
      </c>
      <c r="P131" s="20"/>
    </row>
    <row r="132" spans="1:16">
      <c r="A132" s="216"/>
      <c r="B132" s="218" t="s">
        <v>47</v>
      </c>
      <c r="C132" s="213">
        <f>C133</f>
        <v>597</v>
      </c>
      <c r="D132" s="213">
        <f t="shared" ref="D132:N132" si="36">D133</f>
        <v>22</v>
      </c>
      <c r="E132" s="213">
        <f t="shared" si="36"/>
        <v>0</v>
      </c>
      <c r="F132" s="213">
        <f t="shared" si="36"/>
        <v>0</v>
      </c>
      <c r="G132" s="213">
        <f t="shared" si="36"/>
        <v>0</v>
      </c>
      <c r="H132" s="213">
        <f t="shared" si="36"/>
        <v>1</v>
      </c>
      <c r="I132" s="213">
        <f t="shared" si="36"/>
        <v>1</v>
      </c>
      <c r="J132" s="215">
        <f t="shared" si="36"/>
        <v>0</v>
      </c>
      <c r="K132" s="215">
        <f t="shared" si="36"/>
        <v>0</v>
      </c>
      <c r="L132" s="215">
        <f t="shared" si="36"/>
        <v>0</v>
      </c>
      <c r="M132" s="215">
        <f t="shared" si="36"/>
        <v>1786109</v>
      </c>
      <c r="N132" s="215">
        <f t="shared" si="36"/>
        <v>1786109</v>
      </c>
      <c r="O132" s="20"/>
      <c r="P132" s="20"/>
    </row>
    <row r="133" spans="1:16" ht="25.5">
      <c r="A133" s="440">
        <f>A131+1</f>
        <v>5</v>
      </c>
      <c r="B133" s="471" t="s">
        <v>103</v>
      </c>
      <c r="C133" s="466">
        <f>'часть 1'!H887</f>
        <v>597</v>
      </c>
      <c r="D133" s="467">
        <f>'часть 1'!K887</f>
        <v>22</v>
      </c>
      <c r="E133" s="468">
        <v>0</v>
      </c>
      <c r="F133" s="468">
        <v>0</v>
      </c>
      <c r="G133" s="468">
        <v>0</v>
      </c>
      <c r="H133" s="468">
        <v>1</v>
      </c>
      <c r="I133" s="468">
        <f t="shared" si="28"/>
        <v>1</v>
      </c>
      <c r="J133" s="469">
        <v>0</v>
      </c>
      <c r="K133" s="469">
        <v>0</v>
      </c>
      <c r="L133" s="469">
        <v>0</v>
      </c>
      <c r="M133" s="469">
        <f>'часть 1'!L887</f>
        <v>1786109</v>
      </c>
      <c r="N133" s="469">
        <f>M133</f>
        <v>1786109</v>
      </c>
      <c r="P133" s="20"/>
    </row>
    <row r="134" spans="1:16" s="7" customFormat="1">
      <c r="A134" s="216"/>
      <c r="B134" s="218" t="s">
        <v>48</v>
      </c>
      <c r="C134" s="213">
        <f>'часть 1'!H424</f>
        <v>1983</v>
      </c>
      <c r="D134" s="214">
        <f>'часть 1'!K424</f>
        <v>80</v>
      </c>
      <c r="E134" s="216">
        <f>E135+E136</f>
        <v>0</v>
      </c>
      <c r="F134" s="216">
        <f>F135+F136</f>
        <v>0</v>
      </c>
      <c r="G134" s="216">
        <f>G135+G136</f>
        <v>0</v>
      </c>
      <c r="H134" s="216" t="e">
        <f>H135+H136</f>
        <v>#REF!</v>
      </c>
      <c r="I134" s="216" t="e">
        <f t="shared" si="28"/>
        <v>#REF!</v>
      </c>
      <c r="J134" s="215">
        <f>J135+J136</f>
        <v>0</v>
      </c>
      <c r="K134" s="215">
        <f>K135+K136</f>
        <v>0</v>
      </c>
      <c r="L134" s="215">
        <f>L135+L136</f>
        <v>0</v>
      </c>
      <c r="M134" s="215">
        <f>M135+M136</f>
        <v>5112634</v>
      </c>
      <c r="N134" s="215">
        <f>N135+N136</f>
        <v>5112634</v>
      </c>
      <c r="O134" s="31"/>
      <c r="P134" s="20"/>
    </row>
    <row r="135" spans="1:16" ht="25.5">
      <c r="A135" s="440">
        <f>A133+1</f>
        <v>6</v>
      </c>
      <c r="B135" s="471" t="s">
        <v>107</v>
      </c>
      <c r="C135" s="466">
        <f>'часть 1'!H890</f>
        <v>1330.3000000000002</v>
      </c>
      <c r="D135" s="467">
        <f>'часть 1'!K890</f>
        <v>72</v>
      </c>
      <c r="E135" s="468">
        <v>0</v>
      </c>
      <c r="F135" s="468">
        <v>0</v>
      </c>
      <c r="G135" s="468">
        <v>0</v>
      </c>
      <c r="H135" s="468">
        <v>2</v>
      </c>
      <c r="I135" s="468">
        <f t="shared" si="28"/>
        <v>2</v>
      </c>
      <c r="J135" s="469">
        <v>0</v>
      </c>
      <c r="K135" s="469">
        <v>0</v>
      </c>
      <c r="L135" s="469">
        <v>0</v>
      </c>
      <c r="M135" s="469">
        <f>'часть 1'!L890</f>
        <v>2303204</v>
      </c>
      <c r="N135" s="469">
        <f>M135</f>
        <v>2303204</v>
      </c>
      <c r="P135" s="20"/>
    </row>
    <row r="136" spans="1:16" ht="27" customHeight="1">
      <c r="A136" s="178">
        <f>A135+1</f>
        <v>7</v>
      </c>
      <c r="B136" s="217" t="s">
        <v>104</v>
      </c>
      <c r="C136" s="213">
        <f>'часть 1'!H429</f>
        <v>912.1</v>
      </c>
      <c r="D136" s="214">
        <f>'часть 1'!K429</f>
        <v>39</v>
      </c>
      <c r="E136" s="216">
        <v>0</v>
      </c>
      <c r="F136" s="216">
        <v>0</v>
      </c>
      <c r="G136" s="216">
        <v>0</v>
      </c>
      <c r="H136" s="216" t="e">
        <f>'часть 2'!#REF!</f>
        <v>#REF!</v>
      </c>
      <c r="I136" s="216" t="e">
        <f t="shared" si="28"/>
        <v>#REF!</v>
      </c>
      <c r="J136" s="215">
        <v>0</v>
      </c>
      <c r="K136" s="215">
        <v>0</v>
      </c>
      <c r="L136" s="215">
        <v>0</v>
      </c>
      <c r="M136" s="215">
        <f>'часть 1'!L429</f>
        <v>2809430</v>
      </c>
      <c r="N136" s="215">
        <f>M136</f>
        <v>2809430</v>
      </c>
      <c r="P136" s="20"/>
    </row>
    <row r="137" spans="1:16">
      <c r="A137" s="178"/>
      <c r="B137" s="218" t="s">
        <v>49</v>
      </c>
      <c r="C137" s="213">
        <f>'часть 1'!H431</f>
        <v>542.5</v>
      </c>
      <c r="D137" s="214">
        <f>'часть 1'!K431</f>
        <v>16</v>
      </c>
      <c r="E137" s="216">
        <f t="shared" ref="E137:K137" si="37">E138</f>
        <v>0</v>
      </c>
      <c r="F137" s="216">
        <f t="shared" si="37"/>
        <v>0</v>
      </c>
      <c r="G137" s="216">
        <f>G138+G139+G140+G141</f>
        <v>1</v>
      </c>
      <c r="H137" s="216">
        <f>H138+H139+H140+H141</f>
        <v>2</v>
      </c>
      <c r="I137" s="216">
        <f t="shared" si="28"/>
        <v>3</v>
      </c>
      <c r="J137" s="215">
        <f t="shared" si="37"/>
        <v>0</v>
      </c>
      <c r="K137" s="215">
        <f t="shared" si="37"/>
        <v>0</v>
      </c>
      <c r="L137" s="215">
        <f>L139</f>
        <v>6762929</v>
      </c>
      <c r="M137" s="215">
        <f>SUM(M138:M141)</f>
        <v>3562516</v>
      </c>
      <c r="N137" s="215">
        <f>SUM(N138:N141)</f>
        <v>12131344.800000001</v>
      </c>
      <c r="O137" s="20"/>
      <c r="P137" s="20"/>
    </row>
    <row r="138" spans="1:16" ht="25.5">
      <c r="A138" s="440">
        <f>A136+1</f>
        <v>8</v>
      </c>
      <c r="B138" s="471" t="s">
        <v>588</v>
      </c>
      <c r="C138" s="466">
        <f>'часть 1'!H898</f>
        <v>722</v>
      </c>
      <c r="D138" s="467">
        <f>'часть 1'!K898</f>
        <v>39</v>
      </c>
      <c r="E138" s="468">
        <v>0</v>
      </c>
      <c r="F138" s="468">
        <v>0</v>
      </c>
      <c r="G138" s="468">
        <v>0</v>
      </c>
      <c r="H138" s="468">
        <v>1</v>
      </c>
      <c r="I138" s="468">
        <f t="shared" si="28"/>
        <v>1</v>
      </c>
      <c r="J138" s="469">
        <v>0</v>
      </c>
      <c r="K138" s="469">
        <v>0</v>
      </c>
      <c r="L138" s="469">
        <v>0</v>
      </c>
      <c r="M138" s="469">
        <v>1753559</v>
      </c>
      <c r="N138" s="469">
        <f>M138</f>
        <v>1753559</v>
      </c>
      <c r="P138" s="20"/>
    </row>
    <row r="139" spans="1:16" ht="25.5">
      <c r="A139" s="178">
        <f>A138+1</f>
        <v>9</v>
      </c>
      <c r="B139" s="217" t="s">
        <v>188</v>
      </c>
      <c r="C139" s="213">
        <f>'часть 1'!H435</f>
        <v>4140.7</v>
      </c>
      <c r="D139" s="214">
        <f>'часть 1'!K435</f>
        <v>125</v>
      </c>
      <c r="E139" s="216">
        <v>0</v>
      </c>
      <c r="F139" s="216">
        <v>0</v>
      </c>
      <c r="G139" s="216">
        <v>0</v>
      </c>
      <c r="H139" s="216">
        <v>0</v>
      </c>
      <c r="I139" s="216">
        <f t="shared" si="28"/>
        <v>0</v>
      </c>
      <c r="J139" s="215">
        <v>0</v>
      </c>
      <c r="K139" s="215">
        <v>0</v>
      </c>
      <c r="L139" s="215">
        <f>'часть 1'!L435</f>
        <v>6762929</v>
      </c>
      <c r="M139" s="215">
        <v>0</v>
      </c>
      <c r="N139" s="215">
        <f>L139</f>
        <v>6762929</v>
      </c>
      <c r="P139" s="20"/>
    </row>
    <row r="140" spans="1:16" ht="25.5">
      <c r="A140" s="178">
        <f>A139+1</f>
        <v>10</v>
      </c>
      <c r="B140" s="217" t="s">
        <v>189</v>
      </c>
      <c r="C140" s="213">
        <f>'часть 1'!H438</f>
        <v>522.5</v>
      </c>
      <c r="D140" s="214">
        <f>'часть 1'!K438</f>
        <v>21</v>
      </c>
      <c r="E140" s="216">
        <v>0</v>
      </c>
      <c r="F140" s="216">
        <v>0</v>
      </c>
      <c r="G140" s="216">
        <v>0</v>
      </c>
      <c r="H140" s="216">
        <v>1</v>
      </c>
      <c r="I140" s="216">
        <f t="shared" si="28"/>
        <v>1</v>
      </c>
      <c r="J140" s="215">
        <v>0</v>
      </c>
      <c r="K140" s="215">
        <v>0</v>
      </c>
      <c r="L140" s="215">
        <v>0</v>
      </c>
      <c r="M140" s="215">
        <f>'часть 1'!L438</f>
        <v>1808957</v>
      </c>
      <c r="N140" s="215">
        <f>M140</f>
        <v>1808957</v>
      </c>
      <c r="P140" s="20"/>
    </row>
    <row r="141" spans="1:16" ht="25.5">
      <c r="A141" s="178">
        <f>A140+1</f>
        <v>11</v>
      </c>
      <c r="B141" s="217" t="s">
        <v>589</v>
      </c>
      <c r="C141" s="213">
        <f>'часть 1'!H906</f>
        <v>748.5</v>
      </c>
      <c r="D141" s="214">
        <f>'часть 1'!K906</f>
        <v>38</v>
      </c>
      <c r="E141" s="216">
        <v>0</v>
      </c>
      <c r="F141" s="216">
        <v>0</v>
      </c>
      <c r="G141" s="216">
        <v>1</v>
      </c>
      <c r="H141" s="216">
        <v>0</v>
      </c>
      <c r="I141" s="216">
        <f t="shared" si="28"/>
        <v>1</v>
      </c>
      <c r="J141" s="215">
        <v>0</v>
      </c>
      <c r="K141" s="215">
        <v>0</v>
      </c>
      <c r="L141" s="215">
        <v>1805899.8</v>
      </c>
      <c r="M141" s="215">
        <v>0</v>
      </c>
      <c r="N141" s="215">
        <v>1805899.8</v>
      </c>
      <c r="P141" s="20"/>
    </row>
    <row r="142" spans="1:16">
      <c r="A142" s="178"/>
      <c r="B142" s="218" t="s">
        <v>50</v>
      </c>
      <c r="C142" s="213">
        <f>C143</f>
        <v>10972.3</v>
      </c>
      <c r="D142" s="214">
        <f t="shared" ref="D142:N142" si="38">D143</f>
        <v>402</v>
      </c>
      <c r="E142" s="216">
        <f t="shared" si="38"/>
        <v>0</v>
      </c>
      <c r="F142" s="216">
        <f t="shared" si="38"/>
        <v>0</v>
      </c>
      <c r="G142" s="216">
        <f t="shared" si="38"/>
        <v>0</v>
      </c>
      <c r="H142" s="216">
        <f t="shared" si="38"/>
        <v>6</v>
      </c>
      <c r="I142" s="216">
        <f t="shared" si="28"/>
        <v>6</v>
      </c>
      <c r="J142" s="215">
        <f t="shared" si="38"/>
        <v>0</v>
      </c>
      <c r="K142" s="215">
        <f t="shared" si="38"/>
        <v>0</v>
      </c>
      <c r="L142" s="215">
        <f t="shared" si="38"/>
        <v>0</v>
      </c>
      <c r="M142" s="215">
        <f t="shared" si="38"/>
        <v>13535827</v>
      </c>
      <c r="N142" s="215">
        <f t="shared" si="38"/>
        <v>13535827</v>
      </c>
      <c r="O142" s="20"/>
      <c r="P142" s="20"/>
    </row>
    <row r="143" spans="1:16" ht="25.5">
      <c r="A143" s="178">
        <f>A141+1</f>
        <v>12</v>
      </c>
      <c r="B143" s="217" t="s">
        <v>106</v>
      </c>
      <c r="C143" s="213">
        <f>'часть 1'!H909</f>
        <v>10972.3</v>
      </c>
      <c r="D143" s="214">
        <f>'часть 1'!K909</f>
        <v>402</v>
      </c>
      <c r="E143" s="216">
        <v>0</v>
      </c>
      <c r="F143" s="216">
        <v>0</v>
      </c>
      <c r="G143" s="216">
        <v>0</v>
      </c>
      <c r="H143" s="216">
        <v>6</v>
      </c>
      <c r="I143" s="216">
        <f t="shared" si="28"/>
        <v>6</v>
      </c>
      <c r="J143" s="215">
        <v>0</v>
      </c>
      <c r="K143" s="215">
        <v>0</v>
      </c>
      <c r="L143" s="215">
        <v>0</v>
      </c>
      <c r="M143" s="215">
        <f>'часть 1'!L909</f>
        <v>13535827</v>
      </c>
      <c r="N143" s="215">
        <f>M143</f>
        <v>13535827</v>
      </c>
      <c r="P143" s="20"/>
    </row>
    <row r="144" spans="1:16">
      <c r="A144" s="178"/>
      <c r="B144" s="218" t="s">
        <v>51</v>
      </c>
      <c r="C144" s="213">
        <f>C145</f>
        <v>8644.4000000000015</v>
      </c>
      <c r="D144" s="214">
        <f t="shared" ref="D144:N144" si="39">D145</f>
        <v>283</v>
      </c>
      <c r="E144" s="216">
        <f t="shared" si="39"/>
        <v>0</v>
      </c>
      <c r="F144" s="216">
        <f t="shared" si="39"/>
        <v>0</v>
      </c>
      <c r="G144" s="216">
        <f t="shared" si="39"/>
        <v>0</v>
      </c>
      <c r="H144" s="216">
        <f t="shared" si="39"/>
        <v>8</v>
      </c>
      <c r="I144" s="216">
        <f t="shared" si="28"/>
        <v>8</v>
      </c>
      <c r="J144" s="215">
        <f t="shared" si="39"/>
        <v>0</v>
      </c>
      <c r="K144" s="215">
        <f t="shared" si="39"/>
        <v>0</v>
      </c>
      <c r="L144" s="215">
        <f t="shared" si="39"/>
        <v>0</v>
      </c>
      <c r="M144" s="215">
        <f t="shared" si="39"/>
        <v>11085155</v>
      </c>
      <c r="N144" s="215">
        <f t="shared" si="39"/>
        <v>11085155</v>
      </c>
      <c r="O144" s="20"/>
      <c r="P144" s="20"/>
    </row>
    <row r="145" spans="1:16" ht="25.5">
      <c r="A145" s="178">
        <f>A143+1</f>
        <v>13</v>
      </c>
      <c r="B145" s="217" t="s">
        <v>108</v>
      </c>
      <c r="C145" s="213">
        <f>'часть 1'!H917</f>
        <v>8644.4000000000015</v>
      </c>
      <c r="D145" s="214">
        <f>'часть 1'!K917</f>
        <v>283</v>
      </c>
      <c r="E145" s="216">
        <v>0</v>
      </c>
      <c r="F145" s="216">
        <v>0</v>
      </c>
      <c r="G145" s="216">
        <v>0</v>
      </c>
      <c r="H145" s="216">
        <v>8</v>
      </c>
      <c r="I145" s="216">
        <f t="shared" si="28"/>
        <v>8</v>
      </c>
      <c r="J145" s="215">
        <v>0</v>
      </c>
      <c r="K145" s="215">
        <v>0</v>
      </c>
      <c r="L145" s="215">
        <v>0</v>
      </c>
      <c r="M145" s="215">
        <f>'часть 1'!L917</f>
        <v>11085155</v>
      </c>
      <c r="N145" s="215">
        <f>M145</f>
        <v>11085155</v>
      </c>
      <c r="P145" s="20"/>
    </row>
    <row r="146" spans="1:16" ht="25.5">
      <c r="A146" s="440"/>
      <c r="B146" s="471" t="s">
        <v>882</v>
      </c>
      <c r="C146" s="466">
        <f>'часть 1'!H926</f>
        <v>1005.2</v>
      </c>
      <c r="D146" s="467">
        <f>'часть 1'!K926</f>
        <v>37</v>
      </c>
      <c r="E146" s="468">
        <v>0</v>
      </c>
      <c r="F146" s="468">
        <v>0</v>
      </c>
      <c r="G146" s="468">
        <v>1</v>
      </c>
      <c r="H146" s="468">
        <v>1</v>
      </c>
      <c r="I146" s="468">
        <v>2</v>
      </c>
      <c r="J146" s="469">
        <v>0</v>
      </c>
      <c r="K146" s="469">
        <v>0</v>
      </c>
      <c r="L146" s="469">
        <v>781716</v>
      </c>
      <c r="M146" s="469">
        <v>247569</v>
      </c>
      <c r="N146" s="469">
        <f>M146+L146+K146+J146</f>
        <v>1029285</v>
      </c>
      <c r="P146" s="20"/>
    </row>
    <row r="147" spans="1:16">
      <c r="A147" s="178"/>
      <c r="B147" s="218" t="s">
        <v>52</v>
      </c>
      <c r="C147" s="213">
        <f>C149+C148+C150</f>
        <v>6236.2000000000007</v>
      </c>
      <c r="D147" s="214">
        <f>D149+D148+D150</f>
        <v>209</v>
      </c>
      <c r="E147" s="216">
        <f>E149+E148</f>
        <v>0</v>
      </c>
      <c r="F147" s="216">
        <f>F149+F148</f>
        <v>0</v>
      </c>
      <c r="G147" s="216">
        <f>G149+G148</f>
        <v>1</v>
      </c>
      <c r="H147" s="216">
        <f>H149+H148+H150</f>
        <v>2</v>
      </c>
      <c r="I147" s="216">
        <f t="shared" si="28"/>
        <v>3</v>
      </c>
      <c r="J147" s="215">
        <f>J149</f>
        <v>0</v>
      </c>
      <c r="K147" s="215">
        <f>K149</f>
        <v>0</v>
      </c>
      <c r="L147" s="215">
        <f>L149</f>
        <v>0</v>
      </c>
      <c r="M147" s="215">
        <f>M149+M148+M150</f>
        <v>1313974</v>
      </c>
      <c r="N147" s="215">
        <f>M147</f>
        <v>1313974</v>
      </c>
      <c r="O147" s="20"/>
      <c r="P147" s="20"/>
    </row>
    <row r="148" spans="1:16" ht="25.5">
      <c r="A148" s="440">
        <f>A145+1</f>
        <v>14</v>
      </c>
      <c r="B148" s="471" t="s">
        <v>130</v>
      </c>
      <c r="C148" s="466">
        <v>704.6</v>
      </c>
      <c r="D148" s="467">
        <v>24</v>
      </c>
      <c r="E148" s="468">
        <v>0</v>
      </c>
      <c r="F148" s="468">
        <v>0</v>
      </c>
      <c r="G148" s="468">
        <v>1</v>
      </c>
      <c r="H148" s="468">
        <v>0</v>
      </c>
      <c r="I148" s="468">
        <v>1</v>
      </c>
      <c r="J148" s="469">
        <v>0</v>
      </c>
      <c r="K148" s="469">
        <v>0</v>
      </c>
      <c r="L148" s="469">
        <v>1851309</v>
      </c>
      <c r="M148" s="469">
        <v>0</v>
      </c>
      <c r="N148" s="469">
        <v>1851309</v>
      </c>
      <c r="O148" s="20"/>
      <c r="P148" s="20"/>
    </row>
    <row r="149" spans="1:16" ht="25.5">
      <c r="A149" s="178">
        <f>A148+1</f>
        <v>15</v>
      </c>
      <c r="B149" s="217" t="s">
        <v>109</v>
      </c>
      <c r="C149" s="213">
        <f>'часть 1'!H470</f>
        <v>4625.8</v>
      </c>
      <c r="D149" s="214">
        <f>'часть 1'!K470</f>
        <v>154</v>
      </c>
      <c r="E149" s="216">
        <v>0</v>
      </c>
      <c r="F149" s="216">
        <v>0</v>
      </c>
      <c r="G149" s="216">
        <v>0</v>
      </c>
      <c r="H149" s="216">
        <v>1</v>
      </c>
      <c r="I149" s="216">
        <f t="shared" si="28"/>
        <v>1</v>
      </c>
      <c r="J149" s="215">
        <v>0</v>
      </c>
      <c r="K149" s="215">
        <v>0</v>
      </c>
      <c r="L149" s="215">
        <v>0</v>
      </c>
      <c r="M149" s="215">
        <v>201010</v>
      </c>
      <c r="N149" s="215">
        <f>M149</f>
        <v>201010</v>
      </c>
      <c r="P149" s="20"/>
    </row>
    <row r="150" spans="1:16" ht="25.5">
      <c r="A150" s="178">
        <f>A149+1</f>
        <v>16</v>
      </c>
      <c r="B150" s="217" t="s">
        <v>198</v>
      </c>
      <c r="C150" s="213">
        <f>'часть 1'!H472</f>
        <v>905.8</v>
      </c>
      <c r="D150" s="214">
        <f>'часть 1'!K472</f>
        <v>31</v>
      </c>
      <c r="E150" s="216">
        <v>0</v>
      </c>
      <c r="F150" s="216">
        <v>0</v>
      </c>
      <c r="G150" s="216">
        <v>0</v>
      </c>
      <c r="H150" s="216">
        <v>1</v>
      </c>
      <c r="I150" s="216">
        <f t="shared" si="28"/>
        <v>1</v>
      </c>
      <c r="J150" s="215">
        <v>0</v>
      </c>
      <c r="K150" s="215">
        <v>0</v>
      </c>
      <c r="L150" s="215">
        <v>0</v>
      </c>
      <c r="M150" s="215">
        <f>'часть 1'!L472</f>
        <v>1112964</v>
      </c>
      <c r="N150" s="215">
        <f>M150</f>
        <v>1112964</v>
      </c>
      <c r="P150" s="20"/>
    </row>
    <row r="151" spans="1:16">
      <c r="A151" s="178"/>
      <c r="B151" s="218" t="s">
        <v>53</v>
      </c>
      <c r="C151" s="213">
        <f>'часть 1'!H477+'часть 1'!H594</f>
        <v>508.92</v>
      </c>
      <c r="D151" s="214">
        <f>'часть 1'!K477+'часть 1'!K594</f>
        <v>16</v>
      </c>
      <c r="E151" s="216">
        <f>E154+E157+E158+E152</f>
        <v>0</v>
      </c>
      <c r="F151" s="216">
        <f>F154+F157+F158+F152</f>
        <v>0</v>
      </c>
      <c r="G151" s="216">
        <f>G154+G157+G158+G152</f>
        <v>0</v>
      </c>
      <c r="H151" s="216">
        <f>H154+H157+H155+H158+H152+H153+H159</f>
        <v>16</v>
      </c>
      <c r="I151" s="216">
        <f t="shared" si="28"/>
        <v>16</v>
      </c>
      <c r="J151" s="215">
        <f>J154+J157+J158+J152</f>
        <v>0</v>
      </c>
      <c r="K151" s="215">
        <f>K154+K157+K158+K152</f>
        <v>0</v>
      </c>
      <c r="L151" s="215">
        <f>L154+L157+L158+L152</f>
        <v>0</v>
      </c>
      <c r="M151" s="215">
        <f>M154+M157+M155+M158+M152+M153+M159</f>
        <v>48749036</v>
      </c>
      <c r="N151" s="215">
        <f>M151</f>
        <v>48749036</v>
      </c>
      <c r="O151" s="20"/>
      <c r="P151" s="20"/>
    </row>
    <row r="152" spans="1:16" ht="26.25" customHeight="1">
      <c r="A152" s="440">
        <f>A150+1</f>
        <v>17</v>
      </c>
      <c r="B152" s="471" t="s">
        <v>88</v>
      </c>
      <c r="C152" s="466">
        <f>'часть 1'!H938</f>
        <v>44029.100000000006</v>
      </c>
      <c r="D152" s="467">
        <f>'часть 1'!K938</f>
        <v>1255</v>
      </c>
      <c r="E152" s="468">
        <v>0</v>
      </c>
      <c r="F152" s="468">
        <v>0</v>
      </c>
      <c r="G152" s="468">
        <v>0</v>
      </c>
      <c r="H152" s="468">
        <v>6</v>
      </c>
      <c r="I152" s="468">
        <f t="shared" si="28"/>
        <v>6</v>
      </c>
      <c r="J152" s="469">
        <v>0</v>
      </c>
      <c r="K152" s="469">
        <v>0</v>
      </c>
      <c r="L152" s="469">
        <v>0</v>
      </c>
      <c r="M152" s="469">
        <f>'часть 1'!L938</f>
        <v>29383642</v>
      </c>
      <c r="N152" s="469">
        <f>M152</f>
        <v>29383642</v>
      </c>
      <c r="P152" s="20"/>
    </row>
    <row r="153" spans="1:16" ht="26.25" customHeight="1">
      <c r="A153" s="440">
        <f t="shared" ref="A153:A159" si="40">A152+1</f>
        <v>18</v>
      </c>
      <c r="B153" s="471" t="s">
        <v>132</v>
      </c>
      <c r="C153" s="466">
        <f>'часть 1'!H945</f>
        <v>781</v>
      </c>
      <c r="D153" s="467">
        <f>'часть 1'!K945</f>
        <v>22</v>
      </c>
      <c r="E153" s="468">
        <v>0</v>
      </c>
      <c r="F153" s="468">
        <v>0</v>
      </c>
      <c r="G153" s="468">
        <v>0</v>
      </c>
      <c r="H153" s="468">
        <v>1</v>
      </c>
      <c r="I153" s="468">
        <f t="shared" si="28"/>
        <v>1</v>
      </c>
      <c r="J153" s="469">
        <v>0</v>
      </c>
      <c r="K153" s="469">
        <v>0</v>
      </c>
      <c r="L153" s="469">
        <v>0</v>
      </c>
      <c r="M153" s="469">
        <f>'часть 1'!L945</f>
        <v>1107622</v>
      </c>
      <c r="N153" s="469">
        <f>M153</f>
        <v>1107622</v>
      </c>
      <c r="P153" s="20"/>
    </row>
    <row r="154" spans="1:16" ht="26.25" customHeight="1">
      <c r="A154" s="440">
        <f t="shared" si="40"/>
        <v>19</v>
      </c>
      <c r="B154" s="471" t="s">
        <v>110</v>
      </c>
      <c r="C154" s="466">
        <f>'часть 1'!H948</f>
        <v>894.6</v>
      </c>
      <c r="D154" s="467">
        <f>'часть 1'!K948</f>
        <v>57</v>
      </c>
      <c r="E154" s="468">
        <v>0</v>
      </c>
      <c r="F154" s="468">
        <v>0</v>
      </c>
      <c r="G154" s="468">
        <v>0</v>
      </c>
      <c r="H154" s="468">
        <v>1</v>
      </c>
      <c r="I154" s="468">
        <f t="shared" si="28"/>
        <v>1</v>
      </c>
      <c r="J154" s="469">
        <v>0</v>
      </c>
      <c r="K154" s="469">
        <v>0</v>
      </c>
      <c r="L154" s="469">
        <v>0</v>
      </c>
      <c r="M154" s="469">
        <v>2348226</v>
      </c>
      <c r="N154" s="469">
        <f t="shared" ref="N154:N159" si="41">M154</f>
        <v>2348226</v>
      </c>
      <c r="P154" s="20"/>
    </row>
    <row r="155" spans="1:16" ht="26.25" customHeight="1">
      <c r="A155" s="440">
        <f t="shared" si="40"/>
        <v>20</v>
      </c>
      <c r="B155" s="471" t="s">
        <v>128</v>
      </c>
      <c r="C155" s="466">
        <f>'часть 1'!H949</f>
        <v>11540.800000000001</v>
      </c>
      <c r="D155" s="467">
        <f>'часть 1'!K949</f>
        <v>394</v>
      </c>
      <c r="E155" s="468">
        <v>0</v>
      </c>
      <c r="F155" s="468">
        <v>0</v>
      </c>
      <c r="G155" s="468">
        <v>0</v>
      </c>
      <c r="H155" s="468">
        <v>4</v>
      </c>
      <c r="I155" s="468">
        <f t="shared" si="28"/>
        <v>4</v>
      </c>
      <c r="J155" s="469">
        <v>0</v>
      </c>
      <c r="K155" s="469">
        <v>0</v>
      </c>
      <c r="L155" s="469">
        <v>0</v>
      </c>
      <c r="M155" s="469">
        <f>'часть 1'!L949</f>
        <v>9209860</v>
      </c>
      <c r="N155" s="469">
        <f t="shared" si="41"/>
        <v>9209860</v>
      </c>
      <c r="P155" s="20"/>
    </row>
    <row r="156" spans="1:16" ht="26.25" customHeight="1">
      <c r="A156" s="440"/>
      <c r="B156" s="471" t="s">
        <v>668</v>
      </c>
      <c r="C156" s="466">
        <v>687.8</v>
      </c>
      <c r="D156" s="467">
        <v>23</v>
      </c>
      <c r="E156" s="468">
        <v>0</v>
      </c>
      <c r="F156" s="468">
        <v>0</v>
      </c>
      <c r="G156" s="468">
        <v>0</v>
      </c>
      <c r="H156" s="468">
        <v>1</v>
      </c>
      <c r="I156" s="468">
        <f t="shared" si="28"/>
        <v>1</v>
      </c>
      <c r="J156" s="469">
        <v>0</v>
      </c>
      <c r="K156" s="469">
        <v>0</v>
      </c>
      <c r="L156" s="469">
        <v>0</v>
      </c>
      <c r="M156" s="469">
        <v>1720569</v>
      </c>
      <c r="N156" s="469">
        <v>1720569</v>
      </c>
      <c r="P156" s="20"/>
    </row>
    <row r="157" spans="1:16" ht="25.5">
      <c r="A157" s="178">
        <f>A155+1</f>
        <v>21</v>
      </c>
      <c r="B157" s="217" t="s">
        <v>994</v>
      </c>
      <c r="C157" s="213">
        <f>'часть 1'!H958</f>
        <v>932.40000000000009</v>
      </c>
      <c r="D157" s="214">
        <f>'часть 1'!K958</f>
        <v>55</v>
      </c>
      <c r="E157" s="216">
        <v>0</v>
      </c>
      <c r="F157" s="216">
        <v>0</v>
      </c>
      <c r="G157" s="216">
        <v>0</v>
      </c>
      <c r="H157" s="216">
        <v>2</v>
      </c>
      <c r="I157" s="216">
        <f t="shared" si="28"/>
        <v>2</v>
      </c>
      <c r="J157" s="215">
        <v>0</v>
      </c>
      <c r="K157" s="215">
        <v>0</v>
      </c>
      <c r="L157" s="215">
        <v>0</v>
      </c>
      <c r="M157" s="215">
        <f>'часть 1'!L958</f>
        <v>580386</v>
      </c>
      <c r="N157" s="215">
        <f t="shared" si="41"/>
        <v>580386</v>
      </c>
      <c r="P157" s="20"/>
    </row>
    <row r="158" spans="1:16" ht="27.75" customHeight="1">
      <c r="A158" s="178">
        <f t="shared" si="40"/>
        <v>22</v>
      </c>
      <c r="B158" s="217" t="s">
        <v>111</v>
      </c>
      <c r="C158" s="213">
        <f>'часть 1'!H506</f>
        <v>13232.03</v>
      </c>
      <c r="D158" s="214">
        <f>'часть 1'!K506</f>
        <v>487</v>
      </c>
      <c r="E158" s="216">
        <v>0</v>
      </c>
      <c r="F158" s="216">
        <v>0</v>
      </c>
      <c r="G158" s="216">
        <v>0</v>
      </c>
      <c r="H158" s="216">
        <v>1</v>
      </c>
      <c r="I158" s="216">
        <f t="shared" si="28"/>
        <v>1</v>
      </c>
      <c r="J158" s="215">
        <v>0</v>
      </c>
      <c r="K158" s="215">
        <v>0</v>
      </c>
      <c r="L158" s="215">
        <v>0</v>
      </c>
      <c r="M158" s="215">
        <f>'часть 1'!L506</f>
        <v>4688365</v>
      </c>
      <c r="N158" s="215">
        <f t="shared" si="41"/>
        <v>4688365</v>
      </c>
      <c r="P158" s="20"/>
    </row>
    <row r="159" spans="1:16" ht="27.75" customHeight="1">
      <c r="A159" s="440">
        <f t="shared" si="40"/>
        <v>23</v>
      </c>
      <c r="B159" s="471" t="s">
        <v>129</v>
      </c>
      <c r="C159" s="466">
        <f>'часть 1'!H963</f>
        <v>1028</v>
      </c>
      <c r="D159" s="467">
        <f>'часть 1'!K963</f>
        <v>47</v>
      </c>
      <c r="E159" s="468">
        <v>0</v>
      </c>
      <c r="F159" s="468">
        <v>0</v>
      </c>
      <c r="G159" s="468">
        <v>0</v>
      </c>
      <c r="H159" s="468">
        <v>1</v>
      </c>
      <c r="I159" s="468">
        <f t="shared" si="28"/>
        <v>1</v>
      </c>
      <c r="J159" s="469">
        <v>0</v>
      </c>
      <c r="K159" s="469">
        <v>0</v>
      </c>
      <c r="L159" s="469">
        <v>0</v>
      </c>
      <c r="M159" s="469">
        <f>'часть 1'!L963</f>
        <v>1430935</v>
      </c>
      <c r="N159" s="469">
        <f t="shared" si="41"/>
        <v>1430935</v>
      </c>
      <c r="P159" s="20"/>
    </row>
    <row r="160" spans="1:16">
      <c r="A160" s="178"/>
      <c r="B160" s="218" t="s">
        <v>54</v>
      </c>
      <c r="C160" s="213">
        <f>C161</f>
        <v>0</v>
      </c>
      <c r="D160" s="214">
        <f t="shared" ref="D160:N160" si="42">D161</f>
        <v>0</v>
      </c>
      <c r="E160" s="216">
        <f t="shared" si="42"/>
        <v>0</v>
      </c>
      <c r="F160" s="216">
        <f t="shared" si="42"/>
        <v>0</v>
      </c>
      <c r="G160" s="216">
        <f t="shared" si="42"/>
        <v>0</v>
      </c>
      <c r="H160" s="216" t="e">
        <f t="shared" si="42"/>
        <v>#REF!</v>
      </c>
      <c r="I160" s="216" t="e">
        <f t="shared" si="28"/>
        <v>#REF!</v>
      </c>
      <c r="J160" s="215">
        <f t="shared" si="42"/>
        <v>0</v>
      </c>
      <c r="K160" s="215">
        <f t="shared" si="42"/>
        <v>0</v>
      </c>
      <c r="L160" s="215">
        <f t="shared" si="42"/>
        <v>0</v>
      </c>
      <c r="M160" s="215">
        <f t="shared" si="42"/>
        <v>0</v>
      </c>
      <c r="N160" s="215">
        <f t="shared" si="42"/>
        <v>0</v>
      </c>
      <c r="O160" s="20"/>
      <c r="P160" s="20"/>
    </row>
    <row r="161" spans="1:16" ht="25.5">
      <c r="A161" s="178">
        <f>A159+1</f>
        <v>24</v>
      </c>
      <c r="B161" s="217" t="s">
        <v>112</v>
      </c>
      <c r="C161" s="213">
        <f>'часть 1'!H514</f>
        <v>0</v>
      </c>
      <c r="D161" s="214">
        <f>'часть 1'!K514</f>
        <v>0</v>
      </c>
      <c r="E161" s="216">
        <v>0</v>
      </c>
      <c r="F161" s="216">
        <v>0</v>
      </c>
      <c r="G161" s="216">
        <v>0</v>
      </c>
      <c r="H161" s="216" t="e">
        <f>'часть 2'!#REF!</f>
        <v>#REF!</v>
      </c>
      <c r="I161" s="216" t="e">
        <f t="shared" si="28"/>
        <v>#REF!</v>
      </c>
      <c r="J161" s="215">
        <v>0</v>
      </c>
      <c r="K161" s="215">
        <v>0</v>
      </c>
      <c r="L161" s="215">
        <v>0</v>
      </c>
      <c r="M161" s="215">
        <f>'часть 1'!L514</f>
        <v>0</v>
      </c>
      <c r="N161" s="215">
        <f>M161</f>
        <v>0</v>
      </c>
      <c r="P161" s="20"/>
    </row>
    <row r="162" spans="1:16">
      <c r="A162" s="178"/>
      <c r="B162" s="218" t="s">
        <v>55</v>
      </c>
      <c r="C162" s="213">
        <f>C163</f>
        <v>561.4</v>
      </c>
      <c r="D162" s="213">
        <f t="shared" ref="D162:N162" si="43">D163</f>
        <v>19</v>
      </c>
      <c r="E162" s="213">
        <f t="shared" si="43"/>
        <v>0</v>
      </c>
      <c r="F162" s="213">
        <f t="shared" si="43"/>
        <v>0</v>
      </c>
      <c r="G162" s="213">
        <f t="shared" si="43"/>
        <v>1</v>
      </c>
      <c r="H162" s="213">
        <f t="shared" si="43"/>
        <v>0</v>
      </c>
      <c r="I162" s="213">
        <f t="shared" si="43"/>
        <v>1</v>
      </c>
      <c r="J162" s="215">
        <f t="shared" si="43"/>
        <v>0</v>
      </c>
      <c r="K162" s="215">
        <f t="shared" si="43"/>
        <v>0</v>
      </c>
      <c r="L162" s="215">
        <f t="shared" si="43"/>
        <v>1739787</v>
      </c>
      <c r="M162" s="215">
        <f t="shared" si="43"/>
        <v>0</v>
      </c>
      <c r="N162" s="215">
        <f t="shared" si="43"/>
        <v>1739787</v>
      </c>
      <c r="O162" s="20"/>
      <c r="P162" s="20"/>
    </row>
    <row r="163" spans="1:16" ht="25.5">
      <c r="A163" s="440">
        <v>38</v>
      </c>
      <c r="B163" s="471" t="s">
        <v>590</v>
      </c>
      <c r="C163" s="466">
        <v>561.4</v>
      </c>
      <c r="D163" s="467">
        <v>19</v>
      </c>
      <c r="E163" s="468">
        <v>0</v>
      </c>
      <c r="F163" s="468">
        <v>0</v>
      </c>
      <c r="G163" s="468">
        <v>1</v>
      </c>
      <c r="H163" s="468">
        <v>0</v>
      </c>
      <c r="I163" s="468">
        <f t="shared" si="28"/>
        <v>1</v>
      </c>
      <c r="J163" s="469">
        <v>0</v>
      </c>
      <c r="K163" s="469">
        <v>0</v>
      </c>
      <c r="L163" s="469">
        <v>1739787</v>
      </c>
      <c r="M163" s="469">
        <v>0</v>
      </c>
      <c r="N163" s="469">
        <f>M163+L163+K163+J163</f>
        <v>1739787</v>
      </c>
      <c r="P163" s="20"/>
    </row>
    <row r="164" spans="1:16">
      <c r="A164" s="178"/>
      <c r="B164" s="218" t="s">
        <v>56</v>
      </c>
      <c r="C164" s="213">
        <f>'часть 1'!H523</f>
        <v>23801.1</v>
      </c>
      <c r="D164" s="214">
        <f>'часть 1'!K523</f>
        <v>702</v>
      </c>
      <c r="E164" s="216">
        <f>E165+E166+E167</f>
        <v>0</v>
      </c>
      <c r="F164" s="216">
        <f>F165+F166+F167</f>
        <v>0</v>
      </c>
      <c r="G164" s="216">
        <f>G165+G166+G167</f>
        <v>0</v>
      </c>
      <c r="H164" s="216" t="e">
        <f>H165+H166+H167</f>
        <v>#REF!</v>
      </c>
      <c r="I164" s="216" t="e">
        <f t="shared" si="28"/>
        <v>#REF!</v>
      </c>
      <c r="J164" s="215">
        <f>J165+J166+J167</f>
        <v>0</v>
      </c>
      <c r="K164" s="215">
        <f>K165+K166+K167</f>
        <v>0</v>
      </c>
      <c r="L164" s="215">
        <f>L165+L166+L167</f>
        <v>0</v>
      </c>
      <c r="M164" s="215">
        <f>M165+M166+M167</f>
        <v>12623452</v>
      </c>
      <c r="N164" s="215">
        <f>N165+N166+N167</f>
        <v>12623452</v>
      </c>
      <c r="O164" s="20"/>
      <c r="P164" s="20"/>
    </row>
    <row r="165" spans="1:16" ht="25.5">
      <c r="A165" s="440">
        <v>39</v>
      </c>
      <c r="B165" s="471" t="s">
        <v>424</v>
      </c>
      <c r="C165" s="466">
        <f>'часть 1'!H979</f>
        <v>5703</v>
      </c>
      <c r="D165" s="467">
        <f>'часть 1'!K979</f>
        <v>262</v>
      </c>
      <c r="E165" s="468">
        <v>0</v>
      </c>
      <c r="F165" s="468">
        <v>0</v>
      </c>
      <c r="G165" s="468">
        <v>0</v>
      </c>
      <c r="H165" s="468">
        <v>6</v>
      </c>
      <c r="I165" s="468">
        <f t="shared" si="28"/>
        <v>6</v>
      </c>
      <c r="J165" s="469">
        <v>0</v>
      </c>
      <c r="K165" s="469">
        <v>0</v>
      </c>
      <c r="L165" s="469">
        <v>0</v>
      </c>
      <c r="M165" s="469">
        <f>'часть 1'!L979</f>
        <v>8669678</v>
      </c>
      <c r="N165" s="469">
        <f>M165</f>
        <v>8669678</v>
      </c>
      <c r="P165" s="20"/>
    </row>
    <row r="166" spans="1:16" ht="25.5">
      <c r="A166" s="178">
        <v>40</v>
      </c>
      <c r="B166" s="217" t="s">
        <v>121</v>
      </c>
      <c r="C166" s="213">
        <f>'часть 1'!H986</f>
        <v>1293.3000000000002</v>
      </c>
      <c r="D166" s="214">
        <f>'часть 1'!K986</f>
        <v>57</v>
      </c>
      <c r="E166" s="216">
        <v>0</v>
      </c>
      <c r="F166" s="216">
        <v>0</v>
      </c>
      <c r="G166" s="216">
        <v>0</v>
      </c>
      <c r="H166" s="216">
        <v>3</v>
      </c>
      <c r="I166" s="216">
        <f t="shared" si="28"/>
        <v>3</v>
      </c>
      <c r="J166" s="215">
        <v>0</v>
      </c>
      <c r="K166" s="215">
        <v>0</v>
      </c>
      <c r="L166" s="215">
        <v>0</v>
      </c>
      <c r="M166" s="215">
        <f>'часть 1'!L986</f>
        <v>2114731</v>
      </c>
      <c r="N166" s="215">
        <f>M166</f>
        <v>2114731</v>
      </c>
      <c r="O166" s="20"/>
      <c r="P166" s="20"/>
    </row>
    <row r="167" spans="1:16" ht="25.5">
      <c r="A167" s="178">
        <v>41</v>
      </c>
      <c r="B167" s="217" t="s">
        <v>120</v>
      </c>
      <c r="C167" s="213">
        <f>'часть 1'!H537</f>
        <v>4504.3</v>
      </c>
      <c r="D167" s="214">
        <f>'часть 1'!K537</f>
        <v>203</v>
      </c>
      <c r="E167" s="216">
        <v>0</v>
      </c>
      <c r="F167" s="216">
        <v>0</v>
      </c>
      <c r="G167" s="216">
        <v>0</v>
      </c>
      <c r="H167" s="216" t="e">
        <f>'часть 2'!#REF!</f>
        <v>#REF!</v>
      </c>
      <c r="I167" s="216" t="e">
        <f t="shared" si="28"/>
        <v>#REF!</v>
      </c>
      <c r="J167" s="215">
        <v>0</v>
      </c>
      <c r="K167" s="215">
        <v>0</v>
      </c>
      <c r="L167" s="215">
        <v>0</v>
      </c>
      <c r="M167" s="215">
        <f>'часть 1'!L537</f>
        <v>1839043</v>
      </c>
      <c r="N167" s="215">
        <f>M167</f>
        <v>1839043</v>
      </c>
      <c r="O167" s="20"/>
      <c r="P167" s="20"/>
    </row>
    <row r="168" spans="1:16">
      <c r="A168" s="178"/>
      <c r="B168" s="218" t="s">
        <v>57</v>
      </c>
      <c r="C168" s="213">
        <f>C169</f>
        <v>4519.1000000000004</v>
      </c>
      <c r="D168" s="214">
        <f t="shared" ref="D168:L168" si="44">D169</f>
        <v>141</v>
      </c>
      <c r="E168" s="216">
        <f t="shared" si="44"/>
        <v>0</v>
      </c>
      <c r="F168" s="216">
        <f t="shared" si="44"/>
        <v>0</v>
      </c>
      <c r="G168" s="216">
        <f t="shared" si="44"/>
        <v>0</v>
      </c>
      <c r="H168" s="216">
        <f t="shared" si="44"/>
        <v>2</v>
      </c>
      <c r="I168" s="216">
        <f t="shared" si="28"/>
        <v>2</v>
      </c>
      <c r="J168" s="215">
        <f t="shared" si="44"/>
        <v>0</v>
      </c>
      <c r="K168" s="215">
        <f t="shared" si="44"/>
        <v>0</v>
      </c>
      <c r="L168" s="215">
        <f t="shared" si="44"/>
        <v>0</v>
      </c>
      <c r="M168" s="215">
        <f>M169</f>
        <v>2547865</v>
      </c>
      <c r="N168" s="215">
        <f>N169</f>
        <v>2547865</v>
      </c>
      <c r="P168" s="20"/>
    </row>
    <row r="169" spans="1:16" ht="25.5">
      <c r="A169" s="178">
        <v>42</v>
      </c>
      <c r="B169" s="217" t="s">
        <v>119</v>
      </c>
      <c r="C169" s="213">
        <f>'часть 1'!H993</f>
        <v>4519.1000000000004</v>
      </c>
      <c r="D169" s="214">
        <f>'часть 1'!K993</f>
        <v>141</v>
      </c>
      <c r="E169" s="216">
        <v>0</v>
      </c>
      <c r="F169" s="216">
        <v>0</v>
      </c>
      <c r="G169" s="216">
        <v>0</v>
      </c>
      <c r="H169" s="216">
        <v>2</v>
      </c>
      <c r="I169" s="216">
        <f t="shared" si="28"/>
        <v>2</v>
      </c>
      <c r="J169" s="215">
        <v>0</v>
      </c>
      <c r="K169" s="215">
        <v>0</v>
      </c>
      <c r="L169" s="215">
        <v>0</v>
      </c>
      <c r="M169" s="215">
        <f>'часть 1'!L993</f>
        <v>2547865</v>
      </c>
      <c r="N169" s="215">
        <f>M169</f>
        <v>2547865</v>
      </c>
      <c r="P169" s="20"/>
    </row>
    <row r="170" spans="1:16">
      <c r="A170" s="178"/>
      <c r="B170" s="218" t="s">
        <v>58</v>
      </c>
      <c r="C170" s="213">
        <f>C171</f>
        <v>538.20000000000005</v>
      </c>
      <c r="D170" s="214">
        <f>'часть 1'!K543+'часть 1'!K603</f>
        <v>24</v>
      </c>
      <c r="E170" s="216">
        <f t="shared" ref="E170:N170" si="45">E171</f>
        <v>0</v>
      </c>
      <c r="F170" s="216">
        <f t="shared" si="45"/>
        <v>0</v>
      </c>
      <c r="G170" s="216">
        <f t="shared" si="45"/>
        <v>0</v>
      </c>
      <c r="H170" s="216" t="e">
        <f t="shared" si="45"/>
        <v>#REF!</v>
      </c>
      <c r="I170" s="216" t="e">
        <f t="shared" si="28"/>
        <v>#REF!</v>
      </c>
      <c r="J170" s="215">
        <f t="shared" si="45"/>
        <v>0</v>
      </c>
      <c r="K170" s="215">
        <f t="shared" si="45"/>
        <v>0</v>
      </c>
      <c r="L170" s="215">
        <f t="shared" si="45"/>
        <v>0</v>
      </c>
      <c r="M170" s="215">
        <f t="shared" si="45"/>
        <v>974618</v>
      </c>
      <c r="N170" s="215">
        <f t="shared" si="45"/>
        <v>974618</v>
      </c>
      <c r="P170" s="20"/>
    </row>
    <row r="171" spans="1:16" ht="27.75" customHeight="1">
      <c r="A171" s="178">
        <v>43</v>
      </c>
      <c r="B171" s="217" t="s">
        <v>87</v>
      </c>
      <c r="C171" s="213">
        <f>'часть 1'!H543+'часть 1'!H604</f>
        <v>538.20000000000005</v>
      </c>
      <c r="D171" s="214">
        <f>'часть 1'!K604+'часть 1'!K544</f>
        <v>45</v>
      </c>
      <c r="E171" s="216">
        <v>0</v>
      </c>
      <c r="F171" s="216">
        <v>0</v>
      </c>
      <c r="G171" s="216">
        <v>0</v>
      </c>
      <c r="H171" s="216" t="e">
        <f>'часть 2'!#REF!</f>
        <v>#REF!</v>
      </c>
      <c r="I171" s="216" t="e">
        <f t="shared" si="28"/>
        <v>#REF!</v>
      </c>
      <c r="J171" s="215">
        <v>0</v>
      </c>
      <c r="K171" s="215">
        <v>0</v>
      </c>
      <c r="L171" s="215">
        <v>0</v>
      </c>
      <c r="M171" s="215">
        <f>'часть 2'!C516</f>
        <v>974618</v>
      </c>
      <c r="N171" s="215">
        <f>M171</f>
        <v>974618</v>
      </c>
      <c r="P171" s="20"/>
    </row>
    <row r="172" spans="1:16" ht="30" customHeight="1">
      <c r="A172" s="440"/>
      <c r="B172" s="479" t="s">
        <v>59</v>
      </c>
      <c r="C172" s="466">
        <f>C173+C174</f>
        <v>0</v>
      </c>
      <c r="D172" s="466">
        <f t="shared" ref="D172:N172" si="46">D173+D174</f>
        <v>0</v>
      </c>
      <c r="E172" s="466">
        <f t="shared" si="46"/>
        <v>0</v>
      </c>
      <c r="F172" s="466">
        <f t="shared" si="46"/>
        <v>0</v>
      </c>
      <c r="G172" s="466">
        <f t="shared" si="46"/>
        <v>0</v>
      </c>
      <c r="H172" s="466">
        <f t="shared" si="46"/>
        <v>0</v>
      </c>
      <c r="I172" s="466">
        <f t="shared" si="46"/>
        <v>0</v>
      </c>
      <c r="J172" s="469">
        <f t="shared" si="46"/>
        <v>0</v>
      </c>
      <c r="K172" s="469">
        <f t="shared" si="46"/>
        <v>0</v>
      </c>
      <c r="L172" s="469">
        <f t="shared" si="46"/>
        <v>0</v>
      </c>
      <c r="M172" s="469">
        <f t="shared" si="46"/>
        <v>0</v>
      </c>
      <c r="N172" s="469">
        <f t="shared" si="46"/>
        <v>0</v>
      </c>
      <c r="P172" s="20"/>
    </row>
    <row r="173" spans="1:16" ht="25.5">
      <c r="A173" s="440">
        <v>44</v>
      </c>
      <c r="B173" s="471" t="s">
        <v>86</v>
      </c>
      <c r="C173" s="466">
        <f>'часть 1'!H607</f>
        <v>0</v>
      </c>
      <c r="D173" s="467">
        <f>'часть 1'!K607</f>
        <v>0</v>
      </c>
      <c r="E173" s="468">
        <v>0</v>
      </c>
      <c r="F173" s="468">
        <v>0</v>
      </c>
      <c r="G173" s="468">
        <v>0</v>
      </c>
      <c r="H173" s="468">
        <v>0</v>
      </c>
      <c r="I173" s="468">
        <v>0</v>
      </c>
      <c r="J173" s="469">
        <v>0</v>
      </c>
      <c r="K173" s="469">
        <v>0</v>
      </c>
      <c r="L173" s="469">
        <v>0</v>
      </c>
      <c r="M173" s="469">
        <v>0</v>
      </c>
      <c r="N173" s="469">
        <f>M173</f>
        <v>0</v>
      </c>
      <c r="P173" s="20"/>
    </row>
    <row r="174" spans="1:16" ht="25.5">
      <c r="A174" s="440">
        <v>45</v>
      </c>
      <c r="B174" s="471" t="s">
        <v>85</v>
      </c>
      <c r="C174" s="466">
        <f>'часть 1'!H662</f>
        <v>0</v>
      </c>
      <c r="D174" s="467">
        <f>'часть 1'!K662</f>
        <v>0</v>
      </c>
      <c r="E174" s="468">
        <v>0</v>
      </c>
      <c r="F174" s="468">
        <v>0</v>
      </c>
      <c r="G174" s="468">
        <v>0</v>
      </c>
      <c r="H174" s="468">
        <v>0</v>
      </c>
      <c r="I174" s="468">
        <f t="shared" ref="I174:I180" si="47">H174+G174</f>
        <v>0</v>
      </c>
      <c r="J174" s="469">
        <v>0</v>
      </c>
      <c r="K174" s="469">
        <v>0</v>
      </c>
      <c r="L174" s="469">
        <v>0</v>
      </c>
      <c r="M174" s="469">
        <v>0</v>
      </c>
      <c r="N174" s="469">
        <f>M174</f>
        <v>0</v>
      </c>
      <c r="P174" s="20"/>
    </row>
    <row r="175" spans="1:16">
      <c r="A175" s="178"/>
      <c r="B175" s="218" t="s">
        <v>60</v>
      </c>
      <c r="C175" s="213">
        <f>'часть 1'!H554</f>
        <v>640.4</v>
      </c>
      <c r="D175" s="214">
        <f>'часть 1'!K554</f>
        <v>19</v>
      </c>
      <c r="E175" s="216">
        <f t="shared" ref="E175:N175" si="48">E177</f>
        <v>0</v>
      </c>
      <c r="F175" s="216">
        <f t="shared" si="48"/>
        <v>0</v>
      </c>
      <c r="G175" s="216">
        <f t="shared" si="48"/>
        <v>3</v>
      </c>
      <c r="H175" s="216">
        <f t="shared" si="48"/>
        <v>0</v>
      </c>
      <c r="I175" s="216">
        <f t="shared" si="47"/>
        <v>3</v>
      </c>
      <c r="J175" s="215">
        <f t="shared" si="48"/>
        <v>0</v>
      </c>
      <c r="K175" s="215">
        <f t="shared" si="48"/>
        <v>0</v>
      </c>
      <c r="L175" s="215">
        <f t="shared" si="48"/>
        <v>4886972</v>
      </c>
      <c r="M175" s="215">
        <f t="shared" si="48"/>
        <v>0</v>
      </c>
      <c r="N175" s="215">
        <f t="shared" si="48"/>
        <v>4886972</v>
      </c>
      <c r="P175" s="20"/>
    </row>
    <row r="176" spans="1:16">
      <c r="A176" s="440"/>
      <c r="B176" s="479" t="s">
        <v>208</v>
      </c>
      <c r="C176" s="466">
        <f>'часть 1'!H1013</f>
        <v>274.14</v>
      </c>
      <c r="D176" s="467">
        <f>'часть 1'!K1015</f>
        <v>13</v>
      </c>
      <c r="E176" s="468">
        <v>0</v>
      </c>
      <c r="F176" s="468">
        <v>0</v>
      </c>
      <c r="G176" s="468">
        <v>0</v>
      </c>
      <c r="H176" s="468">
        <v>1</v>
      </c>
      <c r="I176" s="468">
        <f t="shared" si="47"/>
        <v>1</v>
      </c>
      <c r="J176" s="469">
        <v>0</v>
      </c>
      <c r="K176" s="469">
        <v>0</v>
      </c>
      <c r="L176" s="469">
        <v>0</v>
      </c>
      <c r="M176" s="469">
        <v>423156</v>
      </c>
      <c r="N176" s="469">
        <f>M176+L176+K176+J176</f>
        <v>423156</v>
      </c>
      <c r="P176" s="20"/>
    </row>
    <row r="177" spans="1:16">
      <c r="A177" s="440">
        <v>46</v>
      </c>
      <c r="B177" s="471" t="s">
        <v>61</v>
      </c>
      <c r="C177" s="466">
        <v>1469.14</v>
      </c>
      <c r="D177" s="467">
        <v>75</v>
      </c>
      <c r="E177" s="468">
        <v>0</v>
      </c>
      <c r="F177" s="468">
        <v>0</v>
      </c>
      <c r="G177" s="468">
        <v>3</v>
      </c>
      <c r="H177" s="468">
        <v>0</v>
      </c>
      <c r="I177" s="468">
        <f t="shared" si="47"/>
        <v>3</v>
      </c>
      <c r="J177" s="469">
        <v>0</v>
      </c>
      <c r="K177" s="469">
        <v>0</v>
      </c>
      <c r="L177" s="469">
        <v>4886972</v>
      </c>
      <c r="M177" s="469">
        <v>0</v>
      </c>
      <c r="N177" s="469">
        <f>M177+L177+K177+J177</f>
        <v>4886972</v>
      </c>
      <c r="P177" s="20"/>
    </row>
    <row r="178" spans="1:16">
      <c r="A178" s="178"/>
      <c r="B178" s="218" t="s">
        <v>649</v>
      </c>
      <c r="C178" s="213">
        <f>1391.4+1391.4</f>
        <v>2782.8</v>
      </c>
      <c r="D178" s="214">
        <f>39+37</f>
        <v>76</v>
      </c>
      <c r="E178" s="216">
        <v>0</v>
      </c>
      <c r="F178" s="216">
        <v>0</v>
      </c>
      <c r="G178" s="216">
        <v>2</v>
      </c>
      <c r="H178" s="216">
        <v>0</v>
      </c>
      <c r="I178" s="216">
        <v>2</v>
      </c>
      <c r="J178" s="215">
        <v>0</v>
      </c>
      <c r="K178" s="215">
        <v>0</v>
      </c>
      <c r="L178" s="215">
        <f>788836+788836</f>
        <v>1577672</v>
      </c>
      <c r="M178" s="215">
        <v>0</v>
      </c>
      <c r="N178" s="215">
        <f>788836+788836</f>
        <v>1577672</v>
      </c>
      <c r="P178" s="20"/>
    </row>
    <row r="179" spans="1:16">
      <c r="A179" s="440">
        <v>47</v>
      </c>
      <c r="B179" s="471" t="s">
        <v>62</v>
      </c>
      <c r="C179" s="466">
        <f>'часть 1'!H1026</f>
        <v>403.4</v>
      </c>
      <c r="D179" s="467">
        <v>17</v>
      </c>
      <c r="E179" s="468">
        <v>0</v>
      </c>
      <c r="F179" s="468">
        <v>0</v>
      </c>
      <c r="G179" s="468">
        <v>1</v>
      </c>
      <c r="H179" s="468">
        <v>0</v>
      </c>
      <c r="I179" s="468">
        <f t="shared" si="47"/>
        <v>1</v>
      </c>
      <c r="J179" s="469">
        <v>0</v>
      </c>
      <c r="K179" s="469">
        <v>0</v>
      </c>
      <c r="L179" s="469">
        <v>1134905</v>
      </c>
      <c r="M179" s="469">
        <v>0</v>
      </c>
      <c r="N179" s="469">
        <f>M179+L179+K179+J179</f>
        <v>1134905</v>
      </c>
      <c r="P179" s="20"/>
    </row>
    <row r="180" spans="1:16">
      <c r="A180" s="178"/>
      <c r="B180" s="218" t="s">
        <v>211</v>
      </c>
      <c r="C180" s="213">
        <f>'часть 1'!H1038</f>
        <v>1161.3</v>
      </c>
      <c r="D180" s="214">
        <f>'часть 1'!K1038</f>
        <v>32</v>
      </c>
      <c r="E180" s="216">
        <f>E182</f>
        <v>0</v>
      </c>
      <c r="F180" s="216">
        <f>F182</f>
        <v>0</v>
      </c>
      <c r="G180" s="216">
        <f>G182</f>
        <v>0</v>
      </c>
      <c r="H180" s="214">
        <v>2</v>
      </c>
      <c r="I180" s="216">
        <f t="shared" si="47"/>
        <v>2</v>
      </c>
      <c r="J180" s="215">
        <f>J182</f>
        <v>0</v>
      </c>
      <c r="K180" s="215">
        <f>K182</f>
        <v>0</v>
      </c>
      <c r="L180" s="215">
        <f>L182</f>
        <v>0</v>
      </c>
      <c r="M180" s="215">
        <f>'часть 1'!L1038</f>
        <v>3125223</v>
      </c>
      <c r="N180" s="215">
        <f>M180+L180+K180+J180</f>
        <v>3125223</v>
      </c>
      <c r="P180" s="20"/>
    </row>
    <row r="181" spans="1:16">
      <c r="A181" s="440"/>
      <c r="B181" s="479" t="s">
        <v>63</v>
      </c>
      <c r="C181" s="466">
        <f>'часть 1'!H1028</f>
        <v>1388.4</v>
      </c>
      <c r="D181" s="467">
        <f>'часть 1'!K1028</f>
        <v>39</v>
      </c>
      <c r="E181" s="468">
        <v>0</v>
      </c>
      <c r="F181" s="468">
        <v>0</v>
      </c>
      <c r="G181" s="468">
        <v>0</v>
      </c>
      <c r="H181" s="467">
        <v>2</v>
      </c>
      <c r="I181" s="468">
        <v>2</v>
      </c>
      <c r="J181" s="469">
        <v>0</v>
      </c>
      <c r="K181" s="469">
        <v>0</v>
      </c>
      <c r="L181" s="469">
        <v>0</v>
      </c>
      <c r="M181" s="469">
        <v>2751167</v>
      </c>
      <c r="N181" s="469">
        <f>M181+L181+K181+J181</f>
        <v>2751167</v>
      </c>
      <c r="P181" s="20"/>
    </row>
    <row r="182" spans="1:16" ht="20.45" customHeight="1">
      <c r="A182" s="178"/>
      <c r="B182" s="217" t="s">
        <v>64</v>
      </c>
      <c r="C182" s="213">
        <f>C183</f>
        <v>1981.8</v>
      </c>
      <c r="D182" s="213">
        <f t="shared" ref="D182:N182" si="49">D183</f>
        <v>66</v>
      </c>
      <c r="E182" s="213">
        <f t="shared" si="49"/>
        <v>0</v>
      </c>
      <c r="F182" s="213">
        <f t="shared" si="49"/>
        <v>0</v>
      </c>
      <c r="G182" s="213">
        <f t="shared" si="49"/>
        <v>0</v>
      </c>
      <c r="H182" s="213">
        <f t="shared" si="49"/>
        <v>4</v>
      </c>
      <c r="I182" s="213">
        <f t="shared" si="49"/>
        <v>4</v>
      </c>
      <c r="J182" s="215">
        <f t="shared" si="49"/>
        <v>0</v>
      </c>
      <c r="K182" s="215">
        <f t="shared" si="49"/>
        <v>0</v>
      </c>
      <c r="L182" s="215">
        <f t="shared" si="49"/>
        <v>0</v>
      </c>
      <c r="M182" s="215">
        <f t="shared" si="49"/>
        <v>5819333</v>
      </c>
      <c r="N182" s="215">
        <f t="shared" si="49"/>
        <v>5819333</v>
      </c>
      <c r="P182" s="20"/>
    </row>
    <row r="183" spans="1:16" ht="27" customHeight="1">
      <c r="A183" s="440">
        <v>49</v>
      </c>
      <c r="B183" s="471" t="s">
        <v>115</v>
      </c>
      <c r="C183" s="466">
        <v>1981.8</v>
      </c>
      <c r="D183" s="467">
        <v>66</v>
      </c>
      <c r="E183" s="468">
        <v>0</v>
      </c>
      <c r="F183" s="468">
        <v>0</v>
      </c>
      <c r="G183" s="468">
        <v>0</v>
      </c>
      <c r="H183" s="468">
        <v>4</v>
      </c>
      <c r="I183" s="468">
        <f>H183+G183</f>
        <v>4</v>
      </c>
      <c r="J183" s="469">
        <v>0</v>
      </c>
      <c r="K183" s="469">
        <v>0</v>
      </c>
      <c r="L183" s="469">
        <v>0</v>
      </c>
      <c r="M183" s="469">
        <v>5819333</v>
      </c>
      <c r="N183" s="469">
        <f>M183</f>
        <v>5819333</v>
      </c>
      <c r="P183" s="20"/>
    </row>
    <row r="184" spans="1:16">
      <c r="A184" s="178"/>
      <c r="B184" s="218" t="s">
        <v>66</v>
      </c>
      <c r="C184" s="213">
        <f>C185</f>
        <v>1156.8</v>
      </c>
      <c r="D184" s="213">
        <f t="shared" ref="D184:N184" si="50">D185</f>
        <v>44</v>
      </c>
      <c r="E184" s="213">
        <f t="shared" si="50"/>
        <v>0</v>
      </c>
      <c r="F184" s="213">
        <f t="shared" si="50"/>
        <v>0</v>
      </c>
      <c r="G184" s="213">
        <f t="shared" si="50"/>
        <v>0</v>
      </c>
      <c r="H184" s="213">
        <f t="shared" si="50"/>
        <v>1</v>
      </c>
      <c r="I184" s="213">
        <f t="shared" si="50"/>
        <v>1</v>
      </c>
      <c r="J184" s="215">
        <f t="shared" si="50"/>
        <v>0</v>
      </c>
      <c r="K184" s="215">
        <f t="shared" si="50"/>
        <v>0</v>
      </c>
      <c r="L184" s="215">
        <f t="shared" si="50"/>
        <v>0</v>
      </c>
      <c r="M184" s="215">
        <f t="shared" si="50"/>
        <v>2792955</v>
      </c>
      <c r="N184" s="215">
        <f t="shared" si="50"/>
        <v>2792955</v>
      </c>
      <c r="P184" s="20"/>
    </row>
    <row r="185" spans="1:16" ht="25.5">
      <c r="A185" s="440"/>
      <c r="B185" s="471" t="s">
        <v>114</v>
      </c>
      <c r="C185" s="466">
        <v>1156.8</v>
      </c>
      <c r="D185" s="467">
        <v>44</v>
      </c>
      <c r="E185" s="468">
        <v>0</v>
      </c>
      <c r="F185" s="468">
        <v>0</v>
      </c>
      <c r="G185" s="468">
        <v>0</v>
      </c>
      <c r="H185" s="468">
        <v>1</v>
      </c>
      <c r="I185" s="468">
        <f>H185+G185</f>
        <v>1</v>
      </c>
      <c r="J185" s="469">
        <v>0</v>
      </c>
      <c r="K185" s="469">
        <v>0</v>
      </c>
      <c r="L185" s="469">
        <v>0</v>
      </c>
      <c r="M185" s="469">
        <v>2792955</v>
      </c>
      <c r="N185" s="469">
        <f>M185</f>
        <v>2792955</v>
      </c>
      <c r="P185" s="20"/>
    </row>
    <row r="186" spans="1:16">
      <c r="A186" s="440"/>
      <c r="B186" s="471"/>
      <c r="C186" s="466"/>
      <c r="D186" s="467"/>
      <c r="E186" s="467"/>
      <c r="F186" s="467"/>
      <c r="G186" s="467"/>
      <c r="H186" s="467"/>
      <c r="I186" s="468"/>
      <c r="J186" s="469"/>
      <c r="K186" s="469"/>
      <c r="L186" s="469"/>
      <c r="M186" s="469"/>
      <c r="N186" s="469"/>
      <c r="P186" s="20"/>
    </row>
    <row r="187" spans="1:16">
      <c r="A187" s="216"/>
      <c r="B187" s="221"/>
      <c r="C187" s="213"/>
      <c r="D187" s="214"/>
      <c r="E187" s="216"/>
      <c r="F187" s="216"/>
      <c r="G187" s="216"/>
      <c r="H187" s="216"/>
      <c r="I187" s="216"/>
      <c r="J187" s="215"/>
      <c r="K187" s="215"/>
      <c r="L187" s="215"/>
      <c r="M187" s="215"/>
      <c r="N187" s="215"/>
      <c r="P187" s="20"/>
    </row>
    <row r="188" spans="1:16" ht="27" customHeight="1">
      <c r="A188" s="178"/>
      <c r="B188" s="220"/>
      <c r="C188" s="213"/>
      <c r="D188" s="214"/>
      <c r="E188" s="216"/>
      <c r="F188" s="216"/>
      <c r="G188" s="216"/>
      <c r="H188" s="216"/>
      <c r="I188" s="216"/>
      <c r="J188" s="215"/>
      <c r="K188" s="215"/>
      <c r="L188" s="215"/>
      <c r="M188" s="215"/>
      <c r="N188" s="215"/>
      <c r="P188" s="20"/>
    </row>
    <row r="189" spans="1:16">
      <c r="A189" s="178"/>
      <c r="B189" s="217"/>
      <c r="C189" s="213"/>
      <c r="D189" s="214"/>
      <c r="E189" s="216"/>
      <c r="F189" s="216"/>
      <c r="G189" s="216"/>
      <c r="H189" s="216"/>
      <c r="I189" s="216"/>
      <c r="J189" s="215"/>
      <c r="K189" s="215"/>
      <c r="L189" s="215"/>
      <c r="M189" s="215"/>
      <c r="N189" s="215"/>
      <c r="P189" s="20"/>
    </row>
    <row r="190" spans="1:16" ht="29.25" customHeight="1">
      <c r="A190" s="178">
        <f>A188+1</f>
        <v>1</v>
      </c>
      <c r="B190" s="217" t="s">
        <v>212</v>
      </c>
      <c r="C190" s="213" t="e">
        <f>'часть 1'!#REF!</f>
        <v>#REF!</v>
      </c>
      <c r="D190" s="214" t="e">
        <f>'часть 1'!#REF!</f>
        <v>#REF!</v>
      </c>
      <c r="E190" s="216">
        <v>0</v>
      </c>
      <c r="F190" s="216">
        <v>0</v>
      </c>
      <c r="G190" s="216">
        <v>0</v>
      </c>
      <c r="H190" s="216">
        <v>1</v>
      </c>
      <c r="I190" s="216">
        <f>H190+G190</f>
        <v>1</v>
      </c>
      <c r="J190" s="215">
        <v>0</v>
      </c>
      <c r="K190" s="215">
        <v>0</v>
      </c>
      <c r="L190" s="215">
        <v>0</v>
      </c>
      <c r="M190" s="215">
        <f>'часть 2'!C622</f>
        <v>1870046</v>
      </c>
      <c r="N190" s="215">
        <f>M190</f>
        <v>1870046</v>
      </c>
      <c r="P190" s="20"/>
    </row>
    <row r="191" spans="1:16" ht="27" customHeight="1">
      <c r="A191" s="178">
        <v>54</v>
      </c>
      <c r="B191" s="217" t="s">
        <v>213</v>
      </c>
      <c r="C191" s="213" t="e">
        <f>'часть 1'!#REF!</f>
        <v>#REF!</v>
      </c>
      <c r="D191" s="214" t="e">
        <f>'часть 1'!#REF!</f>
        <v>#REF!</v>
      </c>
      <c r="E191" s="216">
        <v>0</v>
      </c>
      <c r="F191" s="216">
        <v>0</v>
      </c>
      <c r="G191" s="216">
        <v>0</v>
      </c>
      <c r="H191" s="216">
        <v>1</v>
      </c>
      <c r="I191" s="216">
        <f>H191+G191</f>
        <v>1</v>
      </c>
      <c r="J191" s="215">
        <v>0</v>
      </c>
      <c r="K191" s="215">
        <v>0</v>
      </c>
      <c r="L191" s="215">
        <v>0</v>
      </c>
      <c r="M191" s="215">
        <f>'часть 2'!C624</f>
        <v>3687908</v>
      </c>
      <c r="N191" s="215">
        <f>M191</f>
        <v>3687908</v>
      </c>
      <c r="P191" s="20"/>
    </row>
    <row r="192" spans="1:16">
      <c r="A192" s="178"/>
      <c r="B192" s="218"/>
      <c r="C192" s="213"/>
      <c r="D192" s="214"/>
      <c r="E192" s="216"/>
      <c r="F192" s="216"/>
      <c r="G192" s="216"/>
      <c r="H192" s="216"/>
      <c r="I192" s="216"/>
      <c r="J192" s="215"/>
      <c r="K192" s="215"/>
      <c r="L192" s="215"/>
      <c r="M192" s="215"/>
      <c r="N192" s="215"/>
      <c r="P192" s="20"/>
    </row>
    <row r="193" spans="1:16">
      <c r="A193" s="440"/>
      <c r="B193" s="471"/>
      <c r="C193" s="466"/>
      <c r="D193" s="467"/>
      <c r="E193" s="468"/>
      <c r="F193" s="468"/>
      <c r="G193" s="468"/>
      <c r="H193" s="468"/>
      <c r="I193" s="468"/>
      <c r="J193" s="469"/>
      <c r="K193" s="469"/>
      <c r="L193" s="469"/>
      <c r="M193" s="469"/>
      <c r="N193" s="469"/>
      <c r="P193" s="20"/>
    </row>
    <row r="194" spans="1:16">
      <c r="A194" s="440">
        <v>56</v>
      </c>
      <c r="B194" s="471" t="s">
        <v>207</v>
      </c>
      <c r="C194" s="466">
        <v>53993.47</v>
      </c>
      <c r="D194" s="467">
        <v>1897</v>
      </c>
      <c r="E194" s="467">
        <v>0</v>
      </c>
      <c r="F194" s="467">
        <v>0</v>
      </c>
      <c r="G194" s="467">
        <v>0</v>
      </c>
      <c r="H194" s="467">
        <v>10</v>
      </c>
      <c r="I194" s="468">
        <f>H194+G194</f>
        <v>10</v>
      </c>
      <c r="J194" s="469">
        <v>0</v>
      </c>
      <c r="K194" s="469">
        <v>0</v>
      </c>
      <c r="L194" s="469">
        <v>0</v>
      </c>
      <c r="M194" s="469">
        <v>22164555</v>
      </c>
      <c r="N194" s="469">
        <f>M194</f>
        <v>22164555</v>
      </c>
      <c r="P194" s="20"/>
    </row>
    <row r="195" spans="1:16">
      <c r="A195" s="216"/>
      <c r="B195" s="221" t="s">
        <v>67</v>
      </c>
      <c r="C195" s="213">
        <f>'часть 1'!H585</f>
        <v>0</v>
      </c>
      <c r="D195" s="214">
        <f>'часть 1'!K585</f>
        <v>0</v>
      </c>
      <c r="E195" s="216">
        <v>0</v>
      </c>
      <c r="F195" s="216">
        <v>0</v>
      </c>
      <c r="G195" s="216">
        <f>G196</f>
        <v>1</v>
      </c>
      <c r="H195" s="216">
        <f>H196+H197</f>
        <v>0</v>
      </c>
      <c r="I195" s="216">
        <f>H195+G195</f>
        <v>1</v>
      </c>
      <c r="J195" s="215">
        <v>0</v>
      </c>
      <c r="K195" s="215">
        <v>0</v>
      </c>
      <c r="L195" s="215">
        <f>L196</f>
        <v>9379653</v>
      </c>
      <c r="M195" s="215">
        <f>M196+M197</f>
        <v>0</v>
      </c>
      <c r="N195" s="215">
        <f>N196+N197</f>
        <v>9379653</v>
      </c>
      <c r="P195" s="20"/>
    </row>
    <row r="196" spans="1:16" ht="27" customHeight="1">
      <c r="A196" s="178">
        <v>57</v>
      </c>
      <c r="B196" s="220" t="s">
        <v>90</v>
      </c>
      <c r="C196" s="213">
        <f>'часть 1'!H586</f>
        <v>0</v>
      </c>
      <c r="D196" s="214">
        <f>'часть 1'!K586</f>
        <v>0</v>
      </c>
      <c r="E196" s="216">
        <v>0</v>
      </c>
      <c r="F196" s="216">
        <v>0</v>
      </c>
      <c r="G196" s="216">
        <v>1</v>
      </c>
      <c r="H196" s="216">
        <v>0</v>
      </c>
      <c r="I196" s="216">
        <f>H196+G196</f>
        <v>1</v>
      </c>
      <c r="J196" s="215">
        <v>0</v>
      </c>
      <c r="K196" s="215">
        <v>0</v>
      </c>
      <c r="L196" s="215">
        <f>'часть 1'!L586</f>
        <v>9379653</v>
      </c>
      <c r="M196" s="215">
        <v>0</v>
      </c>
      <c r="N196" s="215">
        <f>L196</f>
        <v>9379653</v>
      </c>
      <c r="P196" s="20"/>
    </row>
    <row r="197" spans="1:16" ht="25.5">
      <c r="A197" s="440">
        <v>58</v>
      </c>
      <c r="B197" s="471" t="s">
        <v>127</v>
      </c>
      <c r="C197" s="466">
        <v>0</v>
      </c>
      <c r="D197" s="467">
        <v>0</v>
      </c>
      <c r="E197" s="468">
        <v>0</v>
      </c>
      <c r="F197" s="468">
        <v>0</v>
      </c>
      <c r="G197" s="468">
        <v>0</v>
      </c>
      <c r="H197" s="468">
        <v>0</v>
      </c>
      <c r="I197" s="468">
        <v>0</v>
      </c>
      <c r="J197" s="469">
        <v>0</v>
      </c>
      <c r="K197" s="469">
        <v>0</v>
      </c>
      <c r="L197" s="469">
        <v>0</v>
      </c>
      <c r="M197" s="469">
        <v>0</v>
      </c>
      <c r="N197" s="469">
        <v>0</v>
      </c>
      <c r="P197" s="20"/>
    </row>
    <row r="198" spans="1:16" ht="15.75" customHeight="1">
      <c r="A198" s="472">
        <v>1</v>
      </c>
      <c r="B198" s="473" t="s">
        <v>89</v>
      </c>
      <c r="C198" s="474">
        <f>'часть 1'!H193</f>
        <v>1534.2</v>
      </c>
      <c r="D198" s="475">
        <f>'часть 1'!K193</f>
        <v>47</v>
      </c>
      <c r="E198" s="470">
        <v>0</v>
      </c>
      <c r="F198" s="470">
        <v>0</v>
      </c>
      <c r="G198" s="470">
        <v>0</v>
      </c>
      <c r="H198" s="470">
        <v>168</v>
      </c>
      <c r="I198" s="470">
        <f>H198+G198</f>
        <v>168</v>
      </c>
      <c r="J198" s="476">
        <v>0</v>
      </c>
      <c r="K198" s="476">
        <v>0</v>
      </c>
      <c r="L198" s="476">
        <v>0</v>
      </c>
      <c r="M198" s="476">
        <f>'часть 1'!L193</f>
        <v>2435193</v>
      </c>
      <c r="N198" s="476">
        <f t="shared" ref="N198:N203" si="51">M198</f>
        <v>2435193</v>
      </c>
      <c r="O198" s="20"/>
      <c r="P198" s="20"/>
    </row>
    <row r="199" spans="1:16" ht="26.25" customHeight="1">
      <c r="A199" s="158">
        <v>2</v>
      </c>
      <c r="B199" s="212" t="s">
        <v>91</v>
      </c>
      <c r="C199" s="213">
        <f>'часть 1'!H1255</f>
        <v>14224.600000000002</v>
      </c>
      <c r="D199" s="214">
        <f>'часть 1'!K1255</f>
        <v>391</v>
      </c>
      <c r="E199" s="216">
        <v>0</v>
      </c>
      <c r="F199" s="216">
        <v>0</v>
      </c>
      <c r="G199" s="216">
        <v>0</v>
      </c>
      <c r="H199" s="216">
        <v>11</v>
      </c>
      <c r="I199" s="216">
        <f t="shared" ref="I199:I264" si="52">H199+G199</f>
        <v>11</v>
      </c>
      <c r="J199" s="215">
        <v>0</v>
      </c>
      <c r="K199" s="215">
        <v>0</v>
      </c>
      <c r="L199" s="215">
        <v>0</v>
      </c>
      <c r="M199" s="215">
        <f>'часть 1'!L1255</f>
        <v>20085822.140000001</v>
      </c>
      <c r="N199" s="215">
        <f t="shared" si="51"/>
        <v>20085822.140000001</v>
      </c>
      <c r="O199" s="20"/>
      <c r="P199" s="20"/>
    </row>
    <row r="200" spans="1:16" ht="15.75" customHeight="1">
      <c r="A200" s="472">
        <v>3</v>
      </c>
      <c r="B200" s="473" t="s">
        <v>92</v>
      </c>
      <c r="C200" s="474">
        <v>0</v>
      </c>
      <c r="D200" s="475">
        <v>0</v>
      </c>
      <c r="E200" s="470">
        <v>0</v>
      </c>
      <c r="F200" s="470">
        <v>0</v>
      </c>
      <c r="G200" s="470">
        <v>0</v>
      </c>
      <c r="H200" s="470">
        <v>0</v>
      </c>
      <c r="I200" s="470">
        <f t="shared" si="52"/>
        <v>0</v>
      </c>
      <c r="J200" s="476">
        <v>0</v>
      </c>
      <c r="K200" s="476">
        <v>0</v>
      </c>
      <c r="L200" s="476">
        <v>0</v>
      </c>
      <c r="M200" s="625">
        <v>0</v>
      </c>
      <c r="N200" s="625">
        <f t="shared" si="51"/>
        <v>0</v>
      </c>
      <c r="P200" s="20"/>
    </row>
    <row r="201" spans="1:16" ht="15.75" customHeight="1">
      <c r="A201" s="472">
        <v>4</v>
      </c>
      <c r="B201" s="473" t="s">
        <v>93</v>
      </c>
      <c r="C201" s="474">
        <f>'часть 1'!H1269</f>
        <v>16121.400000000001</v>
      </c>
      <c r="D201" s="475">
        <f>'часть 1'!K1269</f>
        <v>400</v>
      </c>
      <c r="E201" s="470">
        <v>0</v>
      </c>
      <c r="F201" s="470">
        <v>0</v>
      </c>
      <c r="G201" s="470">
        <v>0</v>
      </c>
      <c r="H201" s="470">
        <v>4</v>
      </c>
      <c r="I201" s="470">
        <f t="shared" si="52"/>
        <v>4</v>
      </c>
      <c r="J201" s="476">
        <v>0</v>
      </c>
      <c r="K201" s="476">
        <v>0</v>
      </c>
      <c r="L201" s="476">
        <v>0</v>
      </c>
      <c r="M201" s="626">
        <f>'часть 1'!L1269</f>
        <v>12233600</v>
      </c>
      <c r="N201" s="625">
        <f t="shared" si="51"/>
        <v>12233600</v>
      </c>
      <c r="P201" s="20"/>
    </row>
    <row r="202" spans="1:16" ht="16.5" customHeight="1">
      <c r="A202" s="472">
        <v>5</v>
      </c>
      <c r="B202" s="477" t="s">
        <v>94</v>
      </c>
      <c r="C202" s="474">
        <f>'часть 1'!H1295</f>
        <v>5185.7</v>
      </c>
      <c r="D202" s="475">
        <f>'часть 1'!K1295</f>
        <v>172</v>
      </c>
      <c r="E202" s="470">
        <v>0</v>
      </c>
      <c r="F202" s="470">
        <v>0</v>
      </c>
      <c r="G202" s="470">
        <v>0</v>
      </c>
      <c r="H202" s="470">
        <v>2</v>
      </c>
      <c r="I202" s="470">
        <f t="shared" si="52"/>
        <v>2</v>
      </c>
      <c r="J202" s="476">
        <v>0</v>
      </c>
      <c r="K202" s="476">
        <v>0</v>
      </c>
      <c r="L202" s="476">
        <v>0</v>
      </c>
      <c r="M202" s="625">
        <f>'часть 1'!L1295</f>
        <v>2634518</v>
      </c>
      <c r="N202" s="625">
        <f t="shared" si="51"/>
        <v>2634518</v>
      </c>
      <c r="O202" s="20"/>
      <c r="P202" s="20"/>
    </row>
    <row r="203" spans="1:16">
      <c r="A203" s="472">
        <v>6</v>
      </c>
      <c r="B203" s="750" t="s">
        <v>123</v>
      </c>
      <c r="C203" s="751">
        <f>'часть 1'!H1308</f>
        <v>20881.099999999999</v>
      </c>
      <c r="D203" s="752">
        <f>'часть 1'!K1308</f>
        <v>629</v>
      </c>
      <c r="E203" s="779">
        <v>0</v>
      </c>
      <c r="F203" s="779">
        <v>0</v>
      </c>
      <c r="G203" s="779">
        <v>0</v>
      </c>
      <c r="H203" s="472">
        <v>3</v>
      </c>
      <c r="I203" s="470">
        <f t="shared" si="52"/>
        <v>3</v>
      </c>
      <c r="J203" s="753">
        <v>0</v>
      </c>
      <c r="K203" s="753">
        <v>0</v>
      </c>
      <c r="L203" s="753">
        <v>0</v>
      </c>
      <c r="M203" s="753">
        <f>'часть 1'!L1308</f>
        <v>10007426</v>
      </c>
      <c r="N203" s="753">
        <f t="shared" si="51"/>
        <v>10007426</v>
      </c>
      <c r="P203" s="20"/>
    </row>
    <row r="204" spans="1:16">
      <c r="A204" s="472"/>
      <c r="B204" s="750" t="s">
        <v>864</v>
      </c>
      <c r="C204" s="751">
        <f>'часть 1'!H1320</f>
        <v>2514.6999999999998</v>
      </c>
      <c r="D204" s="752">
        <f>'часть 1'!K1320</f>
        <v>82</v>
      </c>
      <c r="E204" s="779">
        <v>0</v>
      </c>
      <c r="F204" s="779">
        <v>0</v>
      </c>
      <c r="G204" s="779">
        <v>1</v>
      </c>
      <c r="H204" s="472">
        <v>0</v>
      </c>
      <c r="I204" s="470">
        <f>H204+G204+F204+E204</f>
        <v>1</v>
      </c>
      <c r="J204" s="753">
        <v>0</v>
      </c>
      <c r="K204" s="753">
        <v>0</v>
      </c>
      <c r="L204" s="753">
        <v>1112894</v>
      </c>
      <c r="M204" s="753">
        <v>0</v>
      </c>
      <c r="N204" s="753">
        <v>1112894</v>
      </c>
      <c r="P204" s="20"/>
    </row>
    <row r="205" spans="1:16">
      <c r="A205" s="749"/>
      <c r="B205" s="750" t="s">
        <v>72</v>
      </c>
      <c r="C205" s="751">
        <f>C206</f>
        <v>2066.4</v>
      </c>
      <c r="D205" s="752">
        <f t="shared" ref="D205:N205" si="53">D206</f>
        <v>80</v>
      </c>
      <c r="E205" s="752">
        <f t="shared" si="53"/>
        <v>0</v>
      </c>
      <c r="F205" s="752">
        <f t="shared" si="53"/>
        <v>0</v>
      </c>
      <c r="G205" s="752">
        <f t="shared" si="53"/>
        <v>0</v>
      </c>
      <c r="H205" s="752">
        <f t="shared" si="53"/>
        <v>4</v>
      </c>
      <c r="I205" s="752">
        <f t="shared" si="53"/>
        <v>4</v>
      </c>
      <c r="J205" s="753">
        <f t="shared" si="53"/>
        <v>0</v>
      </c>
      <c r="K205" s="753">
        <f t="shared" si="53"/>
        <v>0</v>
      </c>
      <c r="L205" s="753">
        <f t="shared" si="53"/>
        <v>0</v>
      </c>
      <c r="M205" s="753">
        <f t="shared" si="53"/>
        <v>4547991</v>
      </c>
      <c r="N205" s="753">
        <f t="shared" si="53"/>
        <v>4547991</v>
      </c>
      <c r="P205" s="20"/>
    </row>
    <row r="206" spans="1:16" ht="25.5">
      <c r="A206" s="749">
        <v>7</v>
      </c>
      <c r="B206" s="750" t="s">
        <v>95</v>
      </c>
      <c r="C206" s="751">
        <f>'часть 1'!H1323</f>
        <v>2066.4</v>
      </c>
      <c r="D206" s="752">
        <f>'часть 1'!K1323</f>
        <v>80</v>
      </c>
      <c r="E206" s="470">
        <v>0</v>
      </c>
      <c r="F206" s="470">
        <v>0</v>
      </c>
      <c r="G206" s="470">
        <v>0</v>
      </c>
      <c r="H206" s="472">
        <v>4</v>
      </c>
      <c r="I206" s="470">
        <f t="shared" si="52"/>
        <v>4</v>
      </c>
      <c r="J206" s="753">
        <v>0</v>
      </c>
      <c r="K206" s="753">
        <v>0</v>
      </c>
      <c r="L206" s="753">
        <v>0</v>
      </c>
      <c r="M206" s="753">
        <f>'часть 1'!L1323</f>
        <v>4547991</v>
      </c>
      <c r="N206" s="753">
        <f>M206</f>
        <v>4547991</v>
      </c>
      <c r="P206" s="20"/>
    </row>
    <row r="207" spans="1:16">
      <c r="A207" s="216"/>
      <c r="B207" s="212" t="s">
        <v>41</v>
      </c>
      <c r="C207" s="213">
        <f>C208</f>
        <v>11641.5</v>
      </c>
      <c r="D207" s="213">
        <f t="shared" ref="D207:N207" si="54">D208</f>
        <v>480</v>
      </c>
      <c r="E207" s="213">
        <f t="shared" si="54"/>
        <v>0</v>
      </c>
      <c r="F207" s="213">
        <f t="shared" si="54"/>
        <v>0</v>
      </c>
      <c r="G207" s="213">
        <f t="shared" si="54"/>
        <v>0</v>
      </c>
      <c r="H207" s="213">
        <f t="shared" si="54"/>
        <v>4</v>
      </c>
      <c r="I207" s="213">
        <f t="shared" si="54"/>
        <v>4</v>
      </c>
      <c r="J207" s="213">
        <f t="shared" si="54"/>
        <v>0</v>
      </c>
      <c r="K207" s="213">
        <f t="shared" si="54"/>
        <v>0</v>
      </c>
      <c r="L207" s="213">
        <f t="shared" si="54"/>
        <v>0</v>
      </c>
      <c r="M207" s="213">
        <f t="shared" si="54"/>
        <v>12671361</v>
      </c>
      <c r="N207" s="213">
        <f t="shared" si="54"/>
        <v>12671361</v>
      </c>
      <c r="P207" s="20"/>
    </row>
    <row r="208" spans="1:16" ht="25.5">
      <c r="A208" s="470">
        <v>8</v>
      </c>
      <c r="B208" s="473" t="s">
        <v>96</v>
      </c>
      <c r="C208" s="474">
        <f>'часть 1'!H1332</f>
        <v>11641.5</v>
      </c>
      <c r="D208" s="475">
        <f>'часть 1'!K1332</f>
        <v>480</v>
      </c>
      <c r="E208" s="470">
        <v>0</v>
      </c>
      <c r="F208" s="470">
        <v>0</v>
      </c>
      <c r="G208" s="470">
        <v>0</v>
      </c>
      <c r="H208" s="470">
        <v>4</v>
      </c>
      <c r="I208" s="470">
        <f t="shared" si="52"/>
        <v>4</v>
      </c>
      <c r="J208" s="476">
        <v>0</v>
      </c>
      <c r="K208" s="476">
        <v>0</v>
      </c>
      <c r="L208" s="476">
        <v>0</v>
      </c>
      <c r="M208" s="476">
        <f>'часть 1'!L1332</f>
        <v>12671361</v>
      </c>
      <c r="N208" s="476">
        <f>M208</f>
        <v>12671361</v>
      </c>
      <c r="P208" s="20"/>
    </row>
    <row r="209" spans="1:16">
      <c r="A209" s="216"/>
      <c r="B209" s="212" t="s">
        <v>68</v>
      </c>
      <c r="C209" s="213">
        <f>C210</f>
        <v>0</v>
      </c>
      <c r="D209" s="214">
        <f t="shared" ref="D209:N209" si="55">D210</f>
        <v>0</v>
      </c>
      <c r="E209" s="216">
        <f t="shared" si="55"/>
        <v>0</v>
      </c>
      <c r="F209" s="216">
        <f t="shared" si="55"/>
        <v>0</v>
      </c>
      <c r="G209" s="216">
        <f t="shared" si="55"/>
        <v>0</v>
      </c>
      <c r="H209" s="216" t="e">
        <f>'часть 2'!#REF!</f>
        <v>#REF!</v>
      </c>
      <c r="I209" s="216" t="e">
        <f t="shared" si="52"/>
        <v>#REF!</v>
      </c>
      <c r="J209" s="215">
        <f t="shared" si="55"/>
        <v>0</v>
      </c>
      <c r="K209" s="215">
        <f t="shared" si="55"/>
        <v>0</v>
      </c>
      <c r="L209" s="215">
        <f t="shared" si="55"/>
        <v>0</v>
      </c>
      <c r="M209" s="215">
        <f>'часть 1'!L455</f>
        <v>1512903</v>
      </c>
      <c r="N209" s="215">
        <f t="shared" si="55"/>
        <v>0</v>
      </c>
      <c r="P209" s="20"/>
    </row>
    <row r="210" spans="1:16" ht="25.5">
      <c r="A210" s="470">
        <v>9</v>
      </c>
      <c r="B210" s="473" t="s">
        <v>97</v>
      </c>
      <c r="C210" s="474">
        <v>0</v>
      </c>
      <c r="D210" s="475">
        <v>0</v>
      </c>
      <c r="E210" s="470">
        <v>0</v>
      </c>
      <c r="F210" s="470">
        <v>0</v>
      </c>
      <c r="G210" s="470">
        <v>0</v>
      </c>
      <c r="H210" s="470">
        <v>0</v>
      </c>
      <c r="I210" s="470">
        <f t="shared" si="52"/>
        <v>0</v>
      </c>
      <c r="J210" s="476">
        <v>0</v>
      </c>
      <c r="K210" s="476">
        <v>0</v>
      </c>
      <c r="L210" s="476">
        <v>0</v>
      </c>
      <c r="M210" s="476">
        <v>0</v>
      </c>
      <c r="N210" s="476">
        <f>M210</f>
        <v>0</v>
      </c>
      <c r="P210" s="20"/>
    </row>
    <row r="211" spans="1:16" s="15" customFormat="1">
      <c r="A211" s="218"/>
      <c r="B211" s="218" t="s">
        <v>43</v>
      </c>
      <c r="C211" s="213">
        <f t="shared" ref="C211:H211" si="56">C212+C213</f>
        <v>1600.52</v>
      </c>
      <c r="D211" s="219">
        <f t="shared" si="56"/>
        <v>49</v>
      </c>
      <c r="E211" s="216">
        <f t="shared" si="56"/>
        <v>0</v>
      </c>
      <c r="F211" s="216">
        <f t="shared" si="56"/>
        <v>0</v>
      </c>
      <c r="G211" s="216">
        <f t="shared" si="56"/>
        <v>0</v>
      </c>
      <c r="H211" s="216" t="e">
        <f t="shared" si="56"/>
        <v>#REF!</v>
      </c>
      <c r="I211" s="216" t="e">
        <f t="shared" si="52"/>
        <v>#REF!</v>
      </c>
      <c r="J211" s="215">
        <f>J212+J213</f>
        <v>0</v>
      </c>
      <c r="K211" s="215">
        <f>K212+K213</f>
        <v>0</v>
      </c>
      <c r="L211" s="215">
        <f>L212+L213</f>
        <v>0</v>
      </c>
      <c r="M211" s="215">
        <f>M212+M213</f>
        <v>2576038</v>
      </c>
      <c r="N211" s="215">
        <f>N212+N213</f>
        <v>2576038</v>
      </c>
      <c r="O211" s="67"/>
      <c r="P211" s="20"/>
    </row>
    <row r="212" spans="1:16" s="15" customFormat="1" ht="25.5">
      <c r="A212" s="216">
        <v>10</v>
      </c>
      <c r="B212" s="217" t="s">
        <v>125</v>
      </c>
      <c r="C212" s="213">
        <f>'часть 1'!H459</f>
        <v>1091.5999999999999</v>
      </c>
      <c r="D212" s="214">
        <f>'часть 1'!K459</f>
        <v>33</v>
      </c>
      <c r="E212" s="216">
        <v>0</v>
      </c>
      <c r="F212" s="216">
        <v>0</v>
      </c>
      <c r="G212" s="216">
        <v>0</v>
      </c>
      <c r="H212" s="216" t="e">
        <f>'часть 2'!#REF!</f>
        <v>#REF!</v>
      </c>
      <c r="I212" s="216" t="e">
        <f t="shared" si="52"/>
        <v>#REF!</v>
      </c>
      <c r="J212" s="215">
        <v>0</v>
      </c>
      <c r="K212" s="215">
        <v>0</v>
      </c>
      <c r="L212" s="215">
        <v>0</v>
      </c>
      <c r="M212" s="215">
        <f>'часть 1'!L459</f>
        <v>1361248</v>
      </c>
      <c r="N212" s="215">
        <f>M212</f>
        <v>1361248</v>
      </c>
      <c r="P212" s="20"/>
    </row>
    <row r="213" spans="1:16" s="15" customFormat="1" ht="25.5">
      <c r="A213" s="216">
        <v>11</v>
      </c>
      <c r="B213" s="217" t="s">
        <v>210</v>
      </c>
      <c r="C213" s="213">
        <f>'часть 1'!H477</f>
        <v>508.92</v>
      </c>
      <c r="D213" s="214">
        <f>'часть 1'!K477</f>
        <v>16</v>
      </c>
      <c r="E213" s="216">
        <v>0</v>
      </c>
      <c r="F213" s="216">
        <v>0</v>
      </c>
      <c r="G213" s="216">
        <v>0</v>
      </c>
      <c r="H213" s="216">
        <v>2</v>
      </c>
      <c r="I213" s="216">
        <f t="shared" si="52"/>
        <v>2</v>
      </c>
      <c r="J213" s="215">
        <v>0</v>
      </c>
      <c r="K213" s="215">
        <v>0</v>
      </c>
      <c r="L213" s="215">
        <v>0</v>
      </c>
      <c r="M213" s="215">
        <f>'часть 1'!L477</f>
        <v>1214790</v>
      </c>
      <c r="N213" s="215">
        <f>M213</f>
        <v>1214790</v>
      </c>
      <c r="P213" s="20"/>
    </row>
    <row r="214" spans="1:16">
      <c r="A214" s="216"/>
      <c r="B214" s="218" t="s">
        <v>44</v>
      </c>
      <c r="C214" s="213">
        <f>C215</f>
        <v>518.5</v>
      </c>
      <c r="D214" s="214">
        <f t="shared" ref="D214:N214" si="57">D215</f>
        <v>27</v>
      </c>
      <c r="E214" s="216">
        <f t="shared" si="57"/>
        <v>0</v>
      </c>
      <c r="F214" s="216">
        <f t="shared" si="57"/>
        <v>0</v>
      </c>
      <c r="G214" s="216">
        <f t="shared" si="57"/>
        <v>0</v>
      </c>
      <c r="H214" s="216">
        <f t="shared" si="57"/>
        <v>1</v>
      </c>
      <c r="I214" s="216">
        <f t="shared" si="52"/>
        <v>1</v>
      </c>
      <c r="J214" s="215">
        <f t="shared" si="57"/>
        <v>0</v>
      </c>
      <c r="K214" s="215">
        <f t="shared" si="57"/>
        <v>0</v>
      </c>
      <c r="L214" s="215">
        <f t="shared" si="57"/>
        <v>0</v>
      </c>
      <c r="M214" s="215">
        <f>'часть 1'!L480</f>
        <v>3037109</v>
      </c>
      <c r="N214" s="215">
        <f t="shared" si="57"/>
        <v>906976</v>
      </c>
      <c r="P214" s="20"/>
    </row>
    <row r="215" spans="1:16" s="14" customFormat="1" ht="25.5">
      <c r="A215" s="470">
        <f>A213+1</f>
        <v>12</v>
      </c>
      <c r="B215" s="477" t="s">
        <v>435</v>
      </c>
      <c r="C215" s="474">
        <f>'часть 1'!H1362</f>
        <v>518.5</v>
      </c>
      <c r="D215" s="475">
        <f>'часть 1'!K1361</f>
        <v>27</v>
      </c>
      <c r="E215" s="470">
        <v>0</v>
      </c>
      <c r="F215" s="470">
        <v>0</v>
      </c>
      <c r="G215" s="470">
        <v>0</v>
      </c>
      <c r="H215" s="470">
        <v>1</v>
      </c>
      <c r="I215" s="470">
        <v>1</v>
      </c>
      <c r="J215" s="476">
        <v>0</v>
      </c>
      <c r="K215" s="476">
        <v>0</v>
      </c>
      <c r="L215" s="476">
        <v>0</v>
      </c>
      <c r="M215" s="476">
        <f>'часть 1'!L1361</f>
        <v>906976</v>
      </c>
      <c r="N215" s="476">
        <f>M215</f>
        <v>906976</v>
      </c>
      <c r="P215" s="20"/>
    </row>
    <row r="216" spans="1:16">
      <c r="A216" s="216"/>
      <c r="B216" s="218" t="s">
        <v>45</v>
      </c>
      <c r="C216" s="213">
        <f>C217+C218+C219+C220+C221+C222+C223</f>
        <v>11088.41</v>
      </c>
      <c r="D216" s="213">
        <f t="shared" ref="D216:N216" si="58">D217+D218+D219+D220+D221+D222+D223</f>
        <v>381</v>
      </c>
      <c r="E216" s="213">
        <f t="shared" si="58"/>
        <v>0</v>
      </c>
      <c r="F216" s="213">
        <f t="shared" si="58"/>
        <v>0</v>
      </c>
      <c r="G216" s="213">
        <f t="shared" si="58"/>
        <v>1</v>
      </c>
      <c r="H216" s="213">
        <f t="shared" si="58"/>
        <v>5</v>
      </c>
      <c r="I216" s="213">
        <f t="shared" si="58"/>
        <v>6</v>
      </c>
      <c r="J216" s="215">
        <f t="shared" si="58"/>
        <v>0</v>
      </c>
      <c r="K216" s="215">
        <f t="shared" si="58"/>
        <v>0</v>
      </c>
      <c r="L216" s="215">
        <f t="shared" si="58"/>
        <v>1648047</v>
      </c>
      <c r="M216" s="215">
        <f t="shared" si="58"/>
        <v>9461519</v>
      </c>
      <c r="N216" s="215">
        <f t="shared" si="58"/>
        <v>11109566</v>
      </c>
      <c r="O216" s="20"/>
      <c r="P216" s="20"/>
    </row>
    <row r="217" spans="1:16" ht="25.5">
      <c r="A217" s="470">
        <f>A215+1</f>
        <v>13</v>
      </c>
      <c r="B217" s="521" t="s">
        <v>98</v>
      </c>
      <c r="C217" s="474">
        <f>'часть 1'!H1365</f>
        <v>3642.1</v>
      </c>
      <c r="D217" s="475">
        <f>'часть 1'!K1365</f>
        <v>158</v>
      </c>
      <c r="E217" s="470">
        <v>0</v>
      </c>
      <c r="F217" s="470">
        <v>0</v>
      </c>
      <c r="G217" s="470">
        <v>0</v>
      </c>
      <c r="H217" s="470">
        <v>1</v>
      </c>
      <c r="I217" s="470">
        <f t="shared" si="52"/>
        <v>1</v>
      </c>
      <c r="J217" s="476">
        <v>0</v>
      </c>
      <c r="K217" s="476">
        <v>0</v>
      </c>
      <c r="L217" s="476">
        <v>0</v>
      </c>
      <c r="M217" s="476">
        <f>'часть 1'!L1365</f>
        <v>2377747</v>
      </c>
      <c r="N217" s="476">
        <f>M217</f>
        <v>2377747</v>
      </c>
      <c r="P217" s="20"/>
    </row>
    <row r="218" spans="1:16" ht="25.5">
      <c r="A218" s="470"/>
      <c r="B218" s="521" t="s">
        <v>688</v>
      </c>
      <c r="C218" s="474">
        <f>'часть 1'!H1368</f>
        <v>489.41</v>
      </c>
      <c r="D218" s="475">
        <f>'часть 1'!K1368</f>
        <v>20</v>
      </c>
      <c r="E218" s="470">
        <v>0</v>
      </c>
      <c r="F218" s="470">
        <v>0</v>
      </c>
      <c r="G218" s="470">
        <v>0</v>
      </c>
      <c r="H218" s="470">
        <v>1</v>
      </c>
      <c r="I218" s="470">
        <v>1</v>
      </c>
      <c r="J218" s="476">
        <v>0</v>
      </c>
      <c r="K218" s="476">
        <v>0</v>
      </c>
      <c r="L218" s="476">
        <v>0</v>
      </c>
      <c r="M218" s="476">
        <v>901450</v>
      </c>
      <c r="N218" s="476">
        <f>M218+L218+K218+J218</f>
        <v>901450</v>
      </c>
      <c r="P218" s="20"/>
    </row>
    <row r="219" spans="1:16" ht="25.5">
      <c r="A219" s="470">
        <f>A217+1</f>
        <v>14</v>
      </c>
      <c r="B219" s="477" t="s">
        <v>99</v>
      </c>
      <c r="C219" s="419">
        <f>'часть 1'!H1369</f>
        <v>1025.3</v>
      </c>
      <c r="D219" s="454">
        <f>'часть 1'!K1369</f>
        <v>34</v>
      </c>
      <c r="E219" s="470">
        <v>0</v>
      </c>
      <c r="F219" s="470">
        <v>0</v>
      </c>
      <c r="G219" s="470">
        <v>0</v>
      </c>
      <c r="H219" s="453">
        <v>1</v>
      </c>
      <c r="I219" s="470">
        <f t="shared" si="52"/>
        <v>1</v>
      </c>
      <c r="J219" s="476">
        <v>0</v>
      </c>
      <c r="K219" s="476">
        <v>0</v>
      </c>
      <c r="L219" s="476">
        <v>0</v>
      </c>
      <c r="M219" s="476">
        <f>'часть 1'!L1369</f>
        <v>1696092</v>
      </c>
      <c r="N219" s="476">
        <f>M219</f>
        <v>1696092</v>
      </c>
      <c r="P219" s="20"/>
    </row>
    <row r="220" spans="1:16" ht="25.5">
      <c r="A220" s="470">
        <f>A219+1</f>
        <v>15</v>
      </c>
      <c r="B220" s="477" t="s">
        <v>100</v>
      </c>
      <c r="C220" s="474">
        <v>0</v>
      </c>
      <c r="D220" s="475">
        <v>0</v>
      </c>
      <c r="E220" s="470">
        <v>0</v>
      </c>
      <c r="F220" s="470">
        <v>0</v>
      </c>
      <c r="G220" s="470">
        <v>0</v>
      </c>
      <c r="H220" s="470">
        <v>0</v>
      </c>
      <c r="I220" s="470">
        <f t="shared" si="52"/>
        <v>0</v>
      </c>
      <c r="J220" s="476">
        <v>0</v>
      </c>
      <c r="K220" s="476">
        <v>0</v>
      </c>
      <c r="L220" s="476">
        <v>0</v>
      </c>
      <c r="M220" s="476">
        <v>0</v>
      </c>
      <c r="N220" s="476">
        <f>M220</f>
        <v>0</v>
      </c>
      <c r="P220" s="20"/>
    </row>
    <row r="221" spans="1:16" ht="25.5">
      <c r="A221" s="470">
        <f>A220+1</f>
        <v>16</v>
      </c>
      <c r="B221" s="477" t="s">
        <v>101</v>
      </c>
      <c r="C221" s="474">
        <f>'часть 1'!H1373</f>
        <v>1472.1</v>
      </c>
      <c r="D221" s="475">
        <f>'часть 1'!K1373</f>
        <v>29</v>
      </c>
      <c r="E221" s="470">
        <v>0</v>
      </c>
      <c r="F221" s="470">
        <v>0</v>
      </c>
      <c r="G221" s="470">
        <v>1</v>
      </c>
      <c r="H221" s="470">
        <v>0</v>
      </c>
      <c r="I221" s="470">
        <f t="shared" si="52"/>
        <v>1</v>
      </c>
      <c r="J221" s="476">
        <v>0</v>
      </c>
      <c r="K221" s="476">
        <v>0</v>
      </c>
      <c r="L221" s="476">
        <f>'часть 1'!L1373</f>
        <v>1648047</v>
      </c>
      <c r="M221" s="476">
        <v>0</v>
      </c>
      <c r="N221" s="476">
        <f>M221+L221+K221+J221</f>
        <v>1648047</v>
      </c>
      <c r="P221" s="20"/>
    </row>
    <row r="222" spans="1:16" ht="28.5" customHeight="1">
      <c r="A222" s="453">
        <f>A221+1</f>
        <v>17</v>
      </c>
      <c r="B222" s="477" t="s">
        <v>586</v>
      </c>
      <c r="C222" s="474">
        <f>'часть 1'!H1375</f>
        <v>874.2</v>
      </c>
      <c r="D222" s="475">
        <f>'часть 1'!K1375</f>
        <v>33</v>
      </c>
      <c r="E222" s="470">
        <v>0</v>
      </c>
      <c r="F222" s="470">
        <v>0</v>
      </c>
      <c r="G222" s="470">
        <v>0</v>
      </c>
      <c r="H222" s="470">
        <v>1</v>
      </c>
      <c r="I222" s="470">
        <f t="shared" si="52"/>
        <v>1</v>
      </c>
      <c r="J222" s="476">
        <v>0</v>
      </c>
      <c r="K222" s="476">
        <v>0</v>
      </c>
      <c r="L222" s="476">
        <v>0</v>
      </c>
      <c r="M222" s="476">
        <f>'часть 1'!L1375</f>
        <v>2577836</v>
      </c>
      <c r="N222" s="476">
        <f>M222</f>
        <v>2577836</v>
      </c>
      <c r="P222" s="20"/>
    </row>
    <row r="223" spans="1:16" ht="28.5" customHeight="1">
      <c r="A223" s="453"/>
      <c r="B223" s="477" t="s">
        <v>861</v>
      </c>
      <c r="C223" s="474">
        <f>'часть 1'!H1377</f>
        <v>3585.3</v>
      </c>
      <c r="D223" s="475">
        <f>'часть 1'!K1377</f>
        <v>107</v>
      </c>
      <c r="E223" s="470">
        <v>0</v>
      </c>
      <c r="F223" s="470">
        <v>0</v>
      </c>
      <c r="G223" s="470">
        <v>0</v>
      </c>
      <c r="H223" s="470">
        <v>1</v>
      </c>
      <c r="I223" s="470">
        <f t="shared" si="52"/>
        <v>1</v>
      </c>
      <c r="J223" s="476">
        <v>0</v>
      </c>
      <c r="K223" s="476">
        <v>0</v>
      </c>
      <c r="L223" s="476">
        <v>0</v>
      </c>
      <c r="M223" s="476">
        <f>'часть 1'!L1377</f>
        <v>1908394</v>
      </c>
      <c r="N223" s="476">
        <f>M223+L223+K223+J223</f>
        <v>1908394</v>
      </c>
      <c r="P223" s="20"/>
    </row>
    <row r="224" spans="1:16">
      <c r="A224" s="216"/>
      <c r="B224" s="218" t="s">
        <v>46</v>
      </c>
      <c r="C224" s="213">
        <f>C225</f>
        <v>466.2</v>
      </c>
      <c r="D224" s="213">
        <f t="shared" ref="D224:N224" si="59">D225</f>
        <v>17</v>
      </c>
      <c r="E224" s="213">
        <f t="shared" si="59"/>
        <v>0</v>
      </c>
      <c r="F224" s="213">
        <f t="shared" si="59"/>
        <v>0</v>
      </c>
      <c r="G224" s="213">
        <f t="shared" si="59"/>
        <v>0</v>
      </c>
      <c r="H224" s="213">
        <f t="shared" si="59"/>
        <v>1</v>
      </c>
      <c r="I224" s="213">
        <f t="shared" si="59"/>
        <v>1</v>
      </c>
      <c r="J224" s="215">
        <f t="shared" si="59"/>
        <v>0</v>
      </c>
      <c r="K224" s="215">
        <f t="shared" si="59"/>
        <v>0</v>
      </c>
      <c r="L224" s="215">
        <f t="shared" si="59"/>
        <v>0</v>
      </c>
      <c r="M224" s="215">
        <f t="shared" si="59"/>
        <v>684446</v>
      </c>
      <c r="N224" s="215">
        <f t="shared" si="59"/>
        <v>684446</v>
      </c>
      <c r="O224" s="20"/>
      <c r="P224" s="20"/>
    </row>
    <row r="225" spans="1:16" ht="25.5">
      <c r="A225" s="470">
        <f>A222+1</f>
        <v>18</v>
      </c>
      <c r="B225" s="477" t="s">
        <v>587</v>
      </c>
      <c r="C225" s="474">
        <v>466.2</v>
      </c>
      <c r="D225" s="475">
        <v>17</v>
      </c>
      <c r="E225" s="470">
        <v>0</v>
      </c>
      <c r="F225" s="470">
        <v>0</v>
      </c>
      <c r="G225" s="470">
        <v>0</v>
      </c>
      <c r="H225" s="470">
        <v>1</v>
      </c>
      <c r="I225" s="470">
        <f t="shared" si="52"/>
        <v>1</v>
      </c>
      <c r="J225" s="476">
        <v>0</v>
      </c>
      <c r="K225" s="476">
        <v>0</v>
      </c>
      <c r="L225" s="476">
        <v>0</v>
      </c>
      <c r="M225" s="476">
        <v>684446</v>
      </c>
      <c r="N225" s="476">
        <f>M225</f>
        <v>684446</v>
      </c>
      <c r="P225" s="20"/>
    </row>
    <row r="226" spans="1:16" ht="20.45" customHeight="1">
      <c r="A226" s="216"/>
      <c r="B226" s="218" t="s">
        <v>47</v>
      </c>
      <c r="C226" s="213">
        <f>C227</f>
        <v>930</v>
      </c>
      <c r="D226" s="213">
        <f t="shared" ref="D226:N226" si="60">D227</f>
        <v>45</v>
      </c>
      <c r="E226" s="213">
        <f t="shared" si="60"/>
        <v>0</v>
      </c>
      <c r="F226" s="213">
        <f t="shared" si="60"/>
        <v>0</v>
      </c>
      <c r="G226" s="213">
        <f t="shared" si="60"/>
        <v>0</v>
      </c>
      <c r="H226" s="213">
        <f t="shared" si="60"/>
        <v>1</v>
      </c>
      <c r="I226" s="213">
        <f t="shared" si="60"/>
        <v>1</v>
      </c>
      <c r="J226" s="215">
        <f t="shared" si="60"/>
        <v>0</v>
      </c>
      <c r="K226" s="215">
        <f t="shared" si="60"/>
        <v>0</v>
      </c>
      <c r="L226" s="215">
        <f t="shared" si="60"/>
        <v>0</v>
      </c>
      <c r="M226" s="215">
        <f t="shared" si="60"/>
        <v>2602688</v>
      </c>
      <c r="N226" s="215">
        <f t="shared" si="60"/>
        <v>2602688</v>
      </c>
      <c r="O226" s="20"/>
      <c r="P226" s="20"/>
    </row>
    <row r="227" spans="1:16" ht="25.5">
      <c r="A227" s="453">
        <f>A225+1</f>
        <v>19</v>
      </c>
      <c r="B227" s="477" t="s">
        <v>103</v>
      </c>
      <c r="C227" s="474">
        <f>'часть 1'!H1384</f>
        <v>930</v>
      </c>
      <c r="D227" s="475">
        <f>'часть 1'!K1384</f>
        <v>45</v>
      </c>
      <c r="E227" s="470">
        <v>0</v>
      </c>
      <c r="F227" s="470">
        <v>0</v>
      </c>
      <c r="G227" s="470">
        <v>0</v>
      </c>
      <c r="H227" s="470">
        <v>1</v>
      </c>
      <c r="I227" s="470">
        <f t="shared" si="52"/>
        <v>1</v>
      </c>
      <c r="J227" s="476">
        <v>0</v>
      </c>
      <c r="K227" s="476">
        <v>0</v>
      </c>
      <c r="L227" s="476">
        <v>0</v>
      </c>
      <c r="M227" s="476">
        <f>'часть 1'!L1384</f>
        <v>2602688</v>
      </c>
      <c r="N227" s="476">
        <f>M227</f>
        <v>2602688</v>
      </c>
      <c r="P227" s="20"/>
    </row>
    <row r="228" spans="1:16" s="7" customFormat="1">
      <c r="A228" s="216"/>
      <c r="B228" s="218" t="s">
        <v>48</v>
      </c>
      <c r="C228" s="213">
        <f>'часть 1'!H513</f>
        <v>0</v>
      </c>
      <c r="D228" s="214">
        <f>'часть 1'!K513</f>
        <v>0</v>
      </c>
      <c r="E228" s="216">
        <f>E229+E230</f>
        <v>0</v>
      </c>
      <c r="F228" s="216">
        <f>F229+F230</f>
        <v>0</v>
      </c>
      <c r="G228" s="216">
        <f>G229+G230</f>
        <v>0</v>
      </c>
      <c r="H228" s="216" t="e">
        <f>H229+H230</f>
        <v>#REF!</v>
      </c>
      <c r="I228" s="216" t="e">
        <f t="shared" si="52"/>
        <v>#REF!</v>
      </c>
      <c r="J228" s="215">
        <f>J229+J230</f>
        <v>0</v>
      </c>
      <c r="K228" s="215">
        <f>K229+K230</f>
        <v>0</v>
      </c>
      <c r="L228" s="215">
        <f>L229+L230</f>
        <v>0</v>
      </c>
      <c r="M228" s="215">
        <f>M229+M230</f>
        <v>4233663</v>
      </c>
      <c r="N228" s="215">
        <f>N229+N230</f>
        <v>4233663</v>
      </c>
      <c r="O228" s="31"/>
      <c r="P228" s="20"/>
    </row>
    <row r="229" spans="1:16" ht="25.5">
      <c r="A229" s="453">
        <f>A227+1</f>
        <v>20</v>
      </c>
      <c r="B229" s="477" t="s">
        <v>107</v>
      </c>
      <c r="C229" s="474">
        <f>'часть 1'!H1387</f>
        <v>1876</v>
      </c>
      <c r="D229" s="475">
        <f>'часть 1'!K1387</f>
        <v>41</v>
      </c>
      <c r="E229" s="470">
        <v>0</v>
      </c>
      <c r="F229" s="470">
        <v>0</v>
      </c>
      <c r="G229" s="470">
        <v>0</v>
      </c>
      <c r="H229" s="470">
        <v>1</v>
      </c>
      <c r="I229" s="470">
        <f t="shared" si="52"/>
        <v>1</v>
      </c>
      <c r="J229" s="476">
        <v>0</v>
      </c>
      <c r="K229" s="476">
        <v>0</v>
      </c>
      <c r="L229" s="476">
        <v>0</v>
      </c>
      <c r="M229" s="476">
        <f>'часть 1'!L1387</f>
        <v>2102577</v>
      </c>
      <c r="N229" s="476">
        <f>M229</f>
        <v>2102577</v>
      </c>
      <c r="P229" s="20"/>
    </row>
    <row r="230" spans="1:16" ht="27" customHeight="1">
      <c r="A230" s="178">
        <f>A229+1</f>
        <v>21</v>
      </c>
      <c r="B230" s="217" t="s">
        <v>104</v>
      </c>
      <c r="C230" s="213">
        <f>'часть 1'!H518</f>
        <v>3286.8</v>
      </c>
      <c r="D230" s="214">
        <f>'часть 1'!K518</f>
        <v>100</v>
      </c>
      <c r="E230" s="216">
        <v>0</v>
      </c>
      <c r="F230" s="216">
        <v>0</v>
      </c>
      <c r="G230" s="216">
        <v>0</v>
      </c>
      <c r="H230" s="216" t="e">
        <f>'часть 2'!#REF!</f>
        <v>#REF!</v>
      </c>
      <c r="I230" s="216" t="e">
        <f t="shared" si="52"/>
        <v>#REF!</v>
      </c>
      <c r="J230" s="215">
        <v>0</v>
      </c>
      <c r="K230" s="215">
        <v>0</v>
      </c>
      <c r="L230" s="215">
        <v>0</v>
      </c>
      <c r="M230" s="215">
        <f>'часть 1'!L518</f>
        <v>2131086</v>
      </c>
      <c r="N230" s="215">
        <f>M230</f>
        <v>2131086</v>
      </c>
      <c r="P230" s="20"/>
    </row>
    <row r="231" spans="1:16">
      <c r="A231" s="178"/>
      <c r="B231" s="218" t="s">
        <v>49</v>
      </c>
      <c r="C231" s="213">
        <f>'часть 1'!H520</f>
        <v>0</v>
      </c>
      <c r="D231" s="214">
        <f>'часть 1'!K520</f>
        <v>0</v>
      </c>
      <c r="E231" s="216">
        <f t="shared" ref="E231:K231" si="61">E232</f>
        <v>0</v>
      </c>
      <c r="F231" s="216">
        <f t="shared" si="61"/>
        <v>0</v>
      </c>
      <c r="G231" s="216">
        <f>G232+G233+G234+G235</f>
        <v>1</v>
      </c>
      <c r="H231" s="216">
        <f>H232+H233+H234+H235</f>
        <v>2</v>
      </c>
      <c r="I231" s="216">
        <f t="shared" si="52"/>
        <v>3</v>
      </c>
      <c r="J231" s="215">
        <f t="shared" si="61"/>
        <v>0</v>
      </c>
      <c r="K231" s="215">
        <f t="shared" si="61"/>
        <v>0</v>
      </c>
      <c r="L231" s="215">
        <f>L233</f>
        <v>2447351.64</v>
      </c>
      <c r="M231" s="215">
        <f>SUM(M232:M235)</f>
        <v>2041028.6400000001</v>
      </c>
      <c r="N231" s="215">
        <f>SUM(N232:N235)</f>
        <v>7291362.5800000001</v>
      </c>
      <c r="O231" s="20"/>
      <c r="P231" s="20"/>
    </row>
    <row r="232" spans="1:16" ht="25.5">
      <c r="A232" s="453">
        <f>A230+1</f>
        <v>22</v>
      </c>
      <c r="B232" s="477" t="s">
        <v>588</v>
      </c>
      <c r="C232" s="474">
        <f>'часть 1'!H1393</f>
        <v>637.1</v>
      </c>
      <c r="D232" s="475">
        <f>'часть 1'!K1393</f>
        <v>24</v>
      </c>
      <c r="E232" s="470">
        <v>0</v>
      </c>
      <c r="F232" s="470">
        <v>0</v>
      </c>
      <c r="G232" s="470">
        <v>0</v>
      </c>
      <c r="H232" s="470">
        <v>1</v>
      </c>
      <c r="I232" s="470">
        <f t="shared" si="52"/>
        <v>1</v>
      </c>
      <c r="J232" s="476">
        <v>0</v>
      </c>
      <c r="K232" s="476">
        <v>0</v>
      </c>
      <c r="L232" s="476">
        <v>0</v>
      </c>
      <c r="M232" s="476">
        <v>1551685</v>
      </c>
      <c r="N232" s="476">
        <f>M232</f>
        <v>1551685</v>
      </c>
      <c r="P232" s="20"/>
    </row>
    <row r="233" spans="1:16" ht="25.5">
      <c r="A233" s="178">
        <f>A232+1</f>
        <v>23</v>
      </c>
      <c r="B233" s="217" t="s">
        <v>188</v>
      </c>
      <c r="C233" s="213">
        <f>'часть 1'!H524</f>
        <v>23801.1</v>
      </c>
      <c r="D233" s="214">
        <f>'часть 1'!K524</f>
        <v>702</v>
      </c>
      <c r="E233" s="216">
        <v>0</v>
      </c>
      <c r="F233" s="216">
        <v>0</v>
      </c>
      <c r="G233" s="216">
        <v>0</v>
      </c>
      <c r="H233" s="216">
        <v>0</v>
      </c>
      <c r="I233" s="216">
        <f t="shared" si="52"/>
        <v>0</v>
      </c>
      <c r="J233" s="215">
        <v>0</v>
      </c>
      <c r="K233" s="215">
        <v>0</v>
      </c>
      <c r="L233" s="215">
        <f>'часть 1'!L524</f>
        <v>2447351.64</v>
      </c>
      <c r="M233" s="215">
        <v>0</v>
      </c>
      <c r="N233" s="215">
        <f>L233</f>
        <v>2447351.64</v>
      </c>
      <c r="P233" s="20"/>
    </row>
    <row r="234" spans="1:16" ht="25.5">
      <c r="A234" s="178">
        <f>A233+1</f>
        <v>24</v>
      </c>
      <c r="B234" s="217" t="s">
        <v>189</v>
      </c>
      <c r="C234" s="213">
        <f>'часть 1'!H527</f>
        <v>5460.1</v>
      </c>
      <c r="D234" s="214">
        <f>'часть 1'!K527</f>
        <v>132</v>
      </c>
      <c r="E234" s="216">
        <v>0</v>
      </c>
      <c r="F234" s="216">
        <v>0</v>
      </c>
      <c r="G234" s="216">
        <v>0</v>
      </c>
      <c r="H234" s="216">
        <v>1</v>
      </c>
      <c r="I234" s="216">
        <f t="shared" si="52"/>
        <v>1</v>
      </c>
      <c r="J234" s="215">
        <v>0</v>
      </c>
      <c r="K234" s="215">
        <v>0</v>
      </c>
      <c r="L234" s="215">
        <v>0</v>
      </c>
      <c r="M234" s="215">
        <f>'часть 1'!L527</f>
        <v>489343.64</v>
      </c>
      <c r="N234" s="215">
        <f>M234</f>
        <v>489343.64</v>
      </c>
      <c r="P234" s="20"/>
    </row>
    <row r="235" spans="1:16" ht="25.5">
      <c r="A235" s="178">
        <f>A234+1</f>
        <v>25</v>
      </c>
      <c r="B235" s="217" t="s">
        <v>589</v>
      </c>
      <c r="C235" s="213">
        <f>'часть 1'!H1401</f>
        <v>2818.6</v>
      </c>
      <c r="D235" s="214">
        <f>'часть 1'!K1401</f>
        <v>156</v>
      </c>
      <c r="E235" s="216">
        <v>0</v>
      </c>
      <c r="F235" s="216">
        <v>0</v>
      </c>
      <c r="G235" s="216">
        <v>1</v>
      </c>
      <c r="H235" s="216">
        <v>0</v>
      </c>
      <c r="I235" s="216">
        <f>H235+G235</f>
        <v>1</v>
      </c>
      <c r="J235" s="215">
        <v>0</v>
      </c>
      <c r="K235" s="215">
        <v>0</v>
      </c>
      <c r="L235" s="215">
        <v>2802982.3</v>
      </c>
      <c r="M235" s="215">
        <v>0</v>
      </c>
      <c r="N235" s="215">
        <v>2802982.3</v>
      </c>
      <c r="P235" s="20"/>
    </row>
    <row r="236" spans="1:16" ht="12.6" customHeight="1">
      <c r="A236" s="178"/>
      <c r="B236" s="218" t="s">
        <v>50</v>
      </c>
      <c r="C236" s="213">
        <f>C237</f>
        <v>7969.19</v>
      </c>
      <c r="D236" s="214">
        <f t="shared" ref="D236:N236" si="62">D237</f>
        <v>301</v>
      </c>
      <c r="E236" s="216">
        <f t="shared" si="62"/>
        <v>0</v>
      </c>
      <c r="F236" s="216">
        <f t="shared" si="62"/>
        <v>0</v>
      </c>
      <c r="G236" s="216">
        <f t="shared" si="62"/>
        <v>0</v>
      </c>
      <c r="H236" s="216">
        <f t="shared" si="62"/>
        <v>9</v>
      </c>
      <c r="I236" s="216">
        <f t="shared" si="52"/>
        <v>9</v>
      </c>
      <c r="J236" s="215">
        <f t="shared" si="62"/>
        <v>0</v>
      </c>
      <c r="K236" s="215">
        <f t="shared" si="62"/>
        <v>0</v>
      </c>
      <c r="L236" s="215">
        <f t="shared" si="62"/>
        <v>0</v>
      </c>
      <c r="M236" s="215">
        <f t="shared" si="62"/>
        <v>13218958</v>
      </c>
      <c r="N236" s="215">
        <f t="shared" si="62"/>
        <v>13218958</v>
      </c>
      <c r="O236" s="20"/>
      <c r="P236" s="20"/>
    </row>
    <row r="237" spans="1:16" ht="25.5">
      <c r="A237" s="178">
        <f>A235+1</f>
        <v>26</v>
      </c>
      <c r="B237" s="217" t="s">
        <v>106</v>
      </c>
      <c r="C237" s="213">
        <f>'часть 1'!H1404</f>
        <v>7969.19</v>
      </c>
      <c r="D237" s="214">
        <f>'часть 1'!K1404</f>
        <v>301</v>
      </c>
      <c r="E237" s="216">
        <v>0</v>
      </c>
      <c r="F237" s="216">
        <v>0</v>
      </c>
      <c r="G237" s="216">
        <v>0</v>
      </c>
      <c r="H237" s="216">
        <v>9</v>
      </c>
      <c r="I237" s="216">
        <f t="shared" si="52"/>
        <v>9</v>
      </c>
      <c r="J237" s="215">
        <v>0</v>
      </c>
      <c r="K237" s="215">
        <v>0</v>
      </c>
      <c r="L237" s="215">
        <v>0</v>
      </c>
      <c r="M237" s="215">
        <f>'часть 1'!L1404</f>
        <v>13218958</v>
      </c>
      <c r="N237" s="215">
        <f>M237</f>
        <v>13218958</v>
      </c>
      <c r="P237" s="20"/>
    </row>
    <row r="238" spans="1:16">
      <c r="A238" s="178"/>
      <c r="B238" s="218" t="s">
        <v>51</v>
      </c>
      <c r="C238" s="213">
        <f>C239</f>
        <v>8727.8000000000011</v>
      </c>
      <c r="D238" s="214">
        <f t="shared" ref="D238:N238" si="63">D239</f>
        <v>328</v>
      </c>
      <c r="E238" s="216">
        <f t="shared" si="63"/>
        <v>0</v>
      </c>
      <c r="F238" s="216">
        <f t="shared" si="63"/>
        <v>0</v>
      </c>
      <c r="G238" s="216">
        <f t="shared" si="63"/>
        <v>0</v>
      </c>
      <c r="H238" s="216">
        <f t="shared" si="63"/>
        <v>7</v>
      </c>
      <c r="I238" s="216">
        <f t="shared" si="52"/>
        <v>7</v>
      </c>
      <c r="J238" s="215">
        <f t="shared" si="63"/>
        <v>0</v>
      </c>
      <c r="K238" s="215">
        <f t="shared" si="63"/>
        <v>0</v>
      </c>
      <c r="L238" s="215">
        <f t="shared" si="63"/>
        <v>0</v>
      </c>
      <c r="M238" s="215">
        <f t="shared" si="63"/>
        <v>10822736</v>
      </c>
      <c r="N238" s="215">
        <f t="shared" si="63"/>
        <v>10822736</v>
      </c>
      <c r="O238" s="20"/>
      <c r="P238" s="20"/>
    </row>
    <row r="239" spans="1:16" ht="25.5">
      <c r="A239" s="178">
        <f>A237+1</f>
        <v>27</v>
      </c>
      <c r="B239" s="217" t="s">
        <v>108</v>
      </c>
      <c r="C239" s="213">
        <f>'часть 1'!H1415</f>
        <v>8727.8000000000011</v>
      </c>
      <c r="D239" s="214">
        <f>'часть 1'!K1415</f>
        <v>328</v>
      </c>
      <c r="E239" s="216">
        <v>0</v>
      </c>
      <c r="F239" s="216">
        <v>0</v>
      </c>
      <c r="G239" s="216">
        <v>0</v>
      </c>
      <c r="H239" s="216">
        <v>7</v>
      </c>
      <c r="I239" s="216">
        <f t="shared" si="52"/>
        <v>7</v>
      </c>
      <c r="J239" s="215">
        <v>0</v>
      </c>
      <c r="K239" s="215">
        <v>0</v>
      </c>
      <c r="L239" s="215">
        <v>0</v>
      </c>
      <c r="M239" s="215">
        <f>'часть 1'!L1415</f>
        <v>10822736</v>
      </c>
      <c r="N239" s="215">
        <f>M239</f>
        <v>10822736</v>
      </c>
      <c r="P239" s="20"/>
    </row>
    <row r="240" spans="1:16" ht="25.5">
      <c r="A240" s="453"/>
      <c r="B240" s="477" t="s">
        <v>882</v>
      </c>
      <c r="C240" s="474">
        <f>'часть 1'!H1423</f>
        <v>1097.9000000000001</v>
      </c>
      <c r="D240" s="475">
        <f>'часть 1'!K1423</f>
        <v>43</v>
      </c>
      <c r="E240" s="470">
        <v>0</v>
      </c>
      <c r="F240" s="470">
        <v>0</v>
      </c>
      <c r="G240" s="470">
        <v>1</v>
      </c>
      <c r="H240" s="470">
        <v>1</v>
      </c>
      <c r="I240" s="470">
        <v>2</v>
      </c>
      <c r="J240" s="476">
        <v>0</v>
      </c>
      <c r="K240" s="476">
        <v>0</v>
      </c>
      <c r="L240" s="476">
        <v>1625233</v>
      </c>
      <c r="M240" s="476">
        <v>292645</v>
      </c>
      <c r="N240" s="476">
        <f>M240+L240+K240+J240</f>
        <v>1917878</v>
      </c>
      <c r="P240" s="20"/>
    </row>
    <row r="241" spans="1:16">
      <c r="A241" s="178"/>
      <c r="B241" s="218" t="s">
        <v>52</v>
      </c>
      <c r="C241" s="213">
        <f>C243+C242+C244</f>
        <v>2049.2000000000003</v>
      </c>
      <c r="D241" s="214">
        <f>D243+D242+D244</f>
        <v>62</v>
      </c>
      <c r="E241" s="216">
        <f>E243+E242</f>
        <v>0</v>
      </c>
      <c r="F241" s="216">
        <f>F243+F242</f>
        <v>0</v>
      </c>
      <c r="G241" s="216">
        <f>G243+G242</f>
        <v>1</v>
      </c>
      <c r="H241" s="216">
        <f>H243+H242+H244</f>
        <v>2</v>
      </c>
      <c r="I241" s="216">
        <f t="shared" si="52"/>
        <v>3</v>
      </c>
      <c r="J241" s="215">
        <f>J243</f>
        <v>0</v>
      </c>
      <c r="K241" s="215">
        <f>K243</f>
        <v>0</v>
      </c>
      <c r="L241" s="215">
        <f>L243</f>
        <v>0</v>
      </c>
      <c r="M241" s="215">
        <f>M243+M242+M244</f>
        <v>282612</v>
      </c>
      <c r="N241" s="215">
        <f>M241</f>
        <v>282612</v>
      </c>
      <c r="O241" s="20"/>
      <c r="P241" s="20"/>
    </row>
    <row r="242" spans="1:16" ht="25.5">
      <c r="A242" s="453">
        <f>A239+1</f>
        <v>28</v>
      </c>
      <c r="B242" s="477" t="s">
        <v>130</v>
      </c>
      <c r="C242" s="474">
        <v>747.7</v>
      </c>
      <c r="D242" s="475">
        <v>18</v>
      </c>
      <c r="E242" s="470">
        <v>0</v>
      </c>
      <c r="F242" s="470">
        <v>0</v>
      </c>
      <c r="G242" s="470">
        <v>1</v>
      </c>
      <c r="H242" s="470">
        <v>0</v>
      </c>
      <c r="I242" s="470">
        <f t="shared" si="52"/>
        <v>1</v>
      </c>
      <c r="J242" s="476">
        <v>0</v>
      </c>
      <c r="K242" s="476">
        <v>0</v>
      </c>
      <c r="L242" s="476">
        <v>2385226</v>
      </c>
      <c r="M242" s="476">
        <v>0</v>
      </c>
      <c r="N242" s="476">
        <f>M242+L242+K242+J242</f>
        <v>2385226</v>
      </c>
      <c r="O242" s="20"/>
      <c r="P242" s="20"/>
    </row>
    <row r="243" spans="1:16" ht="25.5">
      <c r="A243" s="178">
        <f>A242+1</f>
        <v>29</v>
      </c>
      <c r="B243" s="217" t="s">
        <v>109</v>
      </c>
      <c r="C243" s="213">
        <f>'часть 1'!H564</f>
        <v>778.6</v>
      </c>
      <c r="D243" s="214">
        <f>'часть 1'!K564</f>
        <v>28</v>
      </c>
      <c r="E243" s="216">
        <v>0</v>
      </c>
      <c r="F243" s="216">
        <v>0</v>
      </c>
      <c r="G243" s="216">
        <v>0</v>
      </c>
      <c r="H243" s="216">
        <v>1</v>
      </c>
      <c r="I243" s="216">
        <f t="shared" si="52"/>
        <v>1</v>
      </c>
      <c r="J243" s="215">
        <v>0</v>
      </c>
      <c r="K243" s="215">
        <v>0</v>
      </c>
      <c r="L243" s="215">
        <v>0</v>
      </c>
      <c r="M243" s="215">
        <v>201010</v>
      </c>
      <c r="N243" s="215">
        <f t="shared" ref="N243:N252" si="64">M243</f>
        <v>201010</v>
      </c>
      <c r="P243" s="20"/>
    </row>
    <row r="244" spans="1:16" ht="25.5">
      <c r="A244" s="178">
        <f>A243+1</f>
        <v>30</v>
      </c>
      <c r="B244" s="217" t="s">
        <v>198</v>
      </c>
      <c r="C244" s="213">
        <f>'часть 1'!H566</f>
        <v>522.9</v>
      </c>
      <c r="D244" s="214">
        <f>'часть 1'!K566</f>
        <v>16</v>
      </c>
      <c r="E244" s="216">
        <v>0</v>
      </c>
      <c r="F244" s="216">
        <v>0</v>
      </c>
      <c r="G244" s="216">
        <v>0</v>
      </c>
      <c r="H244" s="216">
        <v>1</v>
      </c>
      <c r="I244" s="216">
        <f t="shared" si="52"/>
        <v>1</v>
      </c>
      <c r="J244" s="215">
        <v>0</v>
      </c>
      <c r="K244" s="215">
        <v>0</v>
      </c>
      <c r="L244" s="215">
        <v>0</v>
      </c>
      <c r="M244" s="215">
        <f>'часть 1'!L566</f>
        <v>81602</v>
      </c>
      <c r="N244" s="215">
        <f t="shared" si="64"/>
        <v>81602</v>
      </c>
      <c r="P244" s="20"/>
    </row>
    <row r="245" spans="1:16">
      <c r="A245" s="178"/>
      <c r="B245" s="218" t="s">
        <v>53</v>
      </c>
      <c r="C245" s="213">
        <f>'часть 1'!H568+'часть 1'!H681</f>
        <v>772.5</v>
      </c>
      <c r="D245" s="214">
        <f>'часть 1'!K568+'часть 1'!K681</f>
        <v>19</v>
      </c>
      <c r="E245" s="216">
        <f>E248+E250+E251+E246</f>
        <v>0</v>
      </c>
      <c r="F245" s="216">
        <f>F248+F250+F251+F246</f>
        <v>0</v>
      </c>
      <c r="G245" s="216">
        <f>G248+G250+G251+G246</f>
        <v>0</v>
      </c>
      <c r="H245" s="216">
        <f>H248+H250+H249+H251+H246+H247+H252</f>
        <v>18</v>
      </c>
      <c r="I245" s="216">
        <f t="shared" si="52"/>
        <v>18</v>
      </c>
      <c r="J245" s="215">
        <f>J248+J250+J251+J246</f>
        <v>0</v>
      </c>
      <c r="K245" s="215">
        <f>K248+K250+K251+K246</f>
        <v>0</v>
      </c>
      <c r="L245" s="215">
        <f>L248+L250+L251+L246</f>
        <v>0</v>
      </c>
      <c r="M245" s="215" t="e">
        <f>M248+M250+M249+M251+M246+M247+M252</f>
        <v>#REF!</v>
      </c>
      <c r="N245" s="215" t="e">
        <f t="shared" si="64"/>
        <v>#REF!</v>
      </c>
      <c r="O245" s="20"/>
      <c r="P245" s="20"/>
    </row>
    <row r="246" spans="1:16" ht="26.25" customHeight="1">
      <c r="A246" s="453">
        <f>A244+1</f>
        <v>31</v>
      </c>
      <c r="B246" s="477" t="s">
        <v>88</v>
      </c>
      <c r="C246" s="474">
        <f>'часть 1'!H1435</f>
        <v>56547.399999999987</v>
      </c>
      <c r="D246" s="475">
        <f>'часть 1'!K1435</f>
        <v>1705</v>
      </c>
      <c r="E246" s="470">
        <v>0</v>
      </c>
      <c r="F246" s="470">
        <v>0</v>
      </c>
      <c r="G246" s="470">
        <v>0</v>
      </c>
      <c r="H246" s="470">
        <v>11</v>
      </c>
      <c r="I246" s="470">
        <f t="shared" si="52"/>
        <v>11</v>
      </c>
      <c r="J246" s="476">
        <v>0</v>
      </c>
      <c r="K246" s="476">
        <v>0</v>
      </c>
      <c r="L246" s="476">
        <v>0</v>
      </c>
      <c r="M246" s="476">
        <f>'часть 1'!L1435</f>
        <v>29036828</v>
      </c>
      <c r="N246" s="476">
        <f t="shared" si="64"/>
        <v>29036828</v>
      </c>
      <c r="P246" s="20"/>
    </row>
    <row r="247" spans="1:16" ht="26.25" customHeight="1">
      <c r="A247" s="453">
        <f t="shared" ref="A247:A252" si="65">A246+1</f>
        <v>32</v>
      </c>
      <c r="B247" s="477" t="s">
        <v>132</v>
      </c>
      <c r="C247" s="474">
        <f>'часть 1'!H1447</f>
        <v>834</v>
      </c>
      <c r="D247" s="475">
        <f>'часть 1'!K1447</f>
        <v>47</v>
      </c>
      <c r="E247" s="470">
        <v>0</v>
      </c>
      <c r="F247" s="470">
        <v>0</v>
      </c>
      <c r="G247" s="470">
        <v>0</v>
      </c>
      <c r="H247" s="470">
        <v>1</v>
      </c>
      <c r="I247" s="470">
        <f t="shared" si="52"/>
        <v>1</v>
      </c>
      <c r="J247" s="476">
        <v>0</v>
      </c>
      <c r="K247" s="476">
        <v>0</v>
      </c>
      <c r="L247" s="476">
        <v>0</v>
      </c>
      <c r="M247" s="476">
        <f>'часть 1'!L1447</f>
        <v>1854126</v>
      </c>
      <c r="N247" s="476">
        <f t="shared" si="64"/>
        <v>1854126</v>
      </c>
      <c r="P247" s="20"/>
    </row>
    <row r="248" spans="1:16" ht="26.25" customHeight="1">
      <c r="A248" s="453">
        <f t="shared" si="65"/>
        <v>33</v>
      </c>
      <c r="B248" s="477" t="s">
        <v>110</v>
      </c>
      <c r="C248" s="474">
        <f>'часть 1'!H1450</f>
        <v>1394.2</v>
      </c>
      <c r="D248" s="475">
        <f>'часть 1'!K1450</f>
        <v>60</v>
      </c>
      <c r="E248" s="470">
        <v>0</v>
      </c>
      <c r="F248" s="470">
        <v>0</v>
      </c>
      <c r="G248" s="470">
        <v>0</v>
      </c>
      <c r="H248" s="470">
        <v>1</v>
      </c>
      <c r="I248" s="470">
        <f t="shared" si="52"/>
        <v>1</v>
      </c>
      <c r="J248" s="476">
        <v>0</v>
      </c>
      <c r="K248" s="476">
        <v>0</v>
      </c>
      <c r="L248" s="476">
        <v>0</v>
      </c>
      <c r="M248" s="476">
        <v>2569441</v>
      </c>
      <c r="N248" s="476">
        <f t="shared" si="64"/>
        <v>2569441</v>
      </c>
      <c r="P248" s="20"/>
    </row>
    <row r="249" spans="1:16" ht="26.25" customHeight="1">
      <c r="A249" s="453">
        <f t="shared" si="65"/>
        <v>34</v>
      </c>
      <c r="B249" s="477" t="s">
        <v>128</v>
      </c>
      <c r="C249" s="474">
        <f>'часть 1'!H1451</f>
        <v>12875.8</v>
      </c>
      <c r="D249" s="475">
        <f>'часть 1'!K1451</f>
        <v>521</v>
      </c>
      <c r="E249" s="470">
        <v>0</v>
      </c>
      <c r="F249" s="470">
        <v>0</v>
      </c>
      <c r="G249" s="470">
        <v>0</v>
      </c>
      <c r="H249" s="470">
        <v>3</v>
      </c>
      <c r="I249" s="470">
        <f t="shared" si="52"/>
        <v>3</v>
      </c>
      <c r="J249" s="476">
        <v>0</v>
      </c>
      <c r="K249" s="476">
        <v>0</v>
      </c>
      <c r="L249" s="476">
        <v>0</v>
      </c>
      <c r="M249" s="476">
        <f>'часть 1'!L1451</f>
        <v>9681670</v>
      </c>
      <c r="N249" s="476">
        <f t="shared" si="64"/>
        <v>9681670</v>
      </c>
      <c r="P249" s="20"/>
    </row>
    <row r="250" spans="1:16" ht="25.5">
      <c r="A250" s="178">
        <f t="shared" si="65"/>
        <v>35</v>
      </c>
      <c r="B250" s="217" t="s">
        <v>994</v>
      </c>
      <c r="C250" s="213">
        <f>'часть 1'!H1458</f>
        <v>0</v>
      </c>
      <c r="D250" s="214">
        <v>0</v>
      </c>
      <c r="E250" s="216">
        <v>0</v>
      </c>
      <c r="F250" s="216">
        <v>0</v>
      </c>
      <c r="G250" s="216">
        <v>0</v>
      </c>
      <c r="H250" s="216">
        <v>0</v>
      </c>
      <c r="I250" s="216">
        <f t="shared" si="52"/>
        <v>0</v>
      </c>
      <c r="J250" s="215">
        <v>0</v>
      </c>
      <c r="K250" s="215">
        <v>0</v>
      </c>
      <c r="L250" s="215">
        <v>0</v>
      </c>
      <c r="M250" s="215">
        <v>0</v>
      </c>
      <c r="N250" s="215">
        <f t="shared" si="64"/>
        <v>0</v>
      </c>
      <c r="P250" s="20"/>
    </row>
    <row r="251" spans="1:16" ht="27.75" customHeight="1">
      <c r="A251" s="178">
        <f t="shared" si="65"/>
        <v>36</v>
      </c>
      <c r="B251" s="217" t="s">
        <v>111</v>
      </c>
      <c r="C251" s="213" t="e">
        <f>'часть 1'!#REF!</f>
        <v>#REF!</v>
      </c>
      <c r="D251" s="214" t="e">
        <f>'часть 1'!#REF!</f>
        <v>#REF!</v>
      </c>
      <c r="E251" s="216">
        <v>0</v>
      </c>
      <c r="F251" s="216">
        <v>0</v>
      </c>
      <c r="G251" s="216">
        <v>0</v>
      </c>
      <c r="H251" s="216">
        <v>1</v>
      </c>
      <c r="I251" s="216">
        <f t="shared" si="52"/>
        <v>1</v>
      </c>
      <c r="J251" s="215">
        <v>0</v>
      </c>
      <c r="K251" s="215">
        <v>0</v>
      </c>
      <c r="L251" s="215">
        <v>0</v>
      </c>
      <c r="M251" s="215" t="e">
        <f>'часть 1'!#REF!</f>
        <v>#REF!</v>
      </c>
      <c r="N251" s="215" t="e">
        <f t="shared" si="64"/>
        <v>#REF!</v>
      </c>
      <c r="P251" s="20"/>
    </row>
    <row r="252" spans="1:16" ht="27.75" customHeight="1">
      <c r="A252" s="453">
        <f t="shared" si="65"/>
        <v>37</v>
      </c>
      <c r="B252" s="477" t="s">
        <v>129</v>
      </c>
      <c r="C252" s="474">
        <f>'часть 1'!H1461</f>
        <v>1039.2</v>
      </c>
      <c r="D252" s="475">
        <f>'часть 1'!K1461</f>
        <v>48</v>
      </c>
      <c r="E252" s="470">
        <v>0</v>
      </c>
      <c r="F252" s="470">
        <v>0</v>
      </c>
      <c r="G252" s="470">
        <v>0</v>
      </c>
      <c r="H252" s="470">
        <v>1</v>
      </c>
      <c r="I252" s="470">
        <f t="shared" si="52"/>
        <v>1</v>
      </c>
      <c r="J252" s="476">
        <v>0</v>
      </c>
      <c r="K252" s="476">
        <v>0</v>
      </c>
      <c r="L252" s="476">
        <v>0</v>
      </c>
      <c r="M252" s="476">
        <f>'часть 1'!L1461</f>
        <v>1586995</v>
      </c>
      <c r="N252" s="476">
        <f t="shared" si="64"/>
        <v>1586995</v>
      </c>
      <c r="P252" s="20"/>
    </row>
    <row r="253" spans="1:16">
      <c r="A253" s="178"/>
      <c r="B253" s="218" t="s">
        <v>54</v>
      </c>
      <c r="C253" s="213">
        <f>C254</f>
        <v>0</v>
      </c>
      <c r="D253" s="214">
        <f t="shared" ref="D253:N253" si="66">D254</f>
        <v>0</v>
      </c>
      <c r="E253" s="216">
        <f t="shared" si="66"/>
        <v>0</v>
      </c>
      <c r="F253" s="216">
        <f t="shared" si="66"/>
        <v>0</v>
      </c>
      <c r="G253" s="216">
        <f t="shared" si="66"/>
        <v>0</v>
      </c>
      <c r="H253" s="216" t="e">
        <f t="shared" si="66"/>
        <v>#REF!</v>
      </c>
      <c r="I253" s="216" t="e">
        <f t="shared" si="52"/>
        <v>#REF!</v>
      </c>
      <c r="J253" s="215">
        <f t="shared" si="66"/>
        <v>0</v>
      </c>
      <c r="K253" s="215">
        <f t="shared" si="66"/>
        <v>0</v>
      </c>
      <c r="L253" s="215">
        <f t="shared" si="66"/>
        <v>0</v>
      </c>
      <c r="M253" s="215">
        <f t="shared" si="66"/>
        <v>336230870.63</v>
      </c>
      <c r="N253" s="215">
        <f t="shared" si="66"/>
        <v>336230870.63</v>
      </c>
      <c r="O253" s="20"/>
      <c r="P253" s="20"/>
    </row>
    <row r="254" spans="1:16" ht="25.5">
      <c r="A254" s="178">
        <f>A252+1</f>
        <v>38</v>
      </c>
      <c r="B254" s="217" t="s">
        <v>112</v>
      </c>
      <c r="C254" s="213">
        <f>'часть 1'!H584</f>
        <v>0</v>
      </c>
      <c r="D254" s="214">
        <f>'часть 1'!K584</f>
        <v>0</v>
      </c>
      <c r="E254" s="216">
        <v>0</v>
      </c>
      <c r="F254" s="216">
        <v>0</v>
      </c>
      <c r="G254" s="216">
        <v>0</v>
      </c>
      <c r="H254" s="216" t="e">
        <f>'часть 2'!#REF!</f>
        <v>#REF!</v>
      </c>
      <c r="I254" s="216" t="e">
        <f t="shared" si="52"/>
        <v>#REF!</v>
      </c>
      <c r="J254" s="215">
        <v>0</v>
      </c>
      <c r="K254" s="215">
        <v>0</v>
      </c>
      <c r="L254" s="215">
        <v>0</v>
      </c>
      <c r="M254" s="215">
        <f>'часть 1'!L584</f>
        <v>336230870.63</v>
      </c>
      <c r="N254" s="215">
        <f>M254</f>
        <v>336230870.63</v>
      </c>
      <c r="P254" s="20"/>
    </row>
    <row r="255" spans="1:16">
      <c r="A255" s="178"/>
      <c r="B255" s="218" t="s">
        <v>55</v>
      </c>
      <c r="C255" s="213">
        <f>C256</f>
        <v>988.7</v>
      </c>
      <c r="D255" s="213">
        <f t="shared" ref="D255:N255" si="67">D256</f>
        <v>17</v>
      </c>
      <c r="E255" s="213">
        <f t="shared" si="67"/>
        <v>0</v>
      </c>
      <c r="F255" s="213">
        <f t="shared" si="67"/>
        <v>0</v>
      </c>
      <c r="G255" s="213">
        <f t="shared" si="67"/>
        <v>1</v>
      </c>
      <c r="H255" s="213">
        <f t="shared" si="67"/>
        <v>0</v>
      </c>
      <c r="I255" s="213">
        <f t="shared" si="67"/>
        <v>1</v>
      </c>
      <c r="J255" s="215">
        <f t="shared" si="67"/>
        <v>0</v>
      </c>
      <c r="K255" s="215">
        <f t="shared" si="67"/>
        <v>0</v>
      </c>
      <c r="L255" s="215">
        <f t="shared" si="67"/>
        <v>2451868</v>
      </c>
      <c r="M255" s="215">
        <f t="shared" si="67"/>
        <v>0</v>
      </c>
      <c r="N255" s="215">
        <f t="shared" si="67"/>
        <v>2451868</v>
      </c>
      <c r="O255" s="20"/>
      <c r="P255" s="20"/>
    </row>
    <row r="256" spans="1:16" ht="25.5">
      <c r="A256" s="453">
        <v>38</v>
      </c>
      <c r="B256" s="477" t="s">
        <v>590</v>
      </c>
      <c r="C256" s="474">
        <v>988.7</v>
      </c>
      <c r="D256" s="475">
        <v>17</v>
      </c>
      <c r="E256" s="470">
        <v>0</v>
      </c>
      <c r="F256" s="470">
        <v>0</v>
      </c>
      <c r="G256" s="470">
        <v>1</v>
      </c>
      <c r="H256" s="470">
        <v>0</v>
      </c>
      <c r="I256" s="470">
        <f t="shared" si="52"/>
        <v>1</v>
      </c>
      <c r="J256" s="476">
        <v>0</v>
      </c>
      <c r="K256" s="476">
        <v>0</v>
      </c>
      <c r="L256" s="476">
        <v>2451868</v>
      </c>
      <c r="M256" s="476">
        <v>0</v>
      </c>
      <c r="N256" s="476">
        <f>M256+L256+K256+J256</f>
        <v>2451868</v>
      </c>
      <c r="P256" s="20"/>
    </row>
    <row r="257" spans="1:16">
      <c r="A257" s="178"/>
      <c r="B257" s="218" t="s">
        <v>56</v>
      </c>
      <c r="C257" s="213">
        <f>'часть 1'!H593</f>
        <v>0</v>
      </c>
      <c r="D257" s="214">
        <f>'часть 1'!K593</f>
        <v>0</v>
      </c>
      <c r="E257" s="216">
        <f>E258+E259+E260</f>
        <v>0</v>
      </c>
      <c r="F257" s="216">
        <f>F258+F259+F260</f>
        <v>1</v>
      </c>
      <c r="G257" s="216">
        <f>G258+G259+G260</f>
        <v>0</v>
      </c>
      <c r="H257" s="216">
        <f>H258+H259+H260</f>
        <v>6</v>
      </c>
      <c r="I257" s="216">
        <f t="shared" si="52"/>
        <v>6</v>
      </c>
      <c r="J257" s="215">
        <f>J258+J259+J260</f>
        <v>0</v>
      </c>
      <c r="K257" s="215">
        <f>K258+K259+K260</f>
        <v>588419</v>
      </c>
      <c r="L257" s="215">
        <f>L258+L259+L260</f>
        <v>0</v>
      </c>
      <c r="M257" s="215">
        <f>M258+M259+M260</f>
        <v>11293784</v>
      </c>
      <c r="N257" s="215">
        <f>N258+N259+N260</f>
        <v>11882203</v>
      </c>
      <c r="O257" s="20"/>
      <c r="P257" s="20"/>
    </row>
    <row r="258" spans="1:16" ht="25.5">
      <c r="A258" s="453">
        <v>39</v>
      </c>
      <c r="B258" s="477" t="s">
        <v>424</v>
      </c>
      <c r="C258" s="474">
        <f>'часть 1'!H1477</f>
        <v>4232.5</v>
      </c>
      <c r="D258" s="475">
        <f>'часть 1'!K1477</f>
        <v>175</v>
      </c>
      <c r="E258" s="470">
        <v>0</v>
      </c>
      <c r="F258" s="470">
        <v>0</v>
      </c>
      <c r="G258" s="470">
        <v>0</v>
      </c>
      <c r="H258" s="470">
        <v>5</v>
      </c>
      <c r="I258" s="470">
        <f t="shared" si="52"/>
        <v>5</v>
      </c>
      <c r="J258" s="476">
        <v>0</v>
      </c>
      <c r="K258" s="476">
        <v>0</v>
      </c>
      <c r="L258" s="476">
        <v>0</v>
      </c>
      <c r="M258" s="476">
        <f>'часть 1'!L1477</f>
        <v>9225003</v>
      </c>
      <c r="N258" s="476">
        <f>M258</f>
        <v>9225003</v>
      </c>
      <c r="P258" s="20"/>
    </row>
    <row r="259" spans="1:16" ht="25.5">
      <c r="A259" s="178">
        <v>40</v>
      </c>
      <c r="B259" s="217" t="s">
        <v>121</v>
      </c>
      <c r="C259" s="213">
        <f>'часть 1'!H1483</f>
        <v>3954</v>
      </c>
      <c r="D259" s="214">
        <f>'часть 1'!K1483</f>
        <v>93</v>
      </c>
      <c r="E259" s="216">
        <v>0</v>
      </c>
      <c r="F259" s="216">
        <v>0</v>
      </c>
      <c r="G259" s="216">
        <v>0</v>
      </c>
      <c r="H259" s="216">
        <v>1</v>
      </c>
      <c r="I259" s="216">
        <f t="shared" si="52"/>
        <v>1</v>
      </c>
      <c r="J259" s="215">
        <v>0</v>
      </c>
      <c r="K259" s="215">
        <v>0</v>
      </c>
      <c r="L259" s="215">
        <v>0</v>
      </c>
      <c r="M259" s="215">
        <f>'часть 1'!L1483</f>
        <v>2068781</v>
      </c>
      <c r="N259" s="215">
        <f>M259</f>
        <v>2068781</v>
      </c>
      <c r="O259" s="20"/>
      <c r="P259" s="20"/>
    </row>
    <row r="260" spans="1:16" ht="25.5">
      <c r="A260" s="178">
        <v>41</v>
      </c>
      <c r="B260" s="217" t="s">
        <v>807</v>
      </c>
      <c r="C260" s="213">
        <f>'часть 1'!H1485</f>
        <v>654.20000000000005</v>
      </c>
      <c r="D260" s="214">
        <f>'часть 1'!K1485</f>
        <v>36</v>
      </c>
      <c r="E260" s="216">
        <v>0</v>
      </c>
      <c r="F260" s="216">
        <v>1</v>
      </c>
      <c r="G260" s="216">
        <v>0</v>
      </c>
      <c r="H260" s="216">
        <v>0</v>
      </c>
      <c r="I260" s="216">
        <v>1</v>
      </c>
      <c r="J260" s="215">
        <v>0</v>
      </c>
      <c r="K260" s="215">
        <v>588419</v>
      </c>
      <c r="L260" s="215">
        <v>0</v>
      </c>
      <c r="M260" s="215">
        <v>0</v>
      </c>
      <c r="N260" s="215">
        <f>K260</f>
        <v>588419</v>
      </c>
      <c r="O260" s="20"/>
      <c r="P260" s="20"/>
    </row>
    <row r="261" spans="1:16">
      <c r="A261" s="178"/>
      <c r="B261" s="218" t="s">
        <v>57</v>
      </c>
      <c r="C261" s="213">
        <f>C262</f>
        <v>821.12</v>
      </c>
      <c r="D261" s="214">
        <f t="shared" ref="D261:L261" si="68">D262</f>
        <v>21</v>
      </c>
      <c r="E261" s="216">
        <f t="shared" si="68"/>
        <v>0</v>
      </c>
      <c r="F261" s="216">
        <f t="shared" si="68"/>
        <v>0</v>
      </c>
      <c r="G261" s="216">
        <f t="shared" si="68"/>
        <v>0</v>
      </c>
      <c r="H261" s="216">
        <f t="shared" si="68"/>
        <v>1</v>
      </c>
      <c r="I261" s="216">
        <f t="shared" si="52"/>
        <v>1</v>
      </c>
      <c r="J261" s="215">
        <f t="shared" si="68"/>
        <v>0</v>
      </c>
      <c r="K261" s="215">
        <f t="shared" si="68"/>
        <v>0</v>
      </c>
      <c r="L261" s="215">
        <f t="shared" si="68"/>
        <v>0</v>
      </c>
      <c r="M261" s="215">
        <f>M262</f>
        <v>1788296</v>
      </c>
      <c r="N261" s="215">
        <f>N262</f>
        <v>1788296</v>
      </c>
      <c r="P261" s="20"/>
    </row>
    <row r="262" spans="1:16" ht="25.5">
      <c r="A262" s="178">
        <v>42</v>
      </c>
      <c r="B262" s="217" t="s">
        <v>119</v>
      </c>
      <c r="C262" s="213">
        <f>'часть 1'!H1488</f>
        <v>821.12</v>
      </c>
      <c r="D262" s="214">
        <f>'часть 1'!K1488</f>
        <v>21</v>
      </c>
      <c r="E262" s="216">
        <v>0</v>
      </c>
      <c r="F262" s="216">
        <v>0</v>
      </c>
      <c r="G262" s="216">
        <v>0</v>
      </c>
      <c r="H262" s="216">
        <v>1</v>
      </c>
      <c r="I262" s="216">
        <f t="shared" si="52"/>
        <v>1</v>
      </c>
      <c r="J262" s="215">
        <v>0</v>
      </c>
      <c r="K262" s="215">
        <v>0</v>
      </c>
      <c r="L262" s="215">
        <v>0</v>
      </c>
      <c r="M262" s="215">
        <f>'часть 1'!L1488</f>
        <v>1788296</v>
      </c>
      <c r="N262" s="215">
        <f>M262</f>
        <v>1788296</v>
      </c>
      <c r="P262" s="20"/>
    </row>
    <row r="263" spans="1:16">
      <c r="A263" s="178"/>
      <c r="B263" s="218" t="s">
        <v>58</v>
      </c>
      <c r="C263" s="213">
        <f>C264</f>
        <v>0</v>
      </c>
      <c r="D263" s="214">
        <f>'часть 1'!K613+'часть 1'!K690</f>
        <v>0</v>
      </c>
      <c r="E263" s="216">
        <f t="shared" ref="E263:N263" si="69">E264</f>
        <v>0</v>
      </c>
      <c r="F263" s="216">
        <f t="shared" si="69"/>
        <v>0</v>
      </c>
      <c r="G263" s="216">
        <f t="shared" si="69"/>
        <v>0</v>
      </c>
      <c r="H263" s="216" t="e">
        <f t="shared" si="69"/>
        <v>#REF!</v>
      </c>
      <c r="I263" s="216" t="e">
        <f t="shared" si="52"/>
        <v>#REF!</v>
      </c>
      <c r="J263" s="215">
        <f t="shared" si="69"/>
        <v>0</v>
      </c>
      <c r="K263" s="215">
        <f t="shared" si="69"/>
        <v>0</v>
      </c>
      <c r="L263" s="215">
        <f t="shared" si="69"/>
        <v>0</v>
      </c>
      <c r="M263" s="215">
        <f t="shared" si="69"/>
        <v>869880</v>
      </c>
      <c r="N263" s="215">
        <f t="shared" si="69"/>
        <v>869880</v>
      </c>
      <c r="P263" s="20"/>
    </row>
    <row r="264" spans="1:16" ht="27.75" customHeight="1">
      <c r="A264" s="178">
        <v>43</v>
      </c>
      <c r="B264" s="217" t="s">
        <v>87</v>
      </c>
      <c r="C264" s="213">
        <f>'часть 1'!H613+'часть 1'!H691</f>
        <v>0</v>
      </c>
      <c r="D264" s="214">
        <f>'часть 1'!K691+'часть 1'!K614</f>
        <v>0</v>
      </c>
      <c r="E264" s="216">
        <v>0</v>
      </c>
      <c r="F264" s="216">
        <v>0</v>
      </c>
      <c r="G264" s="216">
        <v>0</v>
      </c>
      <c r="H264" s="216" t="e">
        <f>'часть 2'!#REF!</f>
        <v>#REF!</v>
      </c>
      <c r="I264" s="216" t="e">
        <f t="shared" si="52"/>
        <v>#REF!</v>
      </c>
      <c r="J264" s="215">
        <v>0</v>
      </c>
      <c r="K264" s="215">
        <v>0</v>
      </c>
      <c r="L264" s="215">
        <v>0</v>
      </c>
      <c r="M264" s="215">
        <f>'часть 2'!C608</f>
        <v>869880</v>
      </c>
      <c r="N264" s="215">
        <f>M264</f>
        <v>869880</v>
      </c>
      <c r="P264" s="20"/>
    </row>
    <row r="265" spans="1:16" ht="25.15" customHeight="1">
      <c r="A265" s="453"/>
      <c r="B265" s="480" t="s">
        <v>59</v>
      </c>
      <c r="C265" s="474">
        <f>C266+C267</f>
        <v>0</v>
      </c>
      <c r="D265" s="474">
        <f t="shared" ref="D265:N265" si="70">D266+D267</f>
        <v>0</v>
      </c>
      <c r="E265" s="474">
        <f t="shared" si="70"/>
        <v>0</v>
      </c>
      <c r="F265" s="474">
        <f t="shared" si="70"/>
        <v>0</v>
      </c>
      <c r="G265" s="474">
        <f t="shared" si="70"/>
        <v>0</v>
      </c>
      <c r="H265" s="474">
        <f t="shared" si="70"/>
        <v>0</v>
      </c>
      <c r="I265" s="474">
        <f t="shared" si="70"/>
        <v>0</v>
      </c>
      <c r="J265" s="476">
        <f t="shared" si="70"/>
        <v>0</v>
      </c>
      <c r="K265" s="476">
        <f t="shared" si="70"/>
        <v>0</v>
      </c>
      <c r="L265" s="476">
        <f t="shared" si="70"/>
        <v>0</v>
      </c>
      <c r="M265" s="476">
        <f t="shared" si="70"/>
        <v>0</v>
      </c>
      <c r="N265" s="476">
        <f t="shared" si="70"/>
        <v>0</v>
      </c>
      <c r="P265" s="20"/>
    </row>
    <row r="266" spans="1:16" ht="25.5">
      <c r="A266" s="453">
        <v>44</v>
      </c>
      <c r="B266" s="477" t="s">
        <v>86</v>
      </c>
      <c r="C266" s="474">
        <v>0</v>
      </c>
      <c r="D266" s="475">
        <v>0</v>
      </c>
      <c r="E266" s="470">
        <v>0</v>
      </c>
      <c r="F266" s="470">
        <v>0</v>
      </c>
      <c r="G266" s="470">
        <v>0</v>
      </c>
      <c r="H266" s="470">
        <v>0</v>
      </c>
      <c r="I266" s="470">
        <v>0</v>
      </c>
      <c r="J266" s="476">
        <v>0</v>
      </c>
      <c r="K266" s="476">
        <v>0</v>
      </c>
      <c r="L266" s="476">
        <v>0</v>
      </c>
      <c r="M266" s="476">
        <v>0</v>
      </c>
      <c r="N266" s="476">
        <f>M266</f>
        <v>0</v>
      </c>
      <c r="P266" s="20"/>
    </row>
    <row r="267" spans="1:16" ht="25.5">
      <c r="A267" s="453">
        <v>45</v>
      </c>
      <c r="B267" s="477" t="s">
        <v>85</v>
      </c>
      <c r="C267" s="474">
        <v>0</v>
      </c>
      <c r="D267" s="475">
        <v>0</v>
      </c>
      <c r="E267" s="470">
        <v>0</v>
      </c>
      <c r="F267" s="470">
        <v>0</v>
      </c>
      <c r="G267" s="470">
        <v>0</v>
      </c>
      <c r="H267" s="470">
        <v>0</v>
      </c>
      <c r="I267" s="470">
        <v>0</v>
      </c>
      <c r="J267" s="476">
        <v>0</v>
      </c>
      <c r="K267" s="476">
        <v>0</v>
      </c>
      <c r="L267" s="476">
        <v>0</v>
      </c>
      <c r="M267" s="476">
        <v>0</v>
      </c>
      <c r="N267" s="476">
        <f>M267</f>
        <v>0</v>
      </c>
      <c r="P267" s="20"/>
    </row>
    <row r="268" spans="1:16">
      <c r="A268" s="178"/>
      <c r="B268" s="218" t="s">
        <v>60</v>
      </c>
      <c r="C268" s="213">
        <f>'часть 1'!H624</f>
        <v>0</v>
      </c>
      <c r="D268" s="214">
        <f>'часть 1'!K624</f>
        <v>0</v>
      </c>
      <c r="E268" s="216">
        <f t="shared" ref="E268:N268" si="71">E270</f>
        <v>0</v>
      </c>
      <c r="F268" s="216">
        <f t="shared" si="71"/>
        <v>2</v>
      </c>
      <c r="G268" s="216">
        <f t="shared" si="71"/>
        <v>2</v>
      </c>
      <c r="H268" s="216">
        <f t="shared" si="71"/>
        <v>0</v>
      </c>
      <c r="I268" s="216">
        <f t="shared" ref="I268:I273" si="72">H268+G268</f>
        <v>2</v>
      </c>
      <c r="J268" s="215">
        <f t="shared" si="71"/>
        <v>0</v>
      </c>
      <c r="K268" s="215">
        <f t="shared" si="71"/>
        <v>1585646</v>
      </c>
      <c r="L268" s="215">
        <f t="shared" si="71"/>
        <v>2750663</v>
      </c>
      <c r="M268" s="215">
        <f t="shared" si="71"/>
        <v>0</v>
      </c>
      <c r="N268" s="215">
        <f t="shared" si="71"/>
        <v>4336309</v>
      </c>
      <c r="P268" s="20"/>
    </row>
    <row r="269" spans="1:16">
      <c r="A269" s="453"/>
      <c r="B269" s="480" t="s">
        <v>208</v>
      </c>
      <c r="C269" s="474">
        <f>'часть 1'!H1507</f>
        <v>340.3</v>
      </c>
      <c r="D269" s="475">
        <f>'часть 1'!K1507</f>
        <v>14</v>
      </c>
      <c r="E269" s="470">
        <v>0</v>
      </c>
      <c r="F269" s="470">
        <v>0</v>
      </c>
      <c r="G269" s="470">
        <v>0</v>
      </c>
      <c r="H269" s="470">
        <v>1</v>
      </c>
      <c r="I269" s="470">
        <f t="shared" si="72"/>
        <v>1</v>
      </c>
      <c r="J269" s="476">
        <v>0</v>
      </c>
      <c r="K269" s="476">
        <v>0</v>
      </c>
      <c r="L269" s="476">
        <v>0</v>
      </c>
      <c r="M269" s="476">
        <v>512860</v>
      </c>
      <c r="N269" s="476">
        <f>M269+L269+K269+J269</f>
        <v>512860</v>
      </c>
      <c r="P269" s="20"/>
    </row>
    <row r="270" spans="1:16">
      <c r="A270" s="453">
        <v>46</v>
      </c>
      <c r="B270" s="477" t="s">
        <v>61</v>
      </c>
      <c r="C270" s="474">
        <v>2833.3</v>
      </c>
      <c r="D270" s="475">
        <v>119</v>
      </c>
      <c r="E270" s="470">
        <v>0</v>
      </c>
      <c r="F270" s="470">
        <v>2</v>
      </c>
      <c r="G270" s="470">
        <v>2</v>
      </c>
      <c r="H270" s="470">
        <v>0</v>
      </c>
      <c r="I270" s="470">
        <f>H270+G270+F270+E270</f>
        <v>4</v>
      </c>
      <c r="J270" s="476">
        <v>0</v>
      </c>
      <c r="K270" s="476">
        <v>1585646</v>
      </c>
      <c r="L270" s="476">
        <v>2750663</v>
      </c>
      <c r="M270" s="476">
        <v>0</v>
      </c>
      <c r="N270" s="476">
        <f>M270+L270+K270+J270</f>
        <v>4336309</v>
      </c>
      <c r="P270" s="20"/>
    </row>
    <row r="271" spans="1:16">
      <c r="A271" s="178"/>
      <c r="B271" s="218" t="s">
        <v>649</v>
      </c>
      <c r="C271" s="213">
        <v>952.2</v>
      </c>
      <c r="D271" s="214">
        <v>41</v>
      </c>
      <c r="E271" s="216">
        <v>0</v>
      </c>
      <c r="F271" s="216">
        <v>0</v>
      </c>
      <c r="G271" s="216">
        <v>1</v>
      </c>
      <c r="H271" s="216">
        <v>0</v>
      </c>
      <c r="I271" s="216">
        <v>1</v>
      </c>
      <c r="J271" s="215">
        <v>0</v>
      </c>
      <c r="K271" s="215">
        <v>0</v>
      </c>
      <c r="L271" s="215">
        <v>1490380</v>
      </c>
      <c r="M271" s="215">
        <v>0</v>
      </c>
      <c r="N271" s="215">
        <v>1490380</v>
      </c>
      <c r="P271" s="20"/>
    </row>
    <row r="272" spans="1:16">
      <c r="A272" s="453">
        <v>47</v>
      </c>
      <c r="B272" s="477" t="s">
        <v>62</v>
      </c>
      <c r="C272" s="474">
        <f>'часть 1'!H1520</f>
        <v>445.14</v>
      </c>
      <c r="D272" s="475">
        <v>18</v>
      </c>
      <c r="E272" s="470">
        <v>0</v>
      </c>
      <c r="F272" s="470">
        <v>0</v>
      </c>
      <c r="G272" s="470">
        <v>1</v>
      </c>
      <c r="H272" s="470">
        <v>0</v>
      </c>
      <c r="I272" s="470">
        <f t="shared" si="72"/>
        <v>1</v>
      </c>
      <c r="J272" s="476">
        <v>0</v>
      </c>
      <c r="K272" s="476">
        <v>0</v>
      </c>
      <c r="L272" s="476">
        <v>1175875</v>
      </c>
      <c r="M272" s="476">
        <v>0</v>
      </c>
      <c r="N272" s="476">
        <f>M272+L272+K272+J272</f>
        <v>1175875</v>
      </c>
      <c r="P272" s="20"/>
    </row>
    <row r="273" spans="1:16">
      <c r="A273" s="178"/>
      <c r="B273" s="218" t="s">
        <v>211</v>
      </c>
      <c r="C273" s="213">
        <f>'часть 1'!H1533</f>
        <v>2953.2000000000003</v>
      </c>
      <c r="D273" s="214">
        <f>'часть 1'!K1533</f>
        <v>85</v>
      </c>
      <c r="E273" s="216">
        <f>E277</f>
        <v>0</v>
      </c>
      <c r="F273" s="216">
        <f>F277</f>
        <v>0</v>
      </c>
      <c r="G273" s="216">
        <f>G277</f>
        <v>0</v>
      </c>
      <c r="H273" s="214">
        <v>2</v>
      </c>
      <c r="I273" s="216">
        <f t="shared" si="72"/>
        <v>2</v>
      </c>
      <c r="J273" s="215">
        <f>J277</f>
        <v>0</v>
      </c>
      <c r="K273" s="215">
        <f>K277</f>
        <v>0</v>
      </c>
      <c r="L273" s="215">
        <f>L277</f>
        <v>0</v>
      </c>
      <c r="M273" s="215">
        <f>'часть 1'!L1533</f>
        <v>3398521</v>
      </c>
      <c r="N273" s="215">
        <f>M273+L273+K273+J273</f>
        <v>3398521</v>
      </c>
      <c r="P273" s="20"/>
    </row>
    <row r="274" spans="1:16">
      <c r="A274" s="453"/>
      <c r="B274" s="480" t="s">
        <v>63</v>
      </c>
      <c r="C274" s="474">
        <f>'часть 1'!H1522</f>
        <v>571.1</v>
      </c>
      <c r="D274" s="475">
        <f>'часть 1'!K1522</f>
        <v>28</v>
      </c>
      <c r="E274" s="470">
        <v>0</v>
      </c>
      <c r="F274" s="470">
        <v>0</v>
      </c>
      <c r="G274" s="470">
        <v>0</v>
      </c>
      <c r="H274" s="475">
        <v>1</v>
      </c>
      <c r="I274" s="470">
        <v>1</v>
      </c>
      <c r="J274" s="476">
        <v>0</v>
      </c>
      <c r="K274" s="476">
        <v>0</v>
      </c>
      <c r="L274" s="476">
        <v>0</v>
      </c>
      <c r="M274" s="476">
        <v>1608623</v>
      </c>
      <c r="N274" s="476">
        <f>M274+L274+K274+J274</f>
        <v>1608623</v>
      </c>
      <c r="P274" s="20"/>
    </row>
    <row r="275" spans="1:16">
      <c r="A275" s="453"/>
      <c r="B275" s="480" t="s">
        <v>663</v>
      </c>
      <c r="C275" s="474">
        <f>C276</f>
        <v>783.2</v>
      </c>
      <c r="D275" s="474">
        <f t="shared" ref="D275:N275" si="73">D276</f>
        <v>32</v>
      </c>
      <c r="E275" s="474">
        <f t="shared" si="73"/>
        <v>0</v>
      </c>
      <c r="F275" s="474">
        <f t="shared" si="73"/>
        <v>0</v>
      </c>
      <c r="G275" s="474">
        <f t="shared" si="73"/>
        <v>1</v>
      </c>
      <c r="H275" s="474">
        <f t="shared" si="73"/>
        <v>0</v>
      </c>
      <c r="I275" s="474">
        <f t="shared" si="73"/>
        <v>1</v>
      </c>
      <c r="J275" s="474">
        <f t="shared" si="73"/>
        <v>0</v>
      </c>
      <c r="K275" s="474">
        <f t="shared" si="73"/>
        <v>0</v>
      </c>
      <c r="L275" s="474">
        <f t="shared" si="73"/>
        <v>1457324</v>
      </c>
      <c r="M275" s="476">
        <f t="shared" si="73"/>
        <v>0</v>
      </c>
      <c r="N275" s="476">
        <f t="shared" si="73"/>
        <v>1457324</v>
      </c>
      <c r="P275" s="20"/>
    </row>
    <row r="276" spans="1:16" ht="25.5">
      <c r="A276" s="453"/>
      <c r="B276" s="477" t="s">
        <v>667</v>
      </c>
      <c r="C276" s="474">
        <f>'часть 1'!H1526</f>
        <v>783.2</v>
      </c>
      <c r="D276" s="475">
        <f>'часть 1'!K1526</f>
        <v>32</v>
      </c>
      <c r="E276" s="470">
        <v>0</v>
      </c>
      <c r="F276" s="470">
        <v>0</v>
      </c>
      <c r="G276" s="470">
        <v>1</v>
      </c>
      <c r="H276" s="475">
        <v>0</v>
      </c>
      <c r="I276" s="470">
        <v>1</v>
      </c>
      <c r="J276" s="476">
        <v>0</v>
      </c>
      <c r="K276" s="476">
        <v>0</v>
      </c>
      <c r="L276" s="476">
        <v>1457324</v>
      </c>
      <c r="M276" s="476">
        <v>0</v>
      </c>
      <c r="N276" s="476">
        <v>1457324</v>
      </c>
      <c r="P276" s="20"/>
    </row>
    <row r="277" spans="1:16" ht="17.45" customHeight="1">
      <c r="A277" s="178"/>
      <c r="B277" s="217" t="s">
        <v>64</v>
      </c>
      <c r="C277" s="213">
        <f>C278</f>
        <v>3434.5</v>
      </c>
      <c r="D277" s="213">
        <f t="shared" ref="D277:N277" si="74">D278</f>
        <v>113</v>
      </c>
      <c r="E277" s="213">
        <f t="shared" si="74"/>
        <v>0</v>
      </c>
      <c r="F277" s="213">
        <f t="shared" si="74"/>
        <v>0</v>
      </c>
      <c r="G277" s="213">
        <f t="shared" si="74"/>
        <v>0</v>
      </c>
      <c r="H277" s="213">
        <f t="shared" si="74"/>
        <v>2</v>
      </c>
      <c r="I277" s="213">
        <f t="shared" si="74"/>
        <v>2</v>
      </c>
      <c r="J277" s="215">
        <f t="shared" si="74"/>
        <v>0</v>
      </c>
      <c r="K277" s="215">
        <f t="shared" si="74"/>
        <v>0</v>
      </c>
      <c r="L277" s="215">
        <f t="shared" si="74"/>
        <v>0</v>
      </c>
      <c r="M277" s="215">
        <f t="shared" si="74"/>
        <v>5448472</v>
      </c>
      <c r="N277" s="215">
        <f t="shared" si="74"/>
        <v>5448472</v>
      </c>
      <c r="P277" s="20"/>
    </row>
    <row r="278" spans="1:16" ht="27" customHeight="1">
      <c r="A278" s="453">
        <v>49</v>
      </c>
      <c r="B278" s="477" t="s">
        <v>115</v>
      </c>
      <c r="C278" s="474">
        <v>3434.5</v>
      </c>
      <c r="D278" s="475">
        <v>113</v>
      </c>
      <c r="E278" s="470">
        <v>0</v>
      </c>
      <c r="F278" s="470">
        <v>0</v>
      </c>
      <c r="G278" s="470">
        <v>0</v>
      </c>
      <c r="H278" s="470">
        <v>2</v>
      </c>
      <c r="I278" s="470">
        <f>H278+G278</f>
        <v>2</v>
      </c>
      <c r="J278" s="476">
        <v>0</v>
      </c>
      <c r="K278" s="476">
        <v>0</v>
      </c>
      <c r="L278" s="476">
        <v>0</v>
      </c>
      <c r="M278" s="476">
        <v>5448472</v>
      </c>
      <c r="N278" s="476">
        <f>M278</f>
        <v>5448472</v>
      </c>
      <c r="P278" s="20"/>
    </row>
    <row r="279" spans="1:16">
      <c r="A279" s="178"/>
      <c r="B279" s="218" t="s">
        <v>66</v>
      </c>
      <c r="C279" s="213">
        <f>C281+C280</f>
        <v>1902.9</v>
      </c>
      <c r="D279" s="213">
        <f t="shared" ref="D279:N279" si="75">D281+D280</f>
        <v>48</v>
      </c>
      <c r="E279" s="213">
        <f t="shared" si="75"/>
        <v>0</v>
      </c>
      <c r="F279" s="213">
        <f t="shared" si="75"/>
        <v>0</v>
      </c>
      <c r="G279" s="213">
        <f t="shared" si="75"/>
        <v>0</v>
      </c>
      <c r="H279" s="213">
        <f t="shared" si="75"/>
        <v>3</v>
      </c>
      <c r="I279" s="213">
        <f t="shared" si="75"/>
        <v>3</v>
      </c>
      <c r="J279" s="215">
        <f t="shared" si="75"/>
        <v>0</v>
      </c>
      <c r="K279" s="215">
        <f t="shared" si="75"/>
        <v>0</v>
      </c>
      <c r="L279" s="215">
        <f t="shared" si="75"/>
        <v>0</v>
      </c>
      <c r="M279" s="215">
        <f t="shared" si="75"/>
        <v>4103443</v>
      </c>
      <c r="N279" s="215">
        <f t="shared" si="75"/>
        <v>4103443</v>
      </c>
      <c r="P279" s="20"/>
    </row>
    <row r="280" spans="1:16" ht="25.5">
      <c r="A280" s="453"/>
      <c r="B280" s="477" t="s">
        <v>641</v>
      </c>
      <c r="C280" s="474">
        <f>'часть 1'!H1539</f>
        <v>689.6</v>
      </c>
      <c r="D280" s="474">
        <f>'часть 1'!K1539</f>
        <v>19</v>
      </c>
      <c r="E280" s="474">
        <v>0</v>
      </c>
      <c r="F280" s="474">
        <v>0</v>
      </c>
      <c r="G280" s="474">
        <v>0</v>
      </c>
      <c r="H280" s="474">
        <v>1</v>
      </c>
      <c r="I280" s="474">
        <v>1</v>
      </c>
      <c r="J280" s="476">
        <v>0</v>
      </c>
      <c r="K280" s="476">
        <v>0</v>
      </c>
      <c r="L280" s="476">
        <v>0</v>
      </c>
      <c r="M280" s="476">
        <v>357985</v>
      </c>
      <c r="N280" s="476">
        <f>M280+L280+K280+J280</f>
        <v>357985</v>
      </c>
      <c r="P280" s="20"/>
    </row>
    <row r="281" spans="1:16" ht="25.5">
      <c r="A281" s="453"/>
      <c r="B281" s="477" t="s">
        <v>114</v>
      </c>
      <c r="C281" s="474">
        <v>1213.3</v>
      </c>
      <c r="D281" s="475">
        <v>29</v>
      </c>
      <c r="E281" s="470">
        <v>0</v>
      </c>
      <c r="F281" s="470">
        <v>0</v>
      </c>
      <c r="G281" s="470">
        <v>0</v>
      </c>
      <c r="H281" s="470">
        <v>2</v>
      </c>
      <c r="I281" s="470">
        <f>H281+G281</f>
        <v>2</v>
      </c>
      <c r="J281" s="476">
        <v>0</v>
      </c>
      <c r="K281" s="476">
        <v>0</v>
      </c>
      <c r="L281" s="476">
        <v>0</v>
      </c>
      <c r="M281" s="476">
        <v>3745458</v>
      </c>
      <c r="N281" s="476">
        <f>M281</f>
        <v>3745458</v>
      </c>
      <c r="P281" s="20"/>
    </row>
    <row r="282" spans="1:16">
      <c r="A282" s="453"/>
      <c r="B282" s="477"/>
      <c r="C282" s="474"/>
      <c r="D282" s="475"/>
      <c r="E282" s="475"/>
      <c r="F282" s="475"/>
      <c r="G282" s="475"/>
      <c r="H282" s="475"/>
      <c r="I282" s="470"/>
      <c r="J282" s="476"/>
      <c r="K282" s="476"/>
      <c r="L282" s="476"/>
      <c r="M282" s="476"/>
      <c r="N282" s="476"/>
      <c r="P282" s="20"/>
    </row>
    <row r="283" spans="1:16">
      <c r="A283" s="216"/>
      <c r="B283" s="221"/>
      <c r="C283" s="213"/>
      <c r="D283" s="214"/>
      <c r="E283" s="216"/>
      <c r="F283" s="216"/>
      <c r="G283" s="216"/>
      <c r="H283" s="216"/>
      <c r="I283" s="216"/>
      <c r="J283" s="215"/>
      <c r="K283" s="215"/>
      <c r="L283" s="215"/>
      <c r="M283" s="215"/>
      <c r="N283" s="215"/>
      <c r="P283" s="20"/>
    </row>
    <row r="284" spans="1:16" ht="27" customHeight="1">
      <c r="A284" s="178"/>
      <c r="B284" s="220"/>
      <c r="C284" s="213"/>
      <c r="D284" s="214"/>
      <c r="E284" s="216"/>
      <c r="F284" s="216"/>
      <c r="G284" s="216"/>
      <c r="H284" s="216"/>
      <c r="I284" s="216"/>
      <c r="J284" s="215"/>
      <c r="K284" s="215"/>
      <c r="L284" s="215"/>
      <c r="M284" s="215"/>
      <c r="N284" s="215"/>
      <c r="P284" s="20"/>
    </row>
    <row r="285" spans="1:16">
      <c r="A285" s="178"/>
      <c r="B285" s="217"/>
      <c r="C285" s="213"/>
      <c r="D285" s="214"/>
      <c r="E285" s="216"/>
      <c r="F285" s="216"/>
      <c r="G285" s="216"/>
      <c r="H285" s="216"/>
      <c r="I285" s="216"/>
      <c r="J285" s="215"/>
      <c r="K285" s="215"/>
      <c r="L285" s="215"/>
      <c r="M285" s="215"/>
      <c r="N285" s="215"/>
      <c r="P285" s="20"/>
    </row>
    <row r="286" spans="1:16" ht="29.25" customHeight="1">
      <c r="A286" s="178">
        <f>A284+1</f>
        <v>1</v>
      </c>
      <c r="B286" s="217" t="s">
        <v>212</v>
      </c>
      <c r="C286" s="213">
        <f>'часть 1'!H651</f>
        <v>0</v>
      </c>
      <c r="D286" s="214">
        <f>'часть 1'!K651</f>
        <v>0</v>
      </c>
      <c r="E286" s="216">
        <v>0</v>
      </c>
      <c r="F286" s="216">
        <v>0</v>
      </c>
      <c r="G286" s="216">
        <v>0</v>
      </c>
      <c r="H286" s="216">
        <v>1</v>
      </c>
      <c r="I286" s="216">
        <f>H286+G286</f>
        <v>1</v>
      </c>
      <c r="J286" s="215">
        <v>0</v>
      </c>
      <c r="K286" s="215">
        <v>0</v>
      </c>
      <c r="L286" s="215">
        <v>0</v>
      </c>
      <c r="M286" s="215">
        <f>'часть 2'!C709</f>
        <v>1118494</v>
      </c>
      <c r="N286" s="215">
        <f>M286</f>
        <v>1118494</v>
      </c>
      <c r="P286" s="20"/>
    </row>
    <row r="287" spans="1:16" ht="27" customHeight="1">
      <c r="A287" s="178">
        <v>54</v>
      </c>
      <c r="B287" s="217" t="s">
        <v>213</v>
      </c>
      <c r="C287" s="213">
        <f>'часть 1'!H653</f>
        <v>0</v>
      </c>
      <c r="D287" s="214">
        <f>'часть 1'!K653</f>
        <v>0</v>
      </c>
      <c r="E287" s="216">
        <v>0</v>
      </c>
      <c r="F287" s="216">
        <v>0</v>
      </c>
      <c r="G287" s="216">
        <v>0</v>
      </c>
      <c r="H287" s="216">
        <v>1</v>
      </c>
      <c r="I287" s="216">
        <f>H287+G287</f>
        <v>1</v>
      </c>
      <c r="J287" s="215">
        <v>0</v>
      </c>
      <c r="K287" s="215">
        <v>0</v>
      </c>
      <c r="L287" s="215">
        <v>0</v>
      </c>
      <c r="M287" s="215">
        <f>'часть 2'!C711</f>
        <v>2253297</v>
      </c>
      <c r="N287" s="215">
        <f>M287</f>
        <v>2253297</v>
      </c>
      <c r="P287" s="20"/>
    </row>
    <row r="288" spans="1:16">
      <c r="A288" s="178"/>
      <c r="B288" s="218"/>
      <c r="C288" s="213"/>
      <c r="D288" s="214"/>
      <c r="E288" s="216"/>
      <c r="F288" s="216"/>
      <c r="G288" s="216"/>
      <c r="H288" s="216"/>
      <c r="I288" s="216"/>
      <c r="J288" s="215"/>
      <c r="K288" s="215"/>
      <c r="L288" s="215"/>
      <c r="M288" s="215"/>
      <c r="N288" s="215"/>
      <c r="P288" s="20"/>
    </row>
    <row r="289" spans="1:16">
      <c r="A289" s="453"/>
      <c r="B289" s="477"/>
      <c r="C289" s="474"/>
      <c r="D289" s="475"/>
      <c r="E289" s="470"/>
      <c r="F289" s="470"/>
      <c r="G289" s="470"/>
      <c r="H289" s="470"/>
      <c r="I289" s="470"/>
      <c r="J289" s="476"/>
      <c r="K289" s="476"/>
      <c r="L289" s="476"/>
      <c r="M289" s="476"/>
      <c r="N289" s="476"/>
      <c r="P289" s="20"/>
    </row>
    <row r="290" spans="1:16">
      <c r="A290" s="453">
        <v>56</v>
      </c>
      <c r="B290" s="477" t="s">
        <v>207</v>
      </c>
      <c r="C290" s="474">
        <v>53715.519999999997</v>
      </c>
      <c r="D290" s="475">
        <v>2022</v>
      </c>
      <c r="E290" s="475">
        <v>0</v>
      </c>
      <c r="F290" s="475">
        <v>0</v>
      </c>
      <c r="G290" s="475">
        <v>0</v>
      </c>
      <c r="H290" s="475">
        <v>7</v>
      </c>
      <c r="I290" s="470">
        <f>H290+G290</f>
        <v>7</v>
      </c>
      <c r="J290" s="476">
        <v>0</v>
      </c>
      <c r="K290" s="476">
        <v>0</v>
      </c>
      <c r="L290" s="476">
        <v>0</v>
      </c>
      <c r="M290" s="476">
        <v>21360482</v>
      </c>
      <c r="N290" s="476">
        <f>M290</f>
        <v>21360482</v>
      </c>
      <c r="P290" s="20"/>
    </row>
    <row r="291" spans="1:16">
      <c r="A291" s="216"/>
      <c r="B291" s="221" t="s">
        <v>67</v>
      </c>
      <c r="C291" s="213">
        <f>'часть 1'!H672</f>
        <v>0</v>
      </c>
      <c r="D291" s="214">
        <f>'часть 1'!K672</f>
        <v>0</v>
      </c>
      <c r="E291" s="216">
        <v>0</v>
      </c>
      <c r="F291" s="216">
        <v>0</v>
      </c>
      <c r="G291" s="216">
        <f>G292</f>
        <v>1</v>
      </c>
      <c r="H291" s="216">
        <f>H292+H293</f>
        <v>1</v>
      </c>
      <c r="I291" s="216">
        <f>H291+G291</f>
        <v>2</v>
      </c>
      <c r="J291" s="215">
        <v>0</v>
      </c>
      <c r="K291" s="215">
        <v>0</v>
      </c>
      <c r="L291" s="215">
        <f>L292</f>
        <v>359651</v>
      </c>
      <c r="M291" s="215">
        <f>M292+M293</f>
        <v>2254298</v>
      </c>
      <c r="N291" s="215">
        <f>N292+N293</f>
        <v>2613949</v>
      </c>
      <c r="P291" s="20"/>
    </row>
    <row r="292" spans="1:16" ht="27" customHeight="1">
      <c r="A292" s="178">
        <v>57</v>
      </c>
      <c r="B292" s="220" t="s">
        <v>90</v>
      </c>
      <c r="C292" s="213">
        <f>'часть 1'!H673</f>
        <v>0</v>
      </c>
      <c r="D292" s="214">
        <f>'часть 1'!K673</f>
        <v>0</v>
      </c>
      <c r="E292" s="216">
        <v>0</v>
      </c>
      <c r="F292" s="216">
        <v>0</v>
      </c>
      <c r="G292" s="216">
        <v>1</v>
      </c>
      <c r="H292" s="216">
        <v>0</v>
      </c>
      <c r="I292" s="216">
        <f>H292+G292</f>
        <v>1</v>
      </c>
      <c r="J292" s="215">
        <v>0</v>
      </c>
      <c r="K292" s="215">
        <v>0</v>
      </c>
      <c r="L292" s="215">
        <f>'часть 1'!L673</f>
        <v>359651</v>
      </c>
      <c r="M292" s="215">
        <v>0</v>
      </c>
      <c r="N292" s="215">
        <f>L292</f>
        <v>359651</v>
      </c>
      <c r="P292" s="20"/>
    </row>
    <row r="293" spans="1:16" ht="25.5">
      <c r="A293" s="453">
        <v>58</v>
      </c>
      <c r="B293" s="477" t="s">
        <v>127</v>
      </c>
      <c r="C293" s="474">
        <f>'часть 1'!H1560</f>
        <v>3387.4</v>
      </c>
      <c r="D293" s="475">
        <f>'часть 1'!K1560</f>
        <v>105</v>
      </c>
      <c r="E293" s="470">
        <v>0</v>
      </c>
      <c r="F293" s="470">
        <v>0</v>
      </c>
      <c r="G293" s="470">
        <v>0</v>
      </c>
      <c r="H293" s="470">
        <v>1</v>
      </c>
      <c r="I293" s="470">
        <f>H293+G293</f>
        <v>1</v>
      </c>
      <c r="J293" s="476">
        <v>0</v>
      </c>
      <c r="K293" s="476">
        <v>0</v>
      </c>
      <c r="L293" s="476">
        <v>0</v>
      </c>
      <c r="M293" s="476">
        <f>'часть 1'!L1560</f>
        <v>2254298</v>
      </c>
      <c r="N293" s="476">
        <f>M293</f>
        <v>2254298</v>
      </c>
      <c r="P293" s="20"/>
    </row>
  </sheetData>
  <autoFilter ref="A5:P185"/>
  <customSheetViews>
    <customSheetView guid="{971AA6D5-B469-4A54-816C-1252CCB6D265}" scale="72" showPageBreaks="1" fitToPage="1" showAutoFilter="1" state="hidden" view="pageBreakPreview">
      <pane xSplit="2" ySplit="4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1"/>
      <headerFooter>
        <oddHeader>&amp;C&amp;P</oddHeader>
      </headerFooter>
      <autoFilter ref="A5:P185"/>
    </customSheetView>
    <customSheetView guid="{DFE5B545-478C-4B86-847C-1FEE882C6F69}" scale="72" showPageBreaks="1" fitToPage="1" showAutoFilter="1" state="hidden" view="pageBreakPreview">
      <pane xSplit="2" ySplit="4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2"/>
      <headerFooter>
        <oddHeader>&amp;C&amp;P</oddHeader>
      </headerFooter>
      <autoFilter ref="A5:P185"/>
    </customSheetView>
    <customSheetView guid="{4C44C113-DA02-468D-99C5-83FA6693F42F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3"/>
      <headerFooter>
        <oddHeader>&amp;C&amp;P</oddHeader>
      </headerFooter>
      <autoFilter ref="A5:P185"/>
    </customSheetView>
    <customSheetView guid="{570403C4-1D93-4175-B4D8-BD47D46CE99C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4"/>
      <headerFooter>
        <oddHeader>&amp;C&amp;P</oddHeader>
      </headerFooter>
      <autoFilter ref="A5:P185"/>
    </customSheetView>
    <customSheetView guid="{B1841E62-04AF-4786-8B2B-B1F42C88E6D1}" scale="72" showPageBreaks="1" fitToPage="1" showAutoFilter="1" state="hidden" view="pageBreakPreview">
      <pane xSplit="2" ySplit="5.666666666666667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5"/>
      <headerFooter>
        <oddHeader>&amp;C&amp;P</oddHeader>
      </headerFooter>
      <autoFilter ref="A5:P104"/>
    </customSheetView>
    <customSheetView guid="{A28C0ADC-4E0C-4A0A-ACB1-DA409183476D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6"/>
      <headerFooter>
        <oddHeader>&amp;C&amp;P</oddHeader>
      </headerFooter>
      <autoFilter ref="A5:P185"/>
    </customSheetView>
    <customSheetView guid="{144E5A37-1CF2-41F0-BEF8-CB5D4D392E2A}" scale="72" showPageBreaks="1" fitToPage="1" showAutoFilter="1" state="hidden" view="pageBreakPreview">
      <pane xSplit="1.7430555555555556" ySplit="5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7"/>
      <headerFooter>
        <oddHeader>&amp;C&amp;P</oddHeader>
      </headerFooter>
      <autoFilter ref="A5:P185"/>
    </customSheetView>
    <customSheetView guid="{7A75CCE7-0E84-47E6-A162-5AC0354F2967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8"/>
      <headerFooter>
        <oddHeader>&amp;C&amp;P</oddHeader>
      </headerFooter>
      <autoFilter ref="A5:P185"/>
    </customSheetView>
    <customSheetView guid="{A6187BD3-0BA4-497C-8924-4FA3D77530F0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9"/>
      <headerFooter>
        <oddHeader>&amp;C&amp;P</oddHeader>
      </headerFooter>
      <autoFilter ref="A5:P185"/>
    </customSheetView>
    <customSheetView guid="{DC88C499-913F-4D15-846E-E5B9D5E047D7}" scale="72" showPageBreaks="1" fitToPage="1" showAutoFilter="1" state="hidden" view="pageBreakPreview">
      <pane xSplit="2" ySplit="6" topLeftCell="C7" activePane="bottomRight" state="frozen"/>
      <selection pane="bottomRight" sqref="A1:XFD1048576"/>
      <pageMargins left="0.23622047244094491" right="0.23622047244094491" top="0.98425196850393704" bottom="0.39370078740157483" header="0.7" footer="0.31496062992125984"/>
      <printOptions horizontalCentered="1"/>
      <pageSetup paperSize="9" scale="75" firstPageNumber="38" fitToHeight="0" orientation="landscape" useFirstPageNumber="1" r:id="rId10"/>
      <headerFooter>
        <oddHeader>&amp;C&amp;P</oddHeader>
      </headerFooter>
      <autoFilter ref="A5:P185"/>
    </customSheetView>
  </customSheetViews>
  <mergeCells count="7">
    <mergeCell ref="A1:N1"/>
    <mergeCell ref="A2:A4"/>
    <mergeCell ref="B2:B4"/>
    <mergeCell ref="C2:C3"/>
    <mergeCell ref="D2:D3"/>
    <mergeCell ref="E2:I2"/>
    <mergeCell ref="J2:N2"/>
  </mergeCells>
  <printOptions horizontalCentered="1"/>
  <pageMargins left="0.23622047244094491" right="0.23622047244094491" top="0.98425196850393704" bottom="0.39370078740157483" header="0.7" footer="0.31496062992125984"/>
  <pageSetup paperSize="9" scale="75" firstPageNumber="38" fitToHeight="0" orientation="landscape" useFirstPageNumber="1" r:id="rId1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workbookViewId="0">
      <selection activeCell="L21" sqref="L21"/>
    </sheetView>
  </sheetViews>
  <sheetFormatPr defaultColWidth="8.85546875" defaultRowHeight="15"/>
  <cols>
    <col min="1" max="1" width="4.28515625" style="1" customWidth="1"/>
    <col min="2" max="2" width="23.28515625" style="52" customWidth="1"/>
    <col min="3" max="3" width="1.5703125" style="1" customWidth="1"/>
    <col min="4" max="4" width="24.85546875" style="1" customWidth="1"/>
    <col min="5" max="5" width="2" style="1" customWidth="1"/>
    <col min="6" max="6" width="26.7109375" style="1" customWidth="1"/>
    <col min="7" max="16384" width="8.85546875" style="1"/>
  </cols>
  <sheetData>
    <row r="1" spans="2:6" ht="15.75" thickBot="1">
      <c r="B1" s="66" t="s">
        <v>199</v>
      </c>
      <c r="C1" s="24"/>
      <c r="D1" s="66" t="s">
        <v>200</v>
      </c>
      <c r="E1" s="24"/>
      <c r="F1" s="66" t="s">
        <v>201</v>
      </c>
    </row>
    <row r="2" spans="2:6">
      <c r="B2" s="53" t="s">
        <v>133</v>
      </c>
      <c r="D2" s="59" t="s">
        <v>154</v>
      </c>
      <c r="F2" s="59" t="s">
        <v>174</v>
      </c>
    </row>
    <row r="3" spans="2:6">
      <c r="B3" s="54" t="s">
        <v>134</v>
      </c>
      <c r="D3" s="60" t="s">
        <v>155</v>
      </c>
      <c r="F3" s="60" t="s">
        <v>175</v>
      </c>
    </row>
    <row r="4" spans="2:6" ht="15.75" thickBot="1">
      <c r="B4" s="54" t="s">
        <v>135</v>
      </c>
      <c r="D4" s="60" t="s">
        <v>156</v>
      </c>
      <c r="F4" s="61" t="s">
        <v>176</v>
      </c>
    </row>
    <row r="5" spans="2:6">
      <c r="B5" s="54" t="s">
        <v>136</v>
      </c>
      <c r="D5" s="60" t="s">
        <v>157</v>
      </c>
      <c r="F5" s="60" t="s">
        <v>158</v>
      </c>
    </row>
    <row r="6" spans="2:6" ht="15.75" thickBot="1">
      <c r="B6" s="54" t="s">
        <v>137</v>
      </c>
      <c r="D6" s="62" t="s">
        <v>204</v>
      </c>
      <c r="F6" s="60" t="s">
        <v>159</v>
      </c>
    </row>
    <row r="7" spans="2:6">
      <c r="B7" s="59" t="s">
        <v>138</v>
      </c>
      <c r="D7" s="59" t="s">
        <v>169</v>
      </c>
      <c r="F7" s="60" t="s">
        <v>160</v>
      </c>
    </row>
    <row r="8" spans="2:6">
      <c r="B8" s="60" t="s">
        <v>192</v>
      </c>
      <c r="D8" s="60" t="s">
        <v>168</v>
      </c>
      <c r="F8" s="60" t="s">
        <v>161</v>
      </c>
    </row>
    <row r="9" spans="2:6" s="15" customFormat="1" ht="12.75">
      <c r="B9" s="60" t="s">
        <v>139</v>
      </c>
      <c r="D9" s="60" t="s">
        <v>170</v>
      </c>
      <c r="F9" s="60" t="s">
        <v>162</v>
      </c>
    </row>
    <row r="10" spans="2:6" ht="15.75" thickBot="1">
      <c r="B10" s="60" t="s">
        <v>140</v>
      </c>
      <c r="D10" s="61" t="s">
        <v>171</v>
      </c>
      <c r="F10" s="60" t="s">
        <v>163</v>
      </c>
    </row>
    <row r="11" spans="2:6" s="14" customFormat="1" ht="18" customHeight="1">
      <c r="B11" s="60" t="s">
        <v>141</v>
      </c>
      <c r="D11" s="54" t="s">
        <v>172</v>
      </c>
      <c r="F11" s="60" t="s">
        <v>164</v>
      </c>
    </row>
    <row r="12" spans="2:6" ht="15.75" thickBot="1">
      <c r="B12" s="60" t="s">
        <v>142</v>
      </c>
      <c r="D12" s="54" t="s">
        <v>173</v>
      </c>
      <c r="F12" s="61" t="s">
        <v>165</v>
      </c>
    </row>
    <row r="13" spans="2:6">
      <c r="B13" s="781" t="s">
        <v>143</v>
      </c>
      <c r="D13" s="54" t="s">
        <v>1022</v>
      </c>
    </row>
    <row r="14" spans="2:6" hidden="1">
      <c r="B14" s="781"/>
    </row>
    <row r="15" spans="2:6" hidden="1">
      <c r="B15" s="781"/>
    </row>
    <row r="16" spans="2:6" ht="15.75" thickBot="1">
      <c r="B16" s="781" t="s">
        <v>944</v>
      </c>
      <c r="D16" s="852" t="s">
        <v>1021</v>
      </c>
    </row>
    <row r="17" spans="2:6" ht="18.75" customHeight="1" thickBot="1">
      <c r="B17" s="780" t="s">
        <v>945</v>
      </c>
      <c r="D17" s="66" t="s">
        <v>202</v>
      </c>
      <c r="E17" s="24"/>
      <c r="F17" s="66" t="s">
        <v>203</v>
      </c>
    </row>
    <row r="18" spans="2:6" hidden="1">
      <c r="B18" s="54"/>
    </row>
    <row r="19" spans="2:6" ht="15.75" hidden="1" thickBot="1">
      <c r="B19" s="54"/>
    </row>
    <row r="20" spans="2:6" ht="16.5" customHeight="1" thickBot="1">
      <c r="B20" s="54"/>
      <c r="D20" s="53" t="s">
        <v>177</v>
      </c>
      <c r="F20" s="58" t="s">
        <v>178</v>
      </c>
    </row>
    <row r="21" spans="2:6" ht="16.5" customHeight="1" thickBot="1">
      <c r="B21" s="54"/>
      <c r="D21" s="54" t="s">
        <v>946</v>
      </c>
      <c r="F21" s="55"/>
    </row>
    <row r="22" spans="2:6" ht="15.75" thickBot="1">
      <c r="B22" s="54"/>
      <c r="D22" s="54" t="s">
        <v>153</v>
      </c>
      <c r="F22" s="57" t="s">
        <v>195</v>
      </c>
    </row>
    <row r="23" spans="2:6">
      <c r="B23" s="54"/>
      <c r="D23" s="54" t="s">
        <v>179</v>
      </c>
      <c r="F23" s="54" t="s">
        <v>144</v>
      </c>
    </row>
    <row r="24" spans="2:6" ht="15.75" thickBot="1">
      <c r="B24" s="54"/>
      <c r="D24" s="54" t="s">
        <v>182</v>
      </c>
      <c r="F24" s="54" t="s">
        <v>145</v>
      </c>
    </row>
    <row r="25" spans="2:6">
      <c r="B25" s="54"/>
      <c r="D25" s="54" t="s">
        <v>181</v>
      </c>
      <c r="F25" s="59" t="s">
        <v>147</v>
      </c>
    </row>
    <row r="26" spans="2:6">
      <c r="B26" s="54"/>
      <c r="D26" s="54" t="s">
        <v>180</v>
      </c>
      <c r="F26" s="60" t="s">
        <v>146</v>
      </c>
    </row>
    <row r="27" spans="2:6" ht="15.75" thickBot="1">
      <c r="B27" s="54"/>
      <c r="D27" s="56" t="s">
        <v>196</v>
      </c>
      <c r="F27" s="61" t="s">
        <v>148</v>
      </c>
    </row>
    <row r="28" spans="2:6">
      <c r="B28" s="54">
        <v>3</v>
      </c>
      <c r="D28" s="54" t="s">
        <v>183</v>
      </c>
      <c r="F28" s="60" t="s">
        <v>149</v>
      </c>
    </row>
    <row r="29" spans="2:6" s="7" customFormat="1" ht="13.5" thickBot="1">
      <c r="B29" s="65"/>
      <c r="D29" s="54" t="s">
        <v>184</v>
      </c>
      <c r="F29" s="60" t="s">
        <v>150</v>
      </c>
    </row>
    <row r="30" spans="2:6" s="7" customFormat="1" ht="17.25" customHeight="1">
      <c r="B30" s="65"/>
      <c r="D30" s="59" t="s">
        <v>185</v>
      </c>
      <c r="F30" s="60" t="s">
        <v>193</v>
      </c>
    </row>
    <row r="31" spans="2:6" s="7" customFormat="1" ht="12.75">
      <c r="B31" s="65"/>
      <c r="D31" s="60" t="s">
        <v>186</v>
      </c>
      <c r="F31" s="60" t="s">
        <v>194</v>
      </c>
    </row>
    <row r="32" spans="2:6" ht="18" customHeight="1" thickBot="1">
      <c r="B32" s="55"/>
      <c r="D32" s="61" t="s">
        <v>187</v>
      </c>
      <c r="F32" s="61" t="s">
        <v>151</v>
      </c>
    </row>
    <row r="33" spans="1:6">
      <c r="B33" s="53"/>
      <c r="F33" s="53" t="s">
        <v>152</v>
      </c>
    </row>
    <row r="34" spans="1:6">
      <c r="B34" s="54"/>
      <c r="F34" s="54" t="s">
        <v>166</v>
      </c>
    </row>
    <row r="35" spans="1:6" ht="15.75" thickBot="1">
      <c r="A35" s="63"/>
      <c r="B35" s="54"/>
      <c r="C35" s="63"/>
      <c r="D35" s="63"/>
      <c r="F35" s="55" t="s">
        <v>167</v>
      </c>
    </row>
    <row r="36" spans="1:6" ht="14.45" customHeight="1">
      <c r="A36" s="63"/>
      <c r="B36" s="54" t="s">
        <v>179</v>
      </c>
      <c r="C36" s="63"/>
      <c r="D36" s="1161" t="s">
        <v>197</v>
      </c>
    </row>
    <row r="37" spans="1:6" ht="14.45" customHeight="1">
      <c r="A37" s="63"/>
      <c r="B37" s="54" t="s">
        <v>182</v>
      </c>
      <c r="C37" s="63"/>
      <c r="D37" s="1161"/>
    </row>
    <row r="38" spans="1:6">
      <c r="A38" s="63"/>
      <c r="B38" s="54" t="s">
        <v>181</v>
      </c>
      <c r="C38" s="63"/>
      <c r="D38" s="63"/>
    </row>
    <row r="39" spans="1:6" ht="14.45" customHeight="1">
      <c r="A39" s="63"/>
      <c r="B39" s="54" t="s">
        <v>180</v>
      </c>
      <c r="C39" s="63"/>
      <c r="D39" s="1161" t="s">
        <v>197</v>
      </c>
    </row>
    <row r="40" spans="1:6" ht="14.45" customHeight="1">
      <c r="A40" s="63"/>
      <c r="B40" s="54" t="s">
        <v>947</v>
      </c>
      <c r="C40" s="63"/>
      <c r="D40" s="1161"/>
    </row>
    <row r="41" spans="1:6">
      <c r="A41" s="63"/>
      <c r="B41" s="54" t="s">
        <v>183</v>
      </c>
      <c r="C41" s="63"/>
      <c r="D41" s="63"/>
    </row>
    <row r="42" spans="1:6" ht="15.75" thickBot="1">
      <c r="A42" s="63"/>
      <c r="B42" s="55" t="s">
        <v>184</v>
      </c>
      <c r="C42" s="63"/>
      <c r="D42" s="63"/>
    </row>
    <row r="43" spans="1:6">
      <c r="A43" s="63"/>
      <c r="B43" s="64"/>
      <c r="C43" s="63"/>
      <c r="D43" s="63"/>
    </row>
    <row r="62" ht="15.75" customHeight="1"/>
    <row r="63" ht="15.75" customHeight="1"/>
  </sheetData>
  <customSheetViews>
    <customSheetView guid="{971AA6D5-B469-4A54-816C-1252CCB6D265}" showPageBreaks="1" hiddenRows="1" state="hidden">
      <selection activeCell="L21" sqref="L21"/>
      <pageMargins left="0.7" right="0.7" top="0.75" bottom="0.75" header="0.3" footer="0.3"/>
      <pageSetup paperSize="9" orientation="portrait" r:id="rId1"/>
    </customSheetView>
    <customSheetView guid="{DFE5B545-478C-4B86-847C-1FEE882C6F69}" hiddenRows="1" state="hidden">
      <selection activeCell="L21" sqref="L21"/>
      <pageMargins left="0.7" right="0.7" top="0.75" bottom="0.75" header="0.3" footer="0.3"/>
      <pageSetup paperSize="9" orientation="portrait" r:id="rId2"/>
    </customSheetView>
    <customSheetView guid="{4C44C113-DA02-468D-99C5-83FA6693F42F}" hiddenRows="1" state="hidden">
      <selection activeCell="L21" sqref="L21"/>
      <pageMargins left="0.7" right="0.7" top="0.75" bottom="0.75" header="0.3" footer="0.3"/>
      <pageSetup paperSize="9" orientation="portrait" r:id="rId3"/>
    </customSheetView>
    <customSheetView guid="{570403C4-1D93-4175-B4D8-BD47D46CE99C}" hiddenRows="1" state="hidden">
      <selection activeCell="L21" sqref="L21"/>
      <pageMargins left="0.7" right="0.7" top="0.75" bottom="0.75" header="0.3" footer="0.3"/>
      <pageSetup paperSize="9" orientation="portrait" r:id="rId4"/>
    </customSheetView>
    <customSheetView guid="{B1841E62-04AF-4786-8B2B-B1F42C88E6D1}" hiddenRows="1" state="hidden">
      <selection activeCell="L21" sqref="L21"/>
      <pageMargins left="0.7" right="0.7" top="0.75" bottom="0.75" header="0.3" footer="0.3"/>
      <pageSetup paperSize="9" orientation="portrait" r:id="rId5"/>
    </customSheetView>
    <customSheetView guid="{A28C0ADC-4E0C-4A0A-ACB1-DA409183476D}" hiddenRows="1" state="hidden">
      <selection activeCell="L21" sqref="L21"/>
      <pageMargins left="0.7" right="0.7" top="0.75" bottom="0.75" header="0.3" footer="0.3"/>
      <pageSetup paperSize="9" orientation="portrait" r:id="rId6"/>
    </customSheetView>
    <customSheetView guid="{144E5A37-1CF2-41F0-BEF8-CB5D4D392E2A}" hiddenRows="1" state="hidden">
      <selection activeCell="L21" sqref="L21"/>
      <pageMargins left="0.7" right="0.7" top="0.75" bottom="0.75" header="0.3" footer="0.3"/>
      <pageSetup paperSize="9" orientation="portrait" r:id="rId7"/>
    </customSheetView>
    <customSheetView guid="{7A75CCE7-0E84-47E6-A162-5AC0354F2967}" hiddenRows="1" state="hidden">
      <selection activeCell="L21" sqref="L21"/>
      <pageMargins left="0.7" right="0.7" top="0.75" bottom="0.75" header="0.3" footer="0.3"/>
      <pageSetup paperSize="9" orientation="portrait" r:id="rId8"/>
    </customSheetView>
    <customSheetView guid="{A6187BD3-0BA4-497C-8924-4FA3D77530F0}" hiddenRows="1" state="hidden">
      <selection activeCell="L21" sqref="L21"/>
      <pageMargins left="0.7" right="0.7" top="0.75" bottom="0.75" header="0.3" footer="0.3"/>
      <pageSetup paperSize="9" orientation="portrait" r:id="rId9"/>
    </customSheetView>
    <customSheetView guid="{DC88C499-913F-4D15-846E-E5B9D5E047D7}" hiddenRows="1" state="hidden">
      <selection activeCell="L21" sqref="L21"/>
      <pageMargins left="0.7" right="0.7" top="0.75" bottom="0.75" header="0.3" footer="0.3"/>
      <pageSetup paperSize="9" orientation="portrait" r:id="rId10"/>
    </customSheetView>
  </customSheetViews>
  <mergeCells count="2">
    <mergeCell ref="D36:D37"/>
    <mergeCell ref="D39:D40"/>
  </mergeCells>
  <pageMargins left="0.7" right="0.7" top="0.75" bottom="0.75" header="0.3" footer="0.3"/>
  <pageSetup paperSize="9" orientation="portrait" r:id="rId1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053"/>
  <sheetViews>
    <sheetView tabSelected="1" view="pageBreakPreview" zoomScale="50" zoomScaleNormal="60" zoomScaleSheetLayoutView="50" zoomScalePageLayoutView="60" workbookViewId="0">
      <selection activeCell="O1" sqref="O1:Q2"/>
    </sheetView>
  </sheetViews>
  <sheetFormatPr defaultColWidth="8.85546875" defaultRowHeight="18.75"/>
  <cols>
    <col min="1" max="1" width="8.140625" style="943" customWidth="1"/>
    <col min="2" max="2" width="56.7109375" style="944" customWidth="1"/>
    <col min="3" max="3" width="10.28515625" style="945" customWidth="1"/>
    <col min="4" max="4" width="13.140625" style="945" customWidth="1"/>
    <col min="5" max="5" width="22" style="946" customWidth="1"/>
    <col min="6" max="6" width="6.5703125" style="945" customWidth="1"/>
    <col min="7" max="7" width="6.7109375" style="945" customWidth="1"/>
    <col min="8" max="8" width="20.140625" style="947" customWidth="1"/>
    <col min="9" max="9" width="19.7109375" style="947" customWidth="1"/>
    <col min="10" max="10" width="17" style="947" customWidth="1"/>
    <col min="11" max="11" width="13.7109375" style="948" customWidth="1"/>
    <col min="12" max="12" width="25.42578125" style="949" customWidth="1"/>
    <col min="13" max="13" width="10.28515625" style="1060" customWidth="1"/>
    <col min="14" max="14" width="19.85546875" style="947" customWidth="1"/>
    <col min="15" max="15" width="24.42578125" style="1060" customWidth="1"/>
    <col min="16" max="16" width="9.85546875" style="947" customWidth="1"/>
    <col min="17" max="17" width="18.7109375" style="947" customWidth="1"/>
    <col min="18" max="18" width="17.28515625" style="1060" customWidth="1"/>
    <col min="19" max="19" width="14.7109375" style="946" customWidth="1"/>
    <col min="20" max="20" width="8.85546875" style="945"/>
    <col min="21" max="21" width="23.85546875" style="945" customWidth="1"/>
    <col min="22" max="22" width="8.85546875" style="945"/>
    <col min="23" max="23" width="17.7109375" style="945" bestFit="1" customWidth="1"/>
    <col min="24" max="24" width="18.85546875" style="945" customWidth="1"/>
    <col min="25" max="26" width="8.85546875" style="945"/>
    <col min="27" max="27" width="19.5703125" style="945" bestFit="1" customWidth="1"/>
    <col min="28" max="16384" width="8.85546875" style="945"/>
  </cols>
  <sheetData>
    <row r="1" spans="1:27" ht="76.5" customHeight="1">
      <c r="O1" s="1178" t="s">
        <v>2277</v>
      </c>
      <c r="P1" s="1178"/>
      <c r="Q1" s="1178"/>
      <c r="R1" s="945"/>
      <c r="S1" s="945"/>
    </row>
    <row r="2" spans="1:27" ht="184.5" customHeight="1">
      <c r="B2" s="943"/>
      <c r="O2" s="1178"/>
      <c r="P2" s="1178"/>
      <c r="Q2" s="1178"/>
      <c r="R2" s="945"/>
      <c r="S2" s="945"/>
    </row>
    <row r="3" spans="1:27" ht="15" customHeight="1">
      <c r="O3" s="950"/>
      <c r="P3" s="951"/>
      <c r="Q3" s="945"/>
      <c r="R3" s="945"/>
      <c r="S3" s="945"/>
    </row>
    <row r="4" spans="1:27" ht="21">
      <c r="A4" s="1179" t="s">
        <v>438</v>
      </c>
      <c r="B4" s="1180"/>
      <c r="C4" s="1180"/>
      <c r="D4" s="1180"/>
      <c r="E4" s="1180"/>
      <c r="F4" s="1180"/>
      <c r="G4" s="1180"/>
      <c r="H4" s="1180"/>
      <c r="I4" s="1180"/>
      <c r="J4" s="1180"/>
      <c r="K4" s="1180"/>
      <c r="L4" s="1180"/>
      <c r="M4" s="1180"/>
      <c r="N4" s="1180"/>
      <c r="O4" s="1180"/>
      <c r="P4" s="1180"/>
      <c r="Q4" s="1180"/>
      <c r="R4" s="1180"/>
      <c r="S4" s="1180"/>
    </row>
    <row r="5" spans="1:27" ht="21">
      <c r="A5" s="1179" t="s">
        <v>1255</v>
      </c>
      <c r="B5" s="1180"/>
      <c r="C5" s="1180"/>
      <c r="D5" s="1180"/>
      <c r="E5" s="1180"/>
      <c r="F5" s="1180"/>
      <c r="G5" s="1180"/>
      <c r="H5" s="1180"/>
      <c r="I5" s="1180"/>
      <c r="J5" s="1180"/>
      <c r="K5" s="1180"/>
      <c r="L5" s="1180"/>
      <c r="M5" s="1180"/>
      <c r="N5" s="1180"/>
      <c r="O5" s="1180"/>
      <c r="P5" s="1180"/>
      <c r="Q5" s="1180"/>
      <c r="R5" s="1180"/>
      <c r="S5" s="1180"/>
    </row>
    <row r="6" spans="1:27" ht="21" customHeight="1">
      <c r="A6" s="1179" t="s">
        <v>1066</v>
      </c>
      <c r="B6" s="1180"/>
      <c r="C6" s="1180"/>
      <c r="D6" s="1180"/>
      <c r="E6" s="1180"/>
      <c r="F6" s="1180"/>
      <c r="G6" s="1180"/>
      <c r="H6" s="1180"/>
      <c r="I6" s="1180"/>
      <c r="J6" s="1180"/>
      <c r="K6" s="1180"/>
      <c r="L6" s="1180"/>
      <c r="M6" s="1180"/>
      <c r="N6" s="1180"/>
      <c r="O6" s="1180"/>
      <c r="P6" s="1180"/>
      <c r="Q6" s="1180"/>
      <c r="R6" s="1180"/>
      <c r="S6" s="1180"/>
    </row>
    <row r="7" spans="1:27" ht="90.75" customHeight="1">
      <c r="A7" s="1179" t="s">
        <v>38</v>
      </c>
      <c r="B7" s="1180"/>
      <c r="C7" s="1180"/>
      <c r="D7" s="1180"/>
      <c r="E7" s="1180"/>
      <c r="F7" s="1180"/>
      <c r="G7" s="1180"/>
      <c r="H7" s="1180"/>
      <c r="I7" s="1180"/>
      <c r="J7" s="1180"/>
      <c r="K7" s="1180"/>
      <c r="L7" s="1180"/>
      <c r="M7" s="1180"/>
      <c r="N7" s="1180"/>
      <c r="O7" s="1180"/>
      <c r="P7" s="1180"/>
      <c r="Q7" s="1180"/>
      <c r="R7" s="1180"/>
      <c r="S7" s="1180"/>
    </row>
    <row r="8" spans="1:27" ht="39.6" customHeight="1">
      <c r="A8" s="1182" t="s">
        <v>1025</v>
      </c>
      <c r="B8" s="1182" t="s">
        <v>1065</v>
      </c>
      <c r="C8" s="1183" t="s">
        <v>1</v>
      </c>
      <c r="D8" s="1183"/>
      <c r="E8" s="1184" t="s">
        <v>2</v>
      </c>
      <c r="F8" s="1184" t="s">
        <v>3</v>
      </c>
      <c r="G8" s="1184" t="s">
        <v>4</v>
      </c>
      <c r="H8" s="1185" t="s">
        <v>33</v>
      </c>
      <c r="I8" s="1187" t="s">
        <v>1039</v>
      </c>
      <c r="J8" s="1187"/>
      <c r="K8" s="1186" t="s">
        <v>6</v>
      </c>
      <c r="L8" s="1187" t="s">
        <v>7</v>
      </c>
      <c r="M8" s="1188"/>
      <c r="N8" s="1188"/>
      <c r="O8" s="1188"/>
      <c r="P8" s="1188"/>
      <c r="Q8" s="1188"/>
      <c r="R8" s="1182" t="s">
        <v>1038</v>
      </c>
      <c r="S8" s="1182"/>
    </row>
    <row r="9" spans="1:27" ht="26.45" customHeight="1">
      <c r="A9" s="1182"/>
      <c r="B9" s="1182"/>
      <c r="C9" s="1181" t="s">
        <v>11</v>
      </c>
      <c r="D9" s="1181" t="s">
        <v>32</v>
      </c>
      <c r="E9" s="1184"/>
      <c r="F9" s="1184"/>
      <c r="G9" s="1184"/>
      <c r="H9" s="1185"/>
      <c r="I9" s="1185" t="s">
        <v>440</v>
      </c>
      <c r="J9" s="1185" t="s">
        <v>13</v>
      </c>
      <c r="K9" s="1186"/>
      <c r="L9" s="1189" t="s">
        <v>440</v>
      </c>
      <c r="M9" s="1187" t="s">
        <v>18</v>
      </c>
      <c r="N9" s="1188"/>
      <c r="O9" s="1188"/>
      <c r="P9" s="1188"/>
      <c r="Q9" s="1188"/>
      <c r="R9" s="1182"/>
      <c r="S9" s="1182"/>
    </row>
    <row r="10" spans="1:27" ht="303" customHeight="1">
      <c r="A10" s="1182"/>
      <c r="B10" s="1182"/>
      <c r="C10" s="1181"/>
      <c r="D10" s="1181"/>
      <c r="E10" s="1184"/>
      <c r="F10" s="1184"/>
      <c r="G10" s="1184"/>
      <c r="H10" s="1185"/>
      <c r="I10" s="1185"/>
      <c r="J10" s="1185"/>
      <c r="K10" s="1186"/>
      <c r="L10" s="1189"/>
      <c r="M10" s="1061" t="s">
        <v>471</v>
      </c>
      <c r="N10" s="952" t="s">
        <v>14</v>
      </c>
      <c r="O10" s="952" t="s">
        <v>1040</v>
      </c>
      <c r="P10" s="952" t="s">
        <v>1027</v>
      </c>
      <c r="Q10" s="952" t="s">
        <v>1028</v>
      </c>
      <c r="R10" s="1181" t="s">
        <v>1033</v>
      </c>
      <c r="S10" s="1181" t="s">
        <v>1031</v>
      </c>
    </row>
    <row r="11" spans="1:27" ht="29.45" customHeight="1">
      <c r="A11" s="1182"/>
      <c r="B11" s="1182"/>
      <c r="C11" s="1181"/>
      <c r="D11" s="1181"/>
      <c r="E11" s="1184"/>
      <c r="F11" s="1184"/>
      <c r="G11" s="1184"/>
      <c r="H11" s="953" t="s">
        <v>21</v>
      </c>
      <c r="I11" s="953" t="s">
        <v>21</v>
      </c>
      <c r="J11" s="953" t="s">
        <v>21</v>
      </c>
      <c r="K11" s="954" t="s">
        <v>16</v>
      </c>
      <c r="L11" s="955" t="s">
        <v>17</v>
      </c>
      <c r="M11" s="1062" t="s">
        <v>17</v>
      </c>
      <c r="N11" s="953" t="s">
        <v>17</v>
      </c>
      <c r="O11" s="953" t="s">
        <v>17</v>
      </c>
      <c r="P11" s="953" t="s">
        <v>17</v>
      </c>
      <c r="Q11" s="953" t="s">
        <v>17</v>
      </c>
      <c r="R11" s="1181"/>
      <c r="S11" s="1181"/>
    </row>
    <row r="12" spans="1:27" ht="26.45" customHeight="1">
      <c r="A12" s="956">
        <v>1</v>
      </c>
      <c r="B12" s="956">
        <v>2</v>
      </c>
      <c r="C12" s="957">
        <v>3</v>
      </c>
      <c r="D12" s="957">
        <v>4</v>
      </c>
      <c r="E12" s="957">
        <v>5</v>
      </c>
      <c r="F12" s="957">
        <v>6</v>
      </c>
      <c r="G12" s="957">
        <v>7</v>
      </c>
      <c r="H12" s="958">
        <v>8</v>
      </c>
      <c r="I12" s="958">
        <v>9</v>
      </c>
      <c r="J12" s="958">
        <v>10</v>
      </c>
      <c r="K12" s="959">
        <v>11</v>
      </c>
      <c r="L12" s="960">
        <v>12</v>
      </c>
      <c r="M12" s="958">
        <v>13</v>
      </c>
      <c r="N12" s="958">
        <v>14</v>
      </c>
      <c r="O12" s="958">
        <v>15</v>
      </c>
      <c r="P12" s="958">
        <v>16</v>
      </c>
      <c r="Q12" s="958">
        <v>17</v>
      </c>
      <c r="R12" s="958">
        <v>18</v>
      </c>
      <c r="S12" s="958">
        <v>19</v>
      </c>
    </row>
    <row r="13" spans="1:27" ht="42" customHeight="1">
      <c r="A13" s="1190" t="s">
        <v>1256</v>
      </c>
      <c r="B13" s="1191"/>
      <c r="C13" s="1191"/>
      <c r="D13" s="1191"/>
      <c r="E13" s="1191"/>
      <c r="F13" s="1191"/>
      <c r="G13" s="1191"/>
      <c r="H13" s="1191"/>
      <c r="I13" s="1191"/>
      <c r="J13" s="1191"/>
      <c r="K13" s="1191"/>
      <c r="L13" s="1191"/>
      <c r="M13" s="1191"/>
      <c r="N13" s="1191"/>
      <c r="O13" s="1191"/>
      <c r="P13" s="1191"/>
      <c r="Q13" s="1191"/>
      <c r="R13" s="1191"/>
      <c r="S13" s="1191"/>
    </row>
    <row r="14" spans="1:27" s="966" customFormat="1" ht="36" customHeight="1">
      <c r="A14" s="1169" t="s">
        <v>205</v>
      </c>
      <c r="B14" s="1170"/>
      <c r="C14" s="1170"/>
      <c r="D14" s="1170"/>
      <c r="E14" s="1170"/>
      <c r="F14" s="1170"/>
      <c r="G14" s="1171"/>
      <c r="H14" s="963">
        <f t="shared" ref="H14:Q14" si="0">H16+H168+H170</f>
        <v>265297.06000000006</v>
      </c>
      <c r="I14" s="963">
        <f t="shared" si="0"/>
        <v>238339.24000000002</v>
      </c>
      <c r="J14" s="963">
        <f t="shared" si="0"/>
        <v>207590.41999999995</v>
      </c>
      <c r="K14" s="964">
        <f t="shared" si="0"/>
        <v>9168</v>
      </c>
      <c r="L14" s="965">
        <f t="shared" si="0"/>
        <v>720910463.86655986</v>
      </c>
      <c r="M14" s="963">
        <f t="shared" si="0"/>
        <v>0</v>
      </c>
      <c r="N14" s="963">
        <f t="shared" si="0"/>
        <v>1358074.35</v>
      </c>
      <c r="O14" s="963">
        <f t="shared" si="0"/>
        <v>719552389.51655996</v>
      </c>
      <c r="P14" s="963">
        <f t="shared" si="0"/>
        <v>0</v>
      </c>
      <c r="Q14" s="963">
        <f t="shared" si="0"/>
        <v>0</v>
      </c>
      <c r="R14" s="957" t="s">
        <v>40</v>
      </c>
      <c r="S14" s="957" t="s">
        <v>40</v>
      </c>
      <c r="W14" s="967"/>
    </row>
    <row r="15" spans="1:27" s="966" customFormat="1" ht="56.25" customHeight="1">
      <c r="A15" s="1190" t="s">
        <v>1064</v>
      </c>
      <c r="B15" s="1190"/>
      <c r="C15" s="1190"/>
      <c r="D15" s="1190"/>
      <c r="E15" s="1190"/>
      <c r="F15" s="1190"/>
      <c r="G15" s="1190"/>
      <c r="H15" s="1190"/>
      <c r="I15" s="1190"/>
      <c r="J15" s="1190"/>
      <c r="K15" s="1190"/>
      <c r="L15" s="1190"/>
      <c r="M15" s="1190"/>
      <c r="N15" s="1190"/>
      <c r="O15" s="1190"/>
      <c r="P15" s="1190"/>
      <c r="Q15" s="1190"/>
      <c r="R15" s="1190"/>
      <c r="S15" s="1190"/>
    </row>
    <row r="16" spans="1:27" s="966" customFormat="1" ht="36" customHeight="1">
      <c r="A16" s="1169" t="s">
        <v>205</v>
      </c>
      <c r="B16" s="1170"/>
      <c r="C16" s="1170"/>
      <c r="D16" s="1170"/>
      <c r="E16" s="1170"/>
      <c r="F16" s="1170"/>
      <c r="G16" s="1171"/>
      <c r="H16" s="963">
        <f t="shared" ref="H16:Q16" si="1">H17+H28+H38+H40+H44+H46+H48+H53+H56+H61+H65+H67+H69+H79+H86+H94+H96+H103+H115+H117+H119+H123+H126+H136+H149+H151+H154+H156+H158+H161+H163</f>
        <v>243848.06000000006</v>
      </c>
      <c r="I16" s="963">
        <f t="shared" si="1"/>
        <v>220512.64000000001</v>
      </c>
      <c r="J16" s="963">
        <f t="shared" si="1"/>
        <v>189763.81999999995</v>
      </c>
      <c r="K16" s="963">
        <f t="shared" si="1"/>
        <v>8562</v>
      </c>
      <c r="L16" s="963">
        <f t="shared" si="1"/>
        <v>716768806.86655986</v>
      </c>
      <c r="M16" s="963">
        <f t="shared" si="1"/>
        <v>0</v>
      </c>
      <c r="N16" s="963">
        <f t="shared" si="1"/>
        <v>261223.35</v>
      </c>
      <c r="O16" s="963">
        <f t="shared" si="1"/>
        <v>716507583.51655996</v>
      </c>
      <c r="P16" s="963">
        <f t="shared" si="1"/>
        <v>0</v>
      </c>
      <c r="Q16" s="963">
        <f t="shared" si="1"/>
        <v>0</v>
      </c>
      <c r="R16" s="968" t="s">
        <v>40</v>
      </c>
      <c r="S16" s="968" t="s">
        <v>40</v>
      </c>
      <c r="U16" s="967"/>
      <c r="X16" s="967"/>
      <c r="AA16" s="967"/>
    </row>
    <row r="17" spans="1:24" s="966" customFormat="1" ht="46.9" customHeight="1">
      <c r="A17" s="1172" t="s">
        <v>2271</v>
      </c>
      <c r="B17" s="1173"/>
      <c r="C17" s="1173"/>
      <c r="D17" s="1173"/>
      <c r="E17" s="1173"/>
      <c r="F17" s="1173"/>
      <c r="G17" s="1174"/>
      <c r="H17" s="968">
        <f t="shared" ref="H17:Q17" si="2">SUM(H18:H27)</f>
        <v>33629.400000000009</v>
      </c>
      <c r="I17" s="968">
        <f t="shared" si="2"/>
        <v>30057.540000000005</v>
      </c>
      <c r="J17" s="968">
        <f t="shared" si="2"/>
        <v>27559.249999999996</v>
      </c>
      <c r="K17" s="958">
        <f t="shared" si="2"/>
        <v>1724</v>
      </c>
      <c r="L17" s="971">
        <f>SUM(L18:L27)</f>
        <v>158495526.35655996</v>
      </c>
      <c r="M17" s="968">
        <f t="shared" si="2"/>
        <v>0</v>
      </c>
      <c r="N17" s="968">
        <f t="shared" si="2"/>
        <v>0</v>
      </c>
      <c r="O17" s="968">
        <f>SUM(O18:O27)</f>
        <v>158495526.35655999</v>
      </c>
      <c r="P17" s="968">
        <f t="shared" si="2"/>
        <v>0</v>
      </c>
      <c r="Q17" s="968">
        <f t="shared" si="2"/>
        <v>0</v>
      </c>
      <c r="R17" s="968" t="s">
        <v>40</v>
      </c>
      <c r="S17" s="968" t="s">
        <v>40</v>
      </c>
      <c r="U17" s="967"/>
      <c r="X17" s="967"/>
    </row>
    <row r="18" spans="1:24" s="966" customFormat="1" ht="42" customHeight="1">
      <c r="A18" s="957">
        <v>1</v>
      </c>
      <c r="B18" s="972" t="s">
        <v>1624</v>
      </c>
      <c r="C18" s="957">
        <v>1982</v>
      </c>
      <c r="D18" s="957"/>
      <c r="E18" s="956" t="s">
        <v>218</v>
      </c>
      <c r="F18" s="957">
        <v>9</v>
      </c>
      <c r="G18" s="957">
        <v>2</v>
      </c>
      <c r="H18" s="973">
        <v>5198.3</v>
      </c>
      <c r="I18" s="973">
        <v>4623</v>
      </c>
      <c r="J18" s="973">
        <v>4483.7</v>
      </c>
      <c r="K18" s="957">
        <v>264</v>
      </c>
      <c r="L18" s="971">
        <v>27935692.619999997</v>
      </c>
      <c r="M18" s="974">
        <v>0</v>
      </c>
      <c r="N18" s="974">
        <v>0</v>
      </c>
      <c r="O18" s="975">
        <v>27935692.620000001</v>
      </c>
      <c r="P18" s="974">
        <v>0</v>
      </c>
      <c r="Q18" s="974">
        <v>0</v>
      </c>
      <c r="R18" s="957">
        <v>2023</v>
      </c>
      <c r="S18" s="957">
        <v>2023</v>
      </c>
      <c r="U18" s="967"/>
      <c r="X18" s="967"/>
    </row>
    <row r="19" spans="1:24" s="966" customFormat="1" ht="45.6" customHeight="1">
      <c r="A19" s="957">
        <v>2</v>
      </c>
      <c r="B19" s="972" t="s">
        <v>1625</v>
      </c>
      <c r="C19" s="957">
        <v>1975</v>
      </c>
      <c r="D19" s="957"/>
      <c r="E19" s="956" t="s">
        <v>219</v>
      </c>
      <c r="F19" s="957">
        <v>9</v>
      </c>
      <c r="G19" s="957">
        <v>1</v>
      </c>
      <c r="H19" s="973">
        <v>9856.7999999999993</v>
      </c>
      <c r="I19" s="973">
        <v>8952.84</v>
      </c>
      <c r="J19" s="973">
        <v>7603.75</v>
      </c>
      <c r="K19" s="957">
        <v>682</v>
      </c>
      <c r="L19" s="971">
        <v>14500229.309999999</v>
      </c>
      <c r="M19" s="974">
        <v>0</v>
      </c>
      <c r="N19" s="974">
        <v>0</v>
      </c>
      <c r="O19" s="975">
        <v>14500229.309999999</v>
      </c>
      <c r="P19" s="974">
        <v>0</v>
      </c>
      <c r="Q19" s="974">
        <v>0</v>
      </c>
      <c r="R19" s="957">
        <v>2023</v>
      </c>
      <c r="S19" s="957">
        <v>2023</v>
      </c>
      <c r="U19" s="967"/>
      <c r="X19" s="967"/>
    </row>
    <row r="20" spans="1:24" s="966" customFormat="1" ht="39.6" customHeight="1">
      <c r="A20" s="957">
        <v>3</v>
      </c>
      <c r="B20" s="972" t="s">
        <v>1626</v>
      </c>
      <c r="C20" s="957">
        <v>1974</v>
      </c>
      <c r="D20" s="957"/>
      <c r="E20" s="956" t="s">
        <v>220</v>
      </c>
      <c r="F20" s="957">
        <v>12</v>
      </c>
      <c r="G20" s="957">
        <v>1</v>
      </c>
      <c r="H20" s="973">
        <v>4063.2</v>
      </c>
      <c r="I20" s="973">
        <v>3632.2</v>
      </c>
      <c r="J20" s="973">
        <v>3460.2</v>
      </c>
      <c r="K20" s="957">
        <v>224</v>
      </c>
      <c r="L20" s="971">
        <v>37984944.43</v>
      </c>
      <c r="M20" s="974">
        <v>0</v>
      </c>
      <c r="N20" s="974">
        <v>0</v>
      </c>
      <c r="O20" s="975">
        <v>37984944.43</v>
      </c>
      <c r="P20" s="974">
        <v>0</v>
      </c>
      <c r="Q20" s="974">
        <v>0</v>
      </c>
      <c r="R20" s="957">
        <v>2023</v>
      </c>
      <c r="S20" s="957">
        <v>2023</v>
      </c>
      <c r="U20" s="967"/>
      <c r="X20" s="967"/>
    </row>
    <row r="21" spans="1:24" s="966" customFormat="1" ht="39" customHeight="1">
      <c r="A21" s="957">
        <v>4</v>
      </c>
      <c r="B21" s="972" t="s">
        <v>1627</v>
      </c>
      <c r="C21" s="957">
        <v>1992</v>
      </c>
      <c r="D21" s="957"/>
      <c r="E21" s="956" t="s">
        <v>219</v>
      </c>
      <c r="F21" s="957">
        <v>9</v>
      </c>
      <c r="G21" s="957">
        <v>4</v>
      </c>
      <c r="H21" s="973">
        <v>8424.7000000000007</v>
      </c>
      <c r="I21" s="973">
        <v>7359.5</v>
      </c>
      <c r="J21" s="973">
        <f>I21-239.9</f>
        <v>7119.6</v>
      </c>
      <c r="K21" s="957">
        <v>288</v>
      </c>
      <c r="L21" s="971">
        <v>12241360.51</v>
      </c>
      <c r="M21" s="974">
        <v>0</v>
      </c>
      <c r="N21" s="974">
        <v>0</v>
      </c>
      <c r="O21" s="975">
        <v>12241360.51</v>
      </c>
      <c r="P21" s="974">
        <v>0</v>
      </c>
      <c r="Q21" s="974">
        <v>0</v>
      </c>
      <c r="R21" s="957">
        <v>2023</v>
      </c>
      <c r="S21" s="957">
        <v>2023</v>
      </c>
      <c r="U21" s="967"/>
      <c r="X21" s="967"/>
    </row>
    <row r="22" spans="1:24" s="966" customFormat="1" ht="45.6" customHeight="1">
      <c r="A22" s="957">
        <v>5</v>
      </c>
      <c r="B22" s="972" t="s">
        <v>1628</v>
      </c>
      <c r="C22" s="957" t="s">
        <v>190</v>
      </c>
      <c r="D22" s="957"/>
      <c r="E22" s="956" t="s">
        <v>218</v>
      </c>
      <c r="F22" s="957">
        <v>2</v>
      </c>
      <c r="G22" s="957">
        <v>3</v>
      </c>
      <c r="H22" s="973">
        <v>698.4</v>
      </c>
      <c r="I22" s="973">
        <v>550.20000000000005</v>
      </c>
      <c r="J22" s="973">
        <f>I22-36.9</f>
        <v>513.30000000000007</v>
      </c>
      <c r="K22" s="957">
        <v>25</v>
      </c>
      <c r="L22" s="971">
        <v>3215641</v>
      </c>
      <c r="M22" s="974">
        <v>0</v>
      </c>
      <c r="N22" s="974">
        <v>0</v>
      </c>
      <c r="O22" s="975">
        <v>3215641</v>
      </c>
      <c r="P22" s="974">
        <v>0</v>
      </c>
      <c r="Q22" s="974">
        <v>0</v>
      </c>
      <c r="R22" s="957">
        <v>2023</v>
      </c>
      <c r="S22" s="957">
        <v>2023</v>
      </c>
      <c r="U22" s="967"/>
      <c r="X22" s="967"/>
    </row>
    <row r="23" spans="1:24" s="966" customFormat="1" ht="45.6" customHeight="1">
      <c r="A23" s="957">
        <v>6</v>
      </c>
      <c r="B23" s="972" t="s">
        <v>1629</v>
      </c>
      <c r="C23" s="957">
        <v>1959</v>
      </c>
      <c r="D23" s="957"/>
      <c r="E23" s="956" t="s">
        <v>218</v>
      </c>
      <c r="F23" s="957">
        <v>2</v>
      </c>
      <c r="G23" s="957">
        <v>2</v>
      </c>
      <c r="H23" s="968">
        <v>509.4</v>
      </c>
      <c r="I23" s="968">
        <v>465.7</v>
      </c>
      <c r="J23" s="968">
        <v>372.4</v>
      </c>
      <c r="K23" s="958">
        <v>23</v>
      </c>
      <c r="L23" s="971">
        <v>5225790.5500000007</v>
      </c>
      <c r="M23" s="974">
        <v>0</v>
      </c>
      <c r="N23" s="974">
        <v>0</v>
      </c>
      <c r="O23" s="975">
        <v>5225790.5500000007</v>
      </c>
      <c r="P23" s="974">
        <v>0</v>
      </c>
      <c r="Q23" s="974">
        <v>0</v>
      </c>
      <c r="R23" s="957">
        <v>2023</v>
      </c>
      <c r="S23" s="957">
        <v>2023</v>
      </c>
      <c r="U23" s="967"/>
      <c r="X23" s="967"/>
    </row>
    <row r="24" spans="1:24" s="966" customFormat="1" ht="42" customHeight="1">
      <c r="A24" s="957">
        <v>7</v>
      </c>
      <c r="B24" s="972" t="s">
        <v>1630</v>
      </c>
      <c r="C24" s="957">
        <v>1949</v>
      </c>
      <c r="D24" s="957"/>
      <c r="E24" s="956" t="s">
        <v>218</v>
      </c>
      <c r="F24" s="957">
        <v>2</v>
      </c>
      <c r="G24" s="957">
        <v>1</v>
      </c>
      <c r="H24" s="973">
        <v>396.5</v>
      </c>
      <c r="I24" s="973">
        <v>363.4</v>
      </c>
      <c r="J24" s="973">
        <f>I24-128.8</f>
        <v>234.59999999999997</v>
      </c>
      <c r="K24" s="957">
        <v>27</v>
      </c>
      <c r="L24" s="971">
        <v>8530938.1965599991</v>
      </c>
      <c r="M24" s="974">
        <v>0</v>
      </c>
      <c r="N24" s="974">
        <v>0</v>
      </c>
      <c r="O24" s="975">
        <v>8530938.1965599991</v>
      </c>
      <c r="P24" s="974">
        <v>0</v>
      </c>
      <c r="Q24" s="974">
        <v>0</v>
      </c>
      <c r="R24" s="957">
        <v>2023</v>
      </c>
      <c r="S24" s="957">
        <v>2023</v>
      </c>
      <c r="U24" s="967"/>
      <c r="X24" s="967"/>
    </row>
    <row r="25" spans="1:24" s="966" customFormat="1" ht="42" customHeight="1">
      <c r="A25" s="957">
        <v>8</v>
      </c>
      <c r="B25" s="972" t="s">
        <v>1631</v>
      </c>
      <c r="C25" s="957">
        <v>1965</v>
      </c>
      <c r="D25" s="957"/>
      <c r="E25" s="956" t="s">
        <v>218</v>
      </c>
      <c r="F25" s="957">
        <v>5</v>
      </c>
      <c r="G25" s="957">
        <v>2</v>
      </c>
      <c r="H25" s="973">
        <v>1733.2</v>
      </c>
      <c r="I25" s="973">
        <f>1449+160.2</f>
        <v>1609.2</v>
      </c>
      <c r="J25" s="973">
        <v>1523.3</v>
      </c>
      <c r="K25" s="957">
        <v>68</v>
      </c>
      <c r="L25" s="971">
        <v>18401541.02</v>
      </c>
      <c r="M25" s="974">
        <v>0</v>
      </c>
      <c r="N25" s="974">
        <v>0</v>
      </c>
      <c r="O25" s="975">
        <v>18401541.02</v>
      </c>
      <c r="P25" s="974">
        <v>0</v>
      </c>
      <c r="Q25" s="974">
        <v>0</v>
      </c>
      <c r="R25" s="957">
        <v>2023</v>
      </c>
      <c r="S25" s="957">
        <v>2023</v>
      </c>
      <c r="U25" s="967"/>
      <c r="X25" s="967"/>
    </row>
    <row r="26" spans="1:24" s="966" customFormat="1" ht="43.15" customHeight="1">
      <c r="A26" s="957">
        <v>9</v>
      </c>
      <c r="B26" s="972" t="s">
        <v>1632</v>
      </c>
      <c r="C26" s="957">
        <v>1973</v>
      </c>
      <c r="D26" s="957"/>
      <c r="E26" s="956" t="s">
        <v>218</v>
      </c>
      <c r="F26" s="957">
        <v>5</v>
      </c>
      <c r="G26" s="957">
        <v>2</v>
      </c>
      <c r="H26" s="973">
        <v>1953.1</v>
      </c>
      <c r="I26" s="973">
        <v>1763.3</v>
      </c>
      <c r="J26" s="973">
        <f>I26-226</f>
        <v>1537.3</v>
      </c>
      <c r="K26" s="957">
        <v>84</v>
      </c>
      <c r="L26" s="971">
        <v>18306453</v>
      </c>
      <c r="M26" s="974">
        <v>0</v>
      </c>
      <c r="N26" s="974">
        <v>0</v>
      </c>
      <c r="O26" s="975">
        <v>18306453</v>
      </c>
      <c r="P26" s="974">
        <v>0</v>
      </c>
      <c r="Q26" s="974">
        <v>0</v>
      </c>
      <c r="R26" s="957">
        <v>2023</v>
      </c>
      <c r="S26" s="957">
        <v>2023</v>
      </c>
      <c r="U26" s="967"/>
      <c r="X26" s="967"/>
    </row>
    <row r="27" spans="1:24" s="966" customFormat="1" ht="39.6" customHeight="1">
      <c r="A27" s="957">
        <v>10</v>
      </c>
      <c r="B27" s="972" t="s">
        <v>1633</v>
      </c>
      <c r="C27" s="957">
        <v>1971</v>
      </c>
      <c r="D27" s="957"/>
      <c r="E27" s="956" t="s">
        <v>218</v>
      </c>
      <c r="F27" s="957">
        <v>2</v>
      </c>
      <c r="G27" s="957">
        <v>2</v>
      </c>
      <c r="H27" s="973">
        <v>795.8</v>
      </c>
      <c r="I27" s="973">
        <v>738.2</v>
      </c>
      <c r="J27" s="973">
        <v>711.1</v>
      </c>
      <c r="K27" s="957">
        <v>39</v>
      </c>
      <c r="L27" s="971">
        <v>12152935.720000001</v>
      </c>
      <c r="M27" s="974">
        <v>0</v>
      </c>
      <c r="N27" s="974">
        <v>0</v>
      </c>
      <c r="O27" s="975">
        <v>12152935.720000001</v>
      </c>
      <c r="P27" s="974">
        <v>0</v>
      </c>
      <c r="Q27" s="974">
        <v>0</v>
      </c>
      <c r="R27" s="957">
        <v>2023</v>
      </c>
      <c r="S27" s="957">
        <v>2023</v>
      </c>
      <c r="U27" s="967"/>
      <c r="X27" s="967"/>
    </row>
    <row r="28" spans="1:24" s="966" customFormat="1" ht="37.9" customHeight="1">
      <c r="A28" s="1172" t="s">
        <v>2053</v>
      </c>
      <c r="B28" s="1173"/>
      <c r="C28" s="1173"/>
      <c r="D28" s="1173"/>
      <c r="E28" s="1173"/>
      <c r="F28" s="1173"/>
      <c r="G28" s="1174"/>
      <c r="H28" s="968">
        <f>SUM(H29:H37)</f>
        <v>14598.1</v>
      </c>
      <c r="I28" s="968">
        <f t="shared" ref="I28:Q28" si="3">SUM(I29:I37)</f>
        <v>14061.1</v>
      </c>
      <c r="J28" s="968">
        <f t="shared" si="3"/>
        <v>12291.640000000001</v>
      </c>
      <c r="K28" s="968">
        <f t="shared" si="3"/>
        <v>530</v>
      </c>
      <c r="L28" s="971">
        <f t="shared" si="3"/>
        <v>29365723.830000002</v>
      </c>
      <c r="M28" s="968">
        <f t="shared" si="3"/>
        <v>0</v>
      </c>
      <c r="N28" s="968">
        <f t="shared" si="3"/>
        <v>0</v>
      </c>
      <c r="O28" s="968">
        <f t="shared" si="3"/>
        <v>29365723.830000002</v>
      </c>
      <c r="P28" s="968">
        <f t="shared" si="3"/>
        <v>0</v>
      </c>
      <c r="Q28" s="968">
        <f t="shared" si="3"/>
        <v>0</v>
      </c>
      <c r="R28" s="968" t="s">
        <v>40</v>
      </c>
      <c r="S28" s="968" t="s">
        <v>40</v>
      </c>
      <c r="U28" s="967"/>
      <c r="X28" s="967"/>
    </row>
    <row r="29" spans="1:24" s="966" customFormat="1" ht="61.15" customHeight="1">
      <c r="A29" s="956">
        <v>11</v>
      </c>
      <c r="B29" s="976" t="s">
        <v>1597</v>
      </c>
      <c r="C29" s="956">
        <v>1992</v>
      </c>
      <c r="D29" s="956"/>
      <c r="E29" s="956" t="s">
        <v>218</v>
      </c>
      <c r="F29" s="956">
        <v>3</v>
      </c>
      <c r="G29" s="956">
        <v>3</v>
      </c>
      <c r="H29" s="963">
        <v>1504.7</v>
      </c>
      <c r="I29" s="963">
        <v>1504.7</v>
      </c>
      <c r="J29" s="963">
        <v>1326.7</v>
      </c>
      <c r="K29" s="977">
        <v>45</v>
      </c>
      <c r="L29" s="965">
        <v>4898148.28</v>
      </c>
      <c r="M29" s="968">
        <v>0</v>
      </c>
      <c r="N29" s="963">
        <v>0</v>
      </c>
      <c r="O29" s="963">
        <v>4898148.28</v>
      </c>
      <c r="P29" s="968">
        <v>0</v>
      </c>
      <c r="Q29" s="963">
        <v>0</v>
      </c>
      <c r="R29" s="956">
        <v>2023</v>
      </c>
      <c r="S29" s="956">
        <v>2023</v>
      </c>
      <c r="U29" s="967"/>
      <c r="X29" s="967"/>
    </row>
    <row r="30" spans="1:24" s="966" customFormat="1" ht="48.6" customHeight="1">
      <c r="A30" s="956">
        <v>12</v>
      </c>
      <c r="B30" s="976" t="s">
        <v>1592</v>
      </c>
      <c r="C30" s="956" t="s">
        <v>190</v>
      </c>
      <c r="D30" s="956"/>
      <c r="E30" s="978" t="s">
        <v>218</v>
      </c>
      <c r="F30" s="956">
        <v>3</v>
      </c>
      <c r="G30" s="956">
        <v>2</v>
      </c>
      <c r="H30" s="963">
        <v>769.1</v>
      </c>
      <c r="I30" s="963">
        <v>769.1</v>
      </c>
      <c r="J30" s="963">
        <v>772.7</v>
      </c>
      <c r="K30" s="977">
        <v>25</v>
      </c>
      <c r="L30" s="965">
        <v>1191236</v>
      </c>
      <c r="M30" s="968">
        <v>0</v>
      </c>
      <c r="N30" s="963">
        <v>0</v>
      </c>
      <c r="O30" s="963">
        <v>1191236</v>
      </c>
      <c r="P30" s="968">
        <v>0</v>
      </c>
      <c r="Q30" s="963">
        <v>0</v>
      </c>
      <c r="R30" s="956">
        <v>2023</v>
      </c>
      <c r="S30" s="956">
        <v>2023</v>
      </c>
      <c r="U30" s="967"/>
      <c r="X30" s="967"/>
    </row>
    <row r="31" spans="1:24" s="966" customFormat="1" ht="48.6" customHeight="1">
      <c r="A31" s="956">
        <v>13</v>
      </c>
      <c r="B31" s="976" t="s">
        <v>1891</v>
      </c>
      <c r="C31" s="956">
        <v>1970</v>
      </c>
      <c r="D31" s="956"/>
      <c r="E31" s="956" t="s">
        <v>218</v>
      </c>
      <c r="F31" s="956">
        <v>5</v>
      </c>
      <c r="G31" s="956">
        <v>6</v>
      </c>
      <c r="H31" s="963">
        <v>4352.3</v>
      </c>
      <c r="I31" s="963">
        <v>4352.2</v>
      </c>
      <c r="J31" s="963">
        <v>2916.04</v>
      </c>
      <c r="K31" s="977">
        <v>176</v>
      </c>
      <c r="L31" s="965">
        <v>6253469.2199999997</v>
      </c>
      <c r="M31" s="968">
        <v>0</v>
      </c>
      <c r="N31" s="963">
        <v>0</v>
      </c>
      <c r="O31" s="963">
        <v>6253469.2199999997</v>
      </c>
      <c r="P31" s="968">
        <v>0</v>
      </c>
      <c r="Q31" s="963">
        <v>0</v>
      </c>
      <c r="R31" s="956">
        <v>2023</v>
      </c>
      <c r="S31" s="956">
        <v>2023</v>
      </c>
      <c r="U31" s="967"/>
      <c r="X31" s="967"/>
    </row>
    <row r="32" spans="1:24" s="966" customFormat="1" ht="47.45" customHeight="1">
      <c r="A32" s="956">
        <v>14</v>
      </c>
      <c r="B32" s="976" t="s">
        <v>1598</v>
      </c>
      <c r="C32" s="956">
        <v>1978</v>
      </c>
      <c r="D32" s="956"/>
      <c r="E32" s="978" t="s">
        <v>218</v>
      </c>
      <c r="F32" s="956">
        <v>2</v>
      </c>
      <c r="G32" s="956">
        <v>3</v>
      </c>
      <c r="H32" s="963">
        <v>898.3</v>
      </c>
      <c r="I32" s="963">
        <v>898.3</v>
      </c>
      <c r="J32" s="963">
        <v>898.3</v>
      </c>
      <c r="K32" s="977">
        <v>34</v>
      </c>
      <c r="L32" s="965">
        <v>3863966.72</v>
      </c>
      <c r="M32" s="968">
        <v>0</v>
      </c>
      <c r="N32" s="963">
        <v>0</v>
      </c>
      <c r="O32" s="963">
        <v>3863966.72</v>
      </c>
      <c r="P32" s="968">
        <v>0</v>
      </c>
      <c r="Q32" s="963">
        <v>0</v>
      </c>
      <c r="R32" s="956">
        <v>2023</v>
      </c>
      <c r="S32" s="956">
        <v>2023</v>
      </c>
      <c r="U32" s="967"/>
      <c r="X32" s="967"/>
    </row>
    <row r="33" spans="1:24" s="966" customFormat="1" ht="42" customHeight="1">
      <c r="A33" s="956">
        <v>15</v>
      </c>
      <c r="B33" s="976" t="s">
        <v>1593</v>
      </c>
      <c r="C33" s="956">
        <v>1955</v>
      </c>
      <c r="D33" s="956"/>
      <c r="E33" s="978" t="s">
        <v>218</v>
      </c>
      <c r="F33" s="956">
        <v>2</v>
      </c>
      <c r="G33" s="956">
        <v>2</v>
      </c>
      <c r="H33" s="963">
        <v>686.3</v>
      </c>
      <c r="I33" s="963">
        <v>686.3</v>
      </c>
      <c r="J33" s="963">
        <v>686.3</v>
      </c>
      <c r="K33" s="977">
        <v>21</v>
      </c>
      <c r="L33" s="965">
        <v>7720509.6200000001</v>
      </c>
      <c r="M33" s="968">
        <v>0</v>
      </c>
      <c r="N33" s="963">
        <v>0</v>
      </c>
      <c r="O33" s="963">
        <v>7720509.6200000001</v>
      </c>
      <c r="P33" s="968">
        <v>0</v>
      </c>
      <c r="Q33" s="963">
        <v>0</v>
      </c>
      <c r="R33" s="956">
        <v>2023</v>
      </c>
      <c r="S33" s="956">
        <v>2023</v>
      </c>
      <c r="U33" s="967"/>
      <c r="X33" s="967"/>
    </row>
    <row r="34" spans="1:24" s="966" customFormat="1" ht="41.45" customHeight="1">
      <c r="A34" s="956">
        <v>16</v>
      </c>
      <c r="B34" s="976" t="s">
        <v>2269</v>
      </c>
      <c r="C34" s="956" t="s">
        <v>190</v>
      </c>
      <c r="D34" s="956"/>
      <c r="E34" s="978" t="s">
        <v>218</v>
      </c>
      <c r="F34" s="956">
        <v>3</v>
      </c>
      <c r="G34" s="956">
        <v>5</v>
      </c>
      <c r="H34" s="963">
        <v>2560.5</v>
      </c>
      <c r="I34" s="963">
        <v>2318.5</v>
      </c>
      <c r="J34" s="963">
        <v>2291.1999999999998</v>
      </c>
      <c r="K34" s="977">
        <v>84</v>
      </c>
      <c r="L34" s="965">
        <v>1210508</v>
      </c>
      <c r="M34" s="968">
        <v>0</v>
      </c>
      <c r="N34" s="963">
        <v>0</v>
      </c>
      <c r="O34" s="963">
        <v>1210508</v>
      </c>
      <c r="P34" s="968">
        <v>0</v>
      </c>
      <c r="Q34" s="963">
        <v>0</v>
      </c>
      <c r="R34" s="956">
        <v>2023</v>
      </c>
      <c r="S34" s="956">
        <v>2023</v>
      </c>
      <c r="U34" s="967"/>
      <c r="X34" s="967"/>
    </row>
    <row r="35" spans="1:24" s="979" customFormat="1" ht="36.75" customHeight="1">
      <c r="A35" s="956">
        <v>17</v>
      </c>
      <c r="B35" s="976" t="s">
        <v>1074</v>
      </c>
      <c r="C35" s="956" t="s">
        <v>190</v>
      </c>
      <c r="D35" s="956"/>
      <c r="E35" s="978" t="s">
        <v>221</v>
      </c>
      <c r="F35" s="956">
        <v>1</v>
      </c>
      <c r="G35" s="956">
        <v>3</v>
      </c>
      <c r="H35" s="963">
        <v>192.9</v>
      </c>
      <c r="I35" s="963">
        <v>190.9</v>
      </c>
      <c r="J35" s="963">
        <v>199.8</v>
      </c>
      <c r="K35" s="977">
        <v>14</v>
      </c>
      <c r="L35" s="965">
        <v>3985352.48</v>
      </c>
      <c r="M35" s="968">
        <v>0</v>
      </c>
      <c r="N35" s="963">
        <v>0</v>
      </c>
      <c r="O35" s="963">
        <v>3985352.48</v>
      </c>
      <c r="P35" s="968">
        <v>0</v>
      </c>
      <c r="Q35" s="963">
        <v>0</v>
      </c>
      <c r="R35" s="956">
        <v>2023</v>
      </c>
      <c r="S35" s="956">
        <v>2023</v>
      </c>
      <c r="U35" s="967"/>
      <c r="X35" s="967"/>
    </row>
    <row r="36" spans="1:24" s="979" customFormat="1" ht="42.6" customHeight="1">
      <c r="A36" s="956">
        <v>18</v>
      </c>
      <c r="B36" s="976" t="s">
        <v>1595</v>
      </c>
      <c r="C36" s="956">
        <v>1964</v>
      </c>
      <c r="D36" s="956"/>
      <c r="E36" s="978" t="s">
        <v>218</v>
      </c>
      <c r="F36" s="956">
        <v>4</v>
      </c>
      <c r="G36" s="956">
        <v>5</v>
      </c>
      <c r="H36" s="963">
        <v>2703.4</v>
      </c>
      <c r="I36" s="963">
        <v>2503.6</v>
      </c>
      <c r="J36" s="963">
        <v>2503.6</v>
      </c>
      <c r="K36" s="977">
        <v>102</v>
      </c>
      <c r="L36" s="965">
        <v>146528.6</v>
      </c>
      <c r="M36" s="968">
        <v>0</v>
      </c>
      <c r="N36" s="963">
        <v>0</v>
      </c>
      <c r="O36" s="963">
        <v>146528.6</v>
      </c>
      <c r="P36" s="968">
        <v>0</v>
      </c>
      <c r="Q36" s="963">
        <v>0</v>
      </c>
      <c r="R36" s="956">
        <v>2023</v>
      </c>
      <c r="S36" s="956">
        <v>2023</v>
      </c>
      <c r="U36" s="967"/>
      <c r="X36" s="967"/>
    </row>
    <row r="37" spans="1:24" s="979" customFormat="1" ht="41.45" customHeight="1">
      <c r="A37" s="956">
        <v>19</v>
      </c>
      <c r="B37" s="976" t="s">
        <v>1596</v>
      </c>
      <c r="C37" s="956" t="s">
        <v>190</v>
      </c>
      <c r="D37" s="956"/>
      <c r="E37" s="978" t="s">
        <v>218</v>
      </c>
      <c r="F37" s="956">
        <v>3</v>
      </c>
      <c r="G37" s="956">
        <v>1</v>
      </c>
      <c r="H37" s="963">
        <v>930.6</v>
      </c>
      <c r="I37" s="963">
        <v>837.5</v>
      </c>
      <c r="J37" s="963">
        <v>697</v>
      </c>
      <c r="K37" s="977">
        <v>29</v>
      </c>
      <c r="L37" s="965">
        <v>96004.91</v>
      </c>
      <c r="M37" s="968">
        <v>0</v>
      </c>
      <c r="N37" s="963">
        <v>0</v>
      </c>
      <c r="O37" s="963">
        <v>96004.91</v>
      </c>
      <c r="P37" s="968">
        <v>0</v>
      </c>
      <c r="Q37" s="963">
        <v>0</v>
      </c>
      <c r="R37" s="956">
        <v>2023</v>
      </c>
      <c r="S37" s="956">
        <v>2023</v>
      </c>
      <c r="U37" s="967"/>
      <c r="X37" s="967"/>
    </row>
    <row r="38" spans="1:24" s="966" customFormat="1" ht="36" customHeight="1">
      <c r="A38" s="1172" t="s">
        <v>2272</v>
      </c>
      <c r="B38" s="1173"/>
      <c r="C38" s="1173"/>
      <c r="D38" s="1173"/>
      <c r="E38" s="1173"/>
      <c r="F38" s="1173"/>
      <c r="G38" s="1174"/>
      <c r="H38" s="968">
        <f>SUM(H39:H39)</f>
        <v>1124.0999999999999</v>
      </c>
      <c r="I38" s="968">
        <f t="shared" ref="I38:Q38" si="4">SUM(I39:I39)</f>
        <v>917.5</v>
      </c>
      <c r="J38" s="968">
        <f t="shared" si="4"/>
        <v>871.6</v>
      </c>
      <c r="K38" s="958">
        <f t="shared" si="4"/>
        <v>43</v>
      </c>
      <c r="L38" s="971">
        <f t="shared" si="4"/>
        <v>10176539.5</v>
      </c>
      <c r="M38" s="968">
        <f t="shared" si="4"/>
        <v>0</v>
      </c>
      <c r="N38" s="968">
        <f t="shared" si="4"/>
        <v>0</v>
      </c>
      <c r="O38" s="968">
        <f t="shared" si="4"/>
        <v>10176539.5</v>
      </c>
      <c r="P38" s="968">
        <f t="shared" si="4"/>
        <v>0</v>
      </c>
      <c r="Q38" s="968">
        <f t="shared" si="4"/>
        <v>0</v>
      </c>
      <c r="R38" s="968" t="s">
        <v>40</v>
      </c>
      <c r="S38" s="968" t="s">
        <v>40</v>
      </c>
      <c r="U38" s="967"/>
      <c r="X38" s="967"/>
    </row>
    <row r="39" spans="1:24" s="966" customFormat="1" ht="39.6" customHeight="1">
      <c r="A39" s="957">
        <v>20</v>
      </c>
      <c r="B39" s="972" t="s">
        <v>1310</v>
      </c>
      <c r="C39" s="957">
        <v>1959</v>
      </c>
      <c r="D39" s="957"/>
      <c r="E39" s="956" t="s">
        <v>218</v>
      </c>
      <c r="F39" s="957">
        <v>3</v>
      </c>
      <c r="G39" s="957">
        <v>2</v>
      </c>
      <c r="H39" s="968">
        <v>1124.0999999999999</v>
      </c>
      <c r="I39" s="968">
        <v>917.5</v>
      </c>
      <c r="J39" s="968">
        <v>871.6</v>
      </c>
      <c r="K39" s="959">
        <v>43</v>
      </c>
      <c r="L39" s="971">
        <v>10176539.5</v>
      </c>
      <c r="M39" s="968">
        <v>0</v>
      </c>
      <c r="N39" s="968">
        <v>0</v>
      </c>
      <c r="O39" s="968">
        <v>10176539.5</v>
      </c>
      <c r="P39" s="968">
        <v>0</v>
      </c>
      <c r="Q39" s="968">
        <v>0</v>
      </c>
      <c r="R39" s="964">
        <v>2023</v>
      </c>
      <c r="S39" s="964">
        <v>2023</v>
      </c>
      <c r="U39" s="967"/>
      <c r="X39" s="967"/>
    </row>
    <row r="40" spans="1:24" s="966" customFormat="1" ht="36" customHeight="1">
      <c r="A40" s="1163" t="s">
        <v>2054</v>
      </c>
      <c r="B40" s="1164"/>
      <c r="C40" s="1164"/>
      <c r="D40" s="1164"/>
      <c r="E40" s="1164"/>
      <c r="F40" s="1164"/>
      <c r="G40" s="1165"/>
      <c r="H40" s="968">
        <f>SUM(H41:H43)</f>
        <v>7962.7</v>
      </c>
      <c r="I40" s="968">
        <f t="shared" ref="I40:Q40" si="5">SUM(I41:I43)</f>
        <v>5286.5</v>
      </c>
      <c r="J40" s="968">
        <f t="shared" si="5"/>
        <v>4291.8</v>
      </c>
      <c r="K40" s="958">
        <f t="shared" si="5"/>
        <v>211</v>
      </c>
      <c r="L40" s="971">
        <f t="shared" si="5"/>
        <v>14556403.25</v>
      </c>
      <c r="M40" s="968">
        <f t="shared" si="5"/>
        <v>0</v>
      </c>
      <c r="N40" s="968">
        <f t="shared" si="5"/>
        <v>0</v>
      </c>
      <c r="O40" s="968">
        <f t="shared" si="5"/>
        <v>14556403.25</v>
      </c>
      <c r="P40" s="968">
        <f t="shared" si="5"/>
        <v>0</v>
      </c>
      <c r="Q40" s="968">
        <f t="shared" si="5"/>
        <v>0</v>
      </c>
      <c r="R40" s="968" t="s">
        <v>40</v>
      </c>
      <c r="S40" s="968" t="s">
        <v>40</v>
      </c>
      <c r="U40" s="967"/>
      <c r="X40" s="967"/>
    </row>
    <row r="41" spans="1:24" s="966" customFormat="1" ht="42" customHeight="1">
      <c r="A41" s="957">
        <v>21</v>
      </c>
      <c r="B41" s="976" t="s">
        <v>1455</v>
      </c>
      <c r="C41" s="957">
        <v>1963</v>
      </c>
      <c r="D41" s="957"/>
      <c r="E41" s="956" t="s">
        <v>218</v>
      </c>
      <c r="F41" s="957">
        <v>3</v>
      </c>
      <c r="G41" s="957">
        <v>2</v>
      </c>
      <c r="H41" s="968">
        <v>1024.5999999999999</v>
      </c>
      <c r="I41" s="968">
        <v>904.1</v>
      </c>
      <c r="J41" s="968">
        <v>784.5</v>
      </c>
      <c r="K41" s="959">
        <v>38</v>
      </c>
      <c r="L41" s="971">
        <v>5170782.2300000004</v>
      </c>
      <c r="M41" s="968">
        <v>0</v>
      </c>
      <c r="N41" s="968">
        <v>0</v>
      </c>
      <c r="O41" s="968">
        <v>5170782.2300000004</v>
      </c>
      <c r="P41" s="968">
        <v>0</v>
      </c>
      <c r="Q41" s="968">
        <v>0</v>
      </c>
      <c r="R41" s="964">
        <v>2023</v>
      </c>
      <c r="S41" s="964">
        <v>2023</v>
      </c>
      <c r="U41" s="967"/>
      <c r="X41" s="967"/>
    </row>
    <row r="42" spans="1:24" s="966" customFormat="1" ht="38.450000000000003" customHeight="1">
      <c r="A42" s="957">
        <v>22</v>
      </c>
      <c r="B42" s="976" t="s">
        <v>1456</v>
      </c>
      <c r="C42" s="957">
        <v>1963</v>
      </c>
      <c r="D42" s="957"/>
      <c r="E42" s="956" t="s">
        <v>218</v>
      </c>
      <c r="F42" s="957">
        <v>3</v>
      </c>
      <c r="G42" s="957">
        <v>2</v>
      </c>
      <c r="H42" s="968">
        <v>1048.7</v>
      </c>
      <c r="I42" s="968">
        <v>934.5</v>
      </c>
      <c r="J42" s="968">
        <v>675.5</v>
      </c>
      <c r="K42" s="959">
        <v>38</v>
      </c>
      <c r="L42" s="971">
        <v>5170782.2300000004</v>
      </c>
      <c r="M42" s="968">
        <v>0</v>
      </c>
      <c r="N42" s="968">
        <v>0</v>
      </c>
      <c r="O42" s="968">
        <v>5170782.2300000004</v>
      </c>
      <c r="P42" s="968">
        <v>0</v>
      </c>
      <c r="Q42" s="968">
        <v>0</v>
      </c>
      <c r="R42" s="964">
        <v>2023</v>
      </c>
      <c r="S42" s="964">
        <v>2023</v>
      </c>
      <c r="U42" s="967"/>
      <c r="X42" s="967"/>
    </row>
    <row r="43" spans="1:24" s="966" customFormat="1" ht="40.15" customHeight="1">
      <c r="A43" s="957">
        <v>23</v>
      </c>
      <c r="B43" s="976" t="s">
        <v>1457</v>
      </c>
      <c r="C43" s="957">
        <v>1992</v>
      </c>
      <c r="D43" s="957"/>
      <c r="E43" s="956" t="s">
        <v>219</v>
      </c>
      <c r="F43" s="957">
        <v>5</v>
      </c>
      <c r="G43" s="957">
        <v>4</v>
      </c>
      <c r="H43" s="968">
        <v>5889.4</v>
      </c>
      <c r="I43" s="968">
        <v>3447.9</v>
      </c>
      <c r="J43" s="968">
        <v>2831.8</v>
      </c>
      <c r="K43" s="959">
        <v>135</v>
      </c>
      <c r="L43" s="971">
        <v>4214838.79</v>
      </c>
      <c r="M43" s="968">
        <v>0</v>
      </c>
      <c r="N43" s="968">
        <v>0</v>
      </c>
      <c r="O43" s="968">
        <v>4214838.79</v>
      </c>
      <c r="P43" s="968">
        <v>0</v>
      </c>
      <c r="Q43" s="968">
        <v>0</v>
      </c>
      <c r="R43" s="964">
        <v>2023</v>
      </c>
      <c r="S43" s="964">
        <v>2023</v>
      </c>
      <c r="U43" s="967"/>
      <c r="X43" s="967"/>
    </row>
    <row r="44" spans="1:24" s="966" customFormat="1" ht="40.15" customHeight="1">
      <c r="A44" s="1163" t="s">
        <v>2055</v>
      </c>
      <c r="B44" s="1164"/>
      <c r="C44" s="1164"/>
      <c r="D44" s="1164"/>
      <c r="E44" s="1164"/>
      <c r="F44" s="1164"/>
      <c r="G44" s="1165"/>
      <c r="H44" s="968">
        <f>SUM(H45)</f>
        <v>2178</v>
      </c>
      <c r="I44" s="968">
        <f t="shared" ref="I44:Q44" si="6">SUM(I45)</f>
        <v>1517.9</v>
      </c>
      <c r="J44" s="968">
        <f t="shared" si="6"/>
        <v>1331.5</v>
      </c>
      <c r="K44" s="958">
        <f t="shared" si="6"/>
        <v>49</v>
      </c>
      <c r="L44" s="971">
        <f t="shared" si="6"/>
        <v>1588224.31</v>
      </c>
      <c r="M44" s="968">
        <f t="shared" si="6"/>
        <v>0</v>
      </c>
      <c r="N44" s="968">
        <f t="shared" si="6"/>
        <v>0</v>
      </c>
      <c r="O44" s="968">
        <f t="shared" si="6"/>
        <v>1588224.31</v>
      </c>
      <c r="P44" s="968">
        <f t="shared" si="6"/>
        <v>0</v>
      </c>
      <c r="Q44" s="968">
        <f t="shared" si="6"/>
        <v>0</v>
      </c>
      <c r="R44" s="968" t="s">
        <v>40</v>
      </c>
      <c r="S44" s="968" t="s">
        <v>40</v>
      </c>
      <c r="U44" s="967"/>
      <c r="X44" s="967"/>
    </row>
    <row r="45" spans="1:24" s="966" customFormat="1" ht="40.15" customHeight="1">
      <c r="A45" s="957">
        <v>24</v>
      </c>
      <c r="B45" s="972" t="s">
        <v>1379</v>
      </c>
      <c r="C45" s="957">
        <v>1963</v>
      </c>
      <c r="D45" s="957">
        <v>2020</v>
      </c>
      <c r="E45" s="956" t="s">
        <v>218</v>
      </c>
      <c r="F45" s="957">
        <v>3</v>
      </c>
      <c r="G45" s="957">
        <v>3</v>
      </c>
      <c r="H45" s="968">
        <v>2178</v>
      </c>
      <c r="I45" s="968">
        <v>1517.9</v>
      </c>
      <c r="J45" s="968">
        <v>1331.5</v>
      </c>
      <c r="K45" s="959">
        <v>49</v>
      </c>
      <c r="L45" s="971">
        <v>1588224.31</v>
      </c>
      <c r="M45" s="968">
        <v>0</v>
      </c>
      <c r="N45" s="968">
        <v>0</v>
      </c>
      <c r="O45" s="968">
        <v>1588224.31</v>
      </c>
      <c r="P45" s="968">
        <v>0</v>
      </c>
      <c r="Q45" s="968">
        <v>0</v>
      </c>
      <c r="R45" s="964">
        <v>2023</v>
      </c>
      <c r="S45" s="964">
        <v>2023</v>
      </c>
      <c r="U45" s="967"/>
      <c r="X45" s="967"/>
    </row>
    <row r="46" spans="1:24" s="966" customFormat="1" ht="36" customHeight="1">
      <c r="A46" s="1163" t="s">
        <v>1053</v>
      </c>
      <c r="B46" s="1164"/>
      <c r="C46" s="1164"/>
      <c r="D46" s="1164"/>
      <c r="E46" s="1164"/>
      <c r="F46" s="1164"/>
      <c r="G46" s="1165"/>
      <c r="H46" s="968">
        <f>H47</f>
        <v>1094.8</v>
      </c>
      <c r="I46" s="968">
        <f t="shared" ref="I46:Q46" si="7">I47</f>
        <v>1009.8</v>
      </c>
      <c r="J46" s="968">
        <f t="shared" si="7"/>
        <v>281.5</v>
      </c>
      <c r="K46" s="958">
        <f t="shared" si="7"/>
        <v>41</v>
      </c>
      <c r="L46" s="971">
        <f t="shared" si="7"/>
        <v>10749726.210000001</v>
      </c>
      <c r="M46" s="968">
        <f t="shared" si="7"/>
        <v>0</v>
      </c>
      <c r="N46" s="968">
        <f t="shared" si="7"/>
        <v>0</v>
      </c>
      <c r="O46" s="968">
        <f t="shared" si="7"/>
        <v>10749726.210000001</v>
      </c>
      <c r="P46" s="968">
        <f t="shared" si="7"/>
        <v>0</v>
      </c>
      <c r="Q46" s="968">
        <f t="shared" si="7"/>
        <v>0</v>
      </c>
      <c r="R46" s="968" t="s">
        <v>40</v>
      </c>
      <c r="S46" s="968" t="s">
        <v>40</v>
      </c>
      <c r="U46" s="967"/>
      <c r="X46" s="967"/>
    </row>
    <row r="47" spans="1:24" s="981" customFormat="1" ht="39.6" customHeight="1">
      <c r="A47" s="957">
        <v>25</v>
      </c>
      <c r="B47" s="972" t="s">
        <v>1429</v>
      </c>
      <c r="C47" s="957">
        <v>1956</v>
      </c>
      <c r="D47" s="957">
        <v>2006</v>
      </c>
      <c r="E47" s="956" t="s">
        <v>218</v>
      </c>
      <c r="F47" s="957">
        <v>2</v>
      </c>
      <c r="G47" s="957">
        <v>3</v>
      </c>
      <c r="H47" s="968">
        <v>1094.8</v>
      </c>
      <c r="I47" s="968">
        <v>1009.8</v>
      </c>
      <c r="J47" s="968">
        <v>281.5</v>
      </c>
      <c r="K47" s="959">
        <v>41</v>
      </c>
      <c r="L47" s="971">
        <v>10749726.210000001</v>
      </c>
      <c r="M47" s="968">
        <v>0</v>
      </c>
      <c r="N47" s="968">
        <v>0</v>
      </c>
      <c r="O47" s="968">
        <v>10749726.210000001</v>
      </c>
      <c r="P47" s="968">
        <v>0</v>
      </c>
      <c r="Q47" s="968">
        <v>0</v>
      </c>
      <c r="R47" s="956">
        <v>2023</v>
      </c>
      <c r="S47" s="956">
        <v>2023</v>
      </c>
      <c r="U47" s="967"/>
      <c r="X47" s="967"/>
    </row>
    <row r="48" spans="1:24" s="982" customFormat="1" ht="39.6" customHeight="1">
      <c r="A48" s="1172" t="s">
        <v>1973</v>
      </c>
      <c r="B48" s="1173"/>
      <c r="C48" s="1173"/>
      <c r="D48" s="1173"/>
      <c r="E48" s="1173"/>
      <c r="F48" s="1173"/>
      <c r="G48" s="1174"/>
      <c r="H48" s="968">
        <f>SUM(H49:H52)</f>
        <v>7455.0999999999995</v>
      </c>
      <c r="I48" s="968">
        <f t="shared" ref="I48:Q48" si="8">SUM(I49:I52)</f>
        <v>7117.4599999999991</v>
      </c>
      <c r="J48" s="968">
        <f t="shared" si="8"/>
        <v>7117.4599999999991</v>
      </c>
      <c r="K48" s="958">
        <f t="shared" si="8"/>
        <v>221</v>
      </c>
      <c r="L48" s="971">
        <f t="shared" si="8"/>
        <v>18584587.420000002</v>
      </c>
      <c r="M48" s="968">
        <f t="shared" si="8"/>
        <v>0</v>
      </c>
      <c r="N48" s="968">
        <f t="shared" si="8"/>
        <v>0</v>
      </c>
      <c r="O48" s="968">
        <f t="shared" si="8"/>
        <v>18584587.420000002</v>
      </c>
      <c r="P48" s="968">
        <f t="shared" si="8"/>
        <v>0</v>
      </c>
      <c r="Q48" s="968">
        <f t="shared" si="8"/>
        <v>0</v>
      </c>
      <c r="R48" s="968" t="s">
        <v>40</v>
      </c>
      <c r="S48" s="968" t="s">
        <v>40</v>
      </c>
      <c r="U48" s="967"/>
      <c r="X48" s="967"/>
    </row>
    <row r="49" spans="1:24" s="982" customFormat="1" ht="40.9" customHeight="1">
      <c r="A49" s="956">
        <v>26</v>
      </c>
      <c r="B49" s="976" t="s">
        <v>831</v>
      </c>
      <c r="C49" s="956">
        <v>1976</v>
      </c>
      <c r="D49" s="956"/>
      <c r="E49" s="956" t="s">
        <v>219</v>
      </c>
      <c r="F49" s="956">
        <v>5</v>
      </c>
      <c r="G49" s="956">
        <v>6</v>
      </c>
      <c r="H49" s="963">
        <v>4472.3999999999996</v>
      </c>
      <c r="I49" s="963">
        <v>4472.3999999999996</v>
      </c>
      <c r="J49" s="963">
        <v>4472.3999999999996</v>
      </c>
      <c r="K49" s="964">
        <v>129</v>
      </c>
      <c r="L49" s="965">
        <v>9872879.9900000002</v>
      </c>
      <c r="M49" s="963">
        <v>0</v>
      </c>
      <c r="N49" s="963">
        <v>0</v>
      </c>
      <c r="O49" s="963">
        <v>9872879.9900000002</v>
      </c>
      <c r="P49" s="963">
        <v>0</v>
      </c>
      <c r="Q49" s="963">
        <v>0</v>
      </c>
      <c r="R49" s="956">
        <v>2023</v>
      </c>
      <c r="S49" s="956">
        <v>2023</v>
      </c>
      <c r="U49" s="967"/>
      <c r="X49" s="967"/>
    </row>
    <row r="50" spans="1:24" s="982" customFormat="1" ht="43.15" customHeight="1">
      <c r="A50" s="956">
        <v>27</v>
      </c>
      <c r="B50" s="976" t="s">
        <v>1347</v>
      </c>
      <c r="C50" s="956">
        <v>1948</v>
      </c>
      <c r="D50" s="956"/>
      <c r="E50" s="956" t="s">
        <v>220</v>
      </c>
      <c r="F50" s="956">
        <v>2</v>
      </c>
      <c r="G50" s="956">
        <v>2</v>
      </c>
      <c r="H50" s="963">
        <v>722.5</v>
      </c>
      <c r="I50" s="963">
        <v>722.5</v>
      </c>
      <c r="J50" s="963">
        <v>722.5</v>
      </c>
      <c r="K50" s="964">
        <v>30</v>
      </c>
      <c r="L50" s="965">
        <v>755973.43</v>
      </c>
      <c r="M50" s="963">
        <v>0</v>
      </c>
      <c r="N50" s="963">
        <v>0</v>
      </c>
      <c r="O50" s="963">
        <v>755973.43</v>
      </c>
      <c r="P50" s="963">
        <v>0</v>
      </c>
      <c r="Q50" s="963">
        <v>0</v>
      </c>
      <c r="R50" s="956">
        <v>2023</v>
      </c>
      <c r="S50" s="956">
        <v>2023</v>
      </c>
      <c r="U50" s="967"/>
      <c r="X50" s="967"/>
    </row>
    <row r="51" spans="1:24" s="982" customFormat="1" ht="43.15" customHeight="1">
      <c r="A51" s="956">
        <v>28</v>
      </c>
      <c r="B51" s="976" t="s">
        <v>1348</v>
      </c>
      <c r="C51" s="956">
        <v>1964</v>
      </c>
      <c r="D51" s="956"/>
      <c r="E51" s="956" t="s">
        <v>218</v>
      </c>
      <c r="F51" s="956">
        <v>4</v>
      </c>
      <c r="G51" s="956">
        <v>2</v>
      </c>
      <c r="H51" s="963">
        <v>1615.3</v>
      </c>
      <c r="I51" s="963">
        <v>1277.6600000000001</v>
      </c>
      <c r="J51" s="963">
        <v>1277.6600000000001</v>
      </c>
      <c r="K51" s="964">
        <v>30</v>
      </c>
      <c r="L51" s="965">
        <v>2143188.02</v>
      </c>
      <c r="M51" s="963">
        <v>0</v>
      </c>
      <c r="N51" s="963">
        <v>0</v>
      </c>
      <c r="O51" s="963">
        <v>2143188.02</v>
      </c>
      <c r="P51" s="963">
        <v>0</v>
      </c>
      <c r="Q51" s="963">
        <v>0</v>
      </c>
      <c r="R51" s="956">
        <v>2023</v>
      </c>
      <c r="S51" s="956">
        <v>2023</v>
      </c>
      <c r="U51" s="967"/>
      <c r="X51" s="967"/>
    </row>
    <row r="52" spans="1:24" s="982" customFormat="1" ht="39.6" customHeight="1">
      <c r="A52" s="956">
        <v>29</v>
      </c>
      <c r="B52" s="976" t="s">
        <v>1349</v>
      </c>
      <c r="C52" s="956">
        <v>1960</v>
      </c>
      <c r="D52" s="956"/>
      <c r="E52" s="956" t="s">
        <v>218</v>
      </c>
      <c r="F52" s="956">
        <v>2</v>
      </c>
      <c r="G52" s="956">
        <v>2</v>
      </c>
      <c r="H52" s="963">
        <v>644.9</v>
      </c>
      <c r="I52" s="963">
        <v>644.9</v>
      </c>
      <c r="J52" s="963">
        <v>644.9</v>
      </c>
      <c r="K52" s="964">
        <v>32</v>
      </c>
      <c r="L52" s="965">
        <v>5812545.9800000004</v>
      </c>
      <c r="M52" s="963">
        <v>0</v>
      </c>
      <c r="N52" s="963">
        <v>0</v>
      </c>
      <c r="O52" s="963">
        <v>5812545.9800000004</v>
      </c>
      <c r="P52" s="963">
        <v>0</v>
      </c>
      <c r="Q52" s="963">
        <v>0</v>
      </c>
      <c r="R52" s="956">
        <v>2023</v>
      </c>
      <c r="S52" s="956">
        <v>2023</v>
      </c>
      <c r="U52" s="967"/>
      <c r="X52" s="967"/>
    </row>
    <row r="53" spans="1:24" s="982" customFormat="1" ht="42" customHeight="1">
      <c r="A53" s="1172" t="s">
        <v>1174</v>
      </c>
      <c r="B53" s="1173"/>
      <c r="C53" s="1173"/>
      <c r="D53" s="1173"/>
      <c r="E53" s="1173"/>
      <c r="F53" s="1173"/>
      <c r="G53" s="1174"/>
      <c r="H53" s="968">
        <f>SUM(H54:H55)</f>
        <v>1581.5</v>
      </c>
      <c r="I53" s="968">
        <f t="shared" ref="I53:O53" si="9">SUM(I54:I55)</f>
        <v>928.2</v>
      </c>
      <c r="J53" s="968">
        <f t="shared" si="9"/>
        <v>928.2</v>
      </c>
      <c r="K53" s="958">
        <f t="shared" si="9"/>
        <v>34</v>
      </c>
      <c r="L53" s="971">
        <f t="shared" si="9"/>
        <v>971203.51</v>
      </c>
      <c r="M53" s="968">
        <f t="shared" si="9"/>
        <v>0</v>
      </c>
      <c r="N53" s="968">
        <f t="shared" si="9"/>
        <v>0</v>
      </c>
      <c r="O53" s="968">
        <f t="shared" si="9"/>
        <v>971203.51</v>
      </c>
      <c r="P53" s="968">
        <f t="shared" ref="P53:Q53" si="10">P54+P55</f>
        <v>0</v>
      </c>
      <c r="Q53" s="968">
        <f t="shared" si="10"/>
        <v>0</v>
      </c>
      <c r="R53" s="968" t="s">
        <v>40</v>
      </c>
      <c r="S53" s="968" t="s">
        <v>40</v>
      </c>
      <c r="U53" s="967"/>
      <c r="X53" s="967"/>
    </row>
    <row r="54" spans="1:24" s="966" customFormat="1" ht="42" customHeight="1">
      <c r="A54" s="956">
        <v>30</v>
      </c>
      <c r="B54" s="983" t="s">
        <v>1297</v>
      </c>
      <c r="C54" s="959">
        <v>1987</v>
      </c>
      <c r="D54" s="973"/>
      <c r="E54" s="956" t="s">
        <v>218</v>
      </c>
      <c r="F54" s="959">
        <v>2</v>
      </c>
      <c r="G54" s="959">
        <v>3</v>
      </c>
      <c r="H54" s="968">
        <v>851</v>
      </c>
      <c r="I54" s="968">
        <v>480.7</v>
      </c>
      <c r="J54" s="968">
        <v>480.7</v>
      </c>
      <c r="K54" s="959">
        <v>18</v>
      </c>
      <c r="L54" s="971">
        <v>502970.83</v>
      </c>
      <c r="M54" s="968">
        <v>0</v>
      </c>
      <c r="N54" s="968">
        <v>0</v>
      </c>
      <c r="O54" s="968">
        <v>502970.83</v>
      </c>
      <c r="P54" s="968">
        <v>0</v>
      </c>
      <c r="Q54" s="968">
        <v>0</v>
      </c>
      <c r="R54" s="957">
        <v>2023</v>
      </c>
      <c r="S54" s="957">
        <v>2023</v>
      </c>
      <c r="U54" s="967"/>
      <c r="X54" s="967"/>
    </row>
    <row r="55" spans="1:24" s="966" customFormat="1" ht="42" customHeight="1">
      <c r="A55" s="956">
        <v>31</v>
      </c>
      <c r="B55" s="983" t="s">
        <v>1298</v>
      </c>
      <c r="C55" s="959">
        <v>1978</v>
      </c>
      <c r="D55" s="973"/>
      <c r="E55" s="956" t="s">
        <v>218</v>
      </c>
      <c r="F55" s="959">
        <v>2</v>
      </c>
      <c r="G55" s="959">
        <v>2</v>
      </c>
      <c r="H55" s="968">
        <v>730.5</v>
      </c>
      <c r="I55" s="968">
        <v>447.5</v>
      </c>
      <c r="J55" s="968">
        <v>447.5</v>
      </c>
      <c r="K55" s="959">
        <v>16</v>
      </c>
      <c r="L55" s="971">
        <v>468232.68</v>
      </c>
      <c r="M55" s="968">
        <v>0</v>
      </c>
      <c r="N55" s="968">
        <v>0</v>
      </c>
      <c r="O55" s="968">
        <v>468232.68</v>
      </c>
      <c r="P55" s="968">
        <v>0</v>
      </c>
      <c r="Q55" s="968">
        <v>0</v>
      </c>
      <c r="R55" s="957">
        <v>2023</v>
      </c>
      <c r="S55" s="957">
        <v>2023</v>
      </c>
      <c r="U55" s="967"/>
      <c r="X55" s="967"/>
    </row>
    <row r="56" spans="1:24" s="966" customFormat="1" ht="42" customHeight="1">
      <c r="A56" s="1163" t="s">
        <v>1978</v>
      </c>
      <c r="B56" s="1164"/>
      <c r="C56" s="1164"/>
      <c r="D56" s="1164"/>
      <c r="E56" s="1164"/>
      <c r="F56" s="1164"/>
      <c r="G56" s="1165"/>
      <c r="H56" s="968">
        <f>SUM(H57:H60)</f>
        <v>2672.5999999999995</v>
      </c>
      <c r="I56" s="968">
        <f t="shared" ref="I56:O56" si="11">SUM(I57:I60)</f>
        <v>2555.62</v>
      </c>
      <c r="J56" s="968">
        <f t="shared" si="11"/>
        <v>2383.3000000000002</v>
      </c>
      <c r="K56" s="958">
        <f t="shared" si="11"/>
        <v>101</v>
      </c>
      <c r="L56" s="971">
        <f t="shared" si="11"/>
        <v>11608914.780000001</v>
      </c>
      <c r="M56" s="968">
        <f t="shared" si="11"/>
        <v>0</v>
      </c>
      <c r="N56" s="968">
        <f t="shared" si="11"/>
        <v>0</v>
      </c>
      <c r="O56" s="968">
        <f t="shared" si="11"/>
        <v>11608914.780000001</v>
      </c>
      <c r="P56" s="968">
        <f>SUM(P57:P60)</f>
        <v>0</v>
      </c>
      <c r="Q56" s="968">
        <f t="shared" ref="Q56" si="12">SUM(Q57:Q60)</f>
        <v>0</v>
      </c>
      <c r="R56" s="968" t="s">
        <v>40</v>
      </c>
      <c r="S56" s="968" t="s">
        <v>40</v>
      </c>
      <c r="U56" s="967"/>
      <c r="X56" s="967"/>
    </row>
    <row r="57" spans="1:24" s="966" customFormat="1" ht="38.25" customHeight="1">
      <c r="A57" s="957">
        <v>32</v>
      </c>
      <c r="B57" s="984" t="s">
        <v>1495</v>
      </c>
      <c r="C57" s="957">
        <v>1881</v>
      </c>
      <c r="D57" s="956"/>
      <c r="E57" s="956" t="s">
        <v>221</v>
      </c>
      <c r="F57" s="957">
        <v>2</v>
      </c>
      <c r="G57" s="957">
        <v>2</v>
      </c>
      <c r="H57" s="985">
        <v>516.20000000000005</v>
      </c>
      <c r="I57" s="985">
        <v>516.20000000000005</v>
      </c>
      <c r="J57" s="985">
        <v>515.5</v>
      </c>
      <c r="K57" s="959">
        <v>24</v>
      </c>
      <c r="L57" s="971">
        <v>964248.39</v>
      </c>
      <c r="M57" s="968">
        <v>0</v>
      </c>
      <c r="N57" s="968">
        <v>0</v>
      </c>
      <c r="O57" s="968">
        <f>L57</f>
        <v>964248.39</v>
      </c>
      <c r="P57" s="968">
        <v>0</v>
      </c>
      <c r="Q57" s="968">
        <v>0</v>
      </c>
      <c r="R57" s="956">
        <v>2023</v>
      </c>
      <c r="S57" s="956">
        <v>2023</v>
      </c>
      <c r="U57" s="967"/>
      <c r="X57" s="967"/>
    </row>
    <row r="58" spans="1:24" s="966" customFormat="1" ht="38.450000000000003" customHeight="1">
      <c r="A58" s="957">
        <v>33</v>
      </c>
      <c r="B58" s="984" t="s">
        <v>1496</v>
      </c>
      <c r="C58" s="957">
        <v>1956</v>
      </c>
      <c r="D58" s="956"/>
      <c r="E58" s="956" t="s">
        <v>218</v>
      </c>
      <c r="F58" s="957">
        <v>2</v>
      </c>
      <c r="G58" s="957">
        <v>2</v>
      </c>
      <c r="H58" s="985">
        <v>833.9</v>
      </c>
      <c r="I58" s="985">
        <v>785.9</v>
      </c>
      <c r="J58" s="985">
        <v>675</v>
      </c>
      <c r="K58" s="959">
        <v>32</v>
      </c>
      <c r="L58" s="971">
        <v>2878482.59</v>
      </c>
      <c r="M58" s="968">
        <v>0</v>
      </c>
      <c r="N58" s="968">
        <v>0</v>
      </c>
      <c r="O58" s="968">
        <f>L58</f>
        <v>2878482.59</v>
      </c>
      <c r="P58" s="968">
        <v>0</v>
      </c>
      <c r="Q58" s="968">
        <v>0</v>
      </c>
      <c r="R58" s="956">
        <v>2023</v>
      </c>
      <c r="S58" s="956">
        <v>2023</v>
      </c>
      <c r="U58" s="967"/>
      <c r="X58" s="967"/>
    </row>
    <row r="59" spans="1:24" s="966" customFormat="1" ht="37.9" customHeight="1">
      <c r="A59" s="957">
        <v>34</v>
      </c>
      <c r="B59" s="984" t="s">
        <v>1497</v>
      </c>
      <c r="C59" s="957">
        <v>1956</v>
      </c>
      <c r="D59" s="956"/>
      <c r="E59" s="956" t="s">
        <v>218</v>
      </c>
      <c r="F59" s="957">
        <v>2</v>
      </c>
      <c r="G59" s="957">
        <v>3</v>
      </c>
      <c r="H59" s="985">
        <v>939.8</v>
      </c>
      <c r="I59" s="985">
        <v>870.82</v>
      </c>
      <c r="J59" s="985">
        <v>870.8</v>
      </c>
      <c r="K59" s="959">
        <v>28</v>
      </c>
      <c r="L59" s="971">
        <v>4282323.43</v>
      </c>
      <c r="M59" s="968">
        <v>0</v>
      </c>
      <c r="N59" s="968">
        <v>0</v>
      </c>
      <c r="O59" s="968">
        <f>L59</f>
        <v>4282323.43</v>
      </c>
      <c r="P59" s="968">
        <v>0</v>
      </c>
      <c r="Q59" s="968">
        <v>0</v>
      </c>
      <c r="R59" s="956">
        <v>2023</v>
      </c>
      <c r="S59" s="956">
        <v>2023</v>
      </c>
      <c r="U59" s="967"/>
      <c r="X59" s="967"/>
    </row>
    <row r="60" spans="1:24" s="966" customFormat="1" ht="42" customHeight="1">
      <c r="A60" s="957">
        <v>35</v>
      </c>
      <c r="B60" s="984" t="s">
        <v>1498</v>
      </c>
      <c r="C60" s="957">
        <v>1971</v>
      </c>
      <c r="D60" s="956"/>
      <c r="E60" s="956" t="s">
        <v>218</v>
      </c>
      <c r="F60" s="957">
        <v>2</v>
      </c>
      <c r="G60" s="957">
        <v>1</v>
      </c>
      <c r="H60" s="985">
        <v>382.7</v>
      </c>
      <c r="I60" s="985">
        <v>382.7</v>
      </c>
      <c r="J60" s="985">
        <v>322</v>
      </c>
      <c r="K60" s="959">
        <v>17</v>
      </c>
      <c r="L60" s="971">
        <v>3483860.37</v>
      </c>
      <c r="M60" s="968">
        <v>0</v>
      </c>
      <c r="N60" s="968">
        <v>0</v>
      </c>
      <c r="O60" s="968">
        <f>L60</f>
        <v>3483860.37</v>
      </c>
      <c r="P60" s="968">
        <v>0</v>
      </c>
      <c r="Q60" s="968">
        <v>0</v>
      </c>
      <c r="R60" s="956">
        <v>2023</v>
      </c>
      <c r="S60" s="956">
        <v>2023</v>
      </c>
      <c r="U60" s="967"/>
      <c r="X60" s="967"/>
    </row>
    <row r="61" spans="1:24" s="966" customFormat="1" ht="42" customHeight="1">
      <c r="A61" s="1163" t="s">
        <v>1052</v>
      </c>
      <c r="B61" s="1164"/>
      <c r="C61" s="1164"/>
      <c r="D61" s="1164"/>
      <c r="E61" s="1164"/>
      <c r="F61" s="1164"/>
      <c r="G61" s="1165"/>
      <c r="H61" s="968">
        <f>SUM(H62:H64)</f>
        <v>2514.6</v>
      </c>
      <c r="I61" s="968">
        <f t="shared" ref="I61:Q61" si="13">SUM(I62:I64)</f>
        <v>2514.6</v>
      </c>
      <c r="J61" s="968">
        <f t="shared" si="13"/>
        <v>2299.6</v>
      </c>
      <c r="K61" s="958">
        <f t="shared" si="13"/>
        <v>53</v>
      </c>
      <c r="L61" s="971">
        <f t="shared" si="13"/>
        <v>11472835.029999999</v>
      </c>
      <c r="M61" s="968">
        <f t="shared" si="13"/>
        <v>0</v>
      </c>
      <c r="N61" s="968">
        <f t="shared" si="13"/>
        <v>0</v>
      </c>
      <c r="O61" s="968">
        <f t="shared" si="13"/>
        <v>11472835.029999999</v>
      </c>
      <c r="P61" s="968">
        <f t="shared" si="13"/>
        <v>0</v>
      </c>
      <c r="Q61" s="968">
        <f t="shared" si="13"/>
        <v>0</v>
      </c>
      <c r="R61" s="968" t="s">
        <v>40</v>
      </c>
      <c r="S61" s="968" t="s">
        <v>40</v>
      </c>
      <c r="U61" s="967"/>
      <c r="X61" s="967"/>
    </row>
    <row r="62" spans="1:24" s="966" customFormat="1" ht="42.6" customHeight="1">
      <c r="A62" s="956">
        <v>36</v>
      </c>
      <c r="B62" s="976" t="s">
        <v>1482</v>
      </c>
      <c r="C62" s="957">
        <v>1985</v>
      </c>
      <c r="D62" s="957"/>
      <c r="E62" s="956" t="s">
        <v>220</v>
      </c>
      <c r="F62" s="957">
        <v>3</v>
      </c>
      <c r="G62" s="957">
        <v>3</v>
      </c>
      <c r="H62" s="968">
        <v>1425</v>
      </c>
      <c r="I62" s="968">
        <v>1425</v>
      </c>
      <c r="J62" s="968">
        <v>1307</v>
      </c>
      <c r="K62" s="959">
        <v>27</v>
      </c>
      <c r="L62" s="971">
        <v>4842739.8099999996</v>
      </c>
      <c r="M62" s="968">
        <v>0</v>
      </c>
      <c r="N62" s="968">
        <v>0</v>
      </c>
      <c r="O62" s="968">
        <v>4842739.8099999996</v>
      </c>
      <c r="P62" s="968">
        <v>0</v>
      </c>
      <c r="Q62" s="968">
        <v>0</v>
      </c>
      <c r="R62" s="956">
        <v>2023</v>
      </c>
      <c r="S62" s="956">
        <v>2023</v>
      </c>
      <c r="U62" s="967"/>
      <c r="X62" s="967"/>
    </row>
    <row r="63" spans="1:24" s="966" customFormat="1" ht="42.6" customHeight="1">
      <c r="A63" s="956">
        <v>37</v>
      </c>
      <c r="B63" s="976" t="s">
        <v>1858</v>
      </c>
      <c r="C63" s="957">
        <v>1970</v>
      </c>
      <c r="D63" s="957"/>
      <c r="E63" s="956" t="s">
        <v>218</v>
      </c>
      <c r="F63" s="957">
        <v>2</v>
      </c>
      <c r="G63" s="957">
        <v>2</v>
      </c>
      <c r="H63" s="968">
        <v>521.6</v>
      </c>
      <c r="I63" s="968">
        <v>521.6</v>
      </c>
      <c r="J63" s="968">
        <v>473.6</v>
      </c>
      <c r="K63" s="959">
        <v>12</v>
      </c>
      <c r="L63" s="971">
        <v>3318040.65</v>
      </c>
      <c r="M63" s="968">
        <v>0</v>
      </c>
      <c r="N63" s="968">
        <v>0</v>
      </c>
      <c r="O63" s="968">
        <v>3318040.65</v>
      </c>
      <c r="P63" s="968">
        <v>0</v>
      </c>
      <c r="Q63" s="968">
        <v>0</v>
      </c>
      <c r="R63" s="956">
        <v>2023</v>
      </c>
      <c r="S63" s="956">
        <v>2023</v>
      </c>
      <c r="U63" s="967"/>
      <c r="X63" s="967"/>
    </row>
    <row r="64" spans="1:24" s="966" customFormat="1" ht="36" customHeight="1">
      <c r="A64" s="956">
        <v>38</v>
      </c>
      <c r="B64" s="976" t="s">
        <v>1111</v>
      </c>
      <c r="C64" s="957">
        <v>1967</v>
      </c>
      <c r="D64" s="957"/>
      <c r="E64" s="956" t="s">
        <v>218</v>
      </c>
      <c r="F64" s="957">
        <v>2</v>
      </c>
      <c r="G64" s="957">
        <v>2</v>
      </c>
      <c r="H64" s="968">
        <v>568</v>
      </c>
      <c r="I64" s="968">
        <v>568</v>
      </c>
      <c r="J64" s="968">
        <v>519</v>
      </c>
      <c r="K64" s="959">
        <v>14</v>
      </c>
      <c r="L64" s="971">
        <v>3312054.57</v>
      </c>
      <c r="M64" s="968">
        <v>0</v>
      </c>
      <c r="N64" s="968">
        <v>0</v>
      </c>
      <c r="O64" s="968">
        <v>3312054.57</v>
      </c>
      <c r="P64" s="968">
        <v>0</v>
      </c>
      <c r="Q64" s="968">
        <v>0</v>
      </c>
      <c r="R64" s="956">
        <v>2023</v>
      </c>
      <c r="S64" s="956">
        <v>2023</v>
      </c>
      <c r="U64" s="967"/>
      <c r="X64" s="967"/>
    </row>
    <row r="65" spans="1:24" s="966" customFormat="1" ht="36" customHeight="1">
      <c r="A65" s="1163" t="s">
        <v>1056</v>
      </c>
      <c r="B65" s="1164"/>
      <c r="C65" s="1164"/>
      <c r="D65" s="1164"/>
      <c r="E65" s="1164"/>
      <c r="F65" s="1164"/>
      <c r="G65" s="1165"/>
      <c r="H65" s="968">
        <f>H66</f>
        <v>1530.1</v>
      </c>
      <c r="I65" s="968">
        <f t="shared" ref="I65:Q65" si="14">I66</f>
        <v>1017.9</v>
      </c>
      <c r="J65" s="968">
        <f t="shared" si="14"/>
        <v>1017.9</v>
      </c>
      <c r="K65" s="958">
        <f t="shared" si="14"/>
        <v>38</v>
      </c>
      <c r="L65" s="971">
        <f t="shared" si="14"/>
        <v>5780772.2699999996</v>
      </c>
      <c r="M65" s="968">
        <f t="shared" si="14"/>
        <v>0</v>
      </c>
      <c r="N65" s="968">
        <f t="shared" si="14"/>
        <v>0</v>
      </c>
      <c r="O65" s="968">
        <f t="shared" si="14"/>
        <v>5780772.2699999996</v>
      </c>
      <c r="P65" s="968">
        <f t="shared" si="14"/>
        <v>0</v>
      </c>
      <c r="Q65" s="968">
        <f t="shared" si="14"/>
        <v>0</v>
      </c>
      <c r="R65" s="968" t="s">
        <v>40</v>
      </c>
      <c r="S65" s="968" t="s">
        <v>40</v>
      </c>
      <c r="U65" s="967"/>
      <c r="X65" s="967"/>
    </row>
    <row r="66" spans="1:24" s="966" customFormat="1" ht="46.15" customHeight="1">
      <c r="A66" s="956">
        <v>39</v>
      </c>
      <c r="B66" s="976" t="s">
        <v>1489</v>
      </c>
      <c r="C66" s="957">
        <v>1976</v>
      </c>
      <c r="D66" s="957"/>
      <c r="E66" s="956" t="s">
        <v>218</v>
      </c>
      <c r="F66" s="957">
        <v>3</v>
      </c>
      <c r="G66" s="957">
        <v>3</v>
      </c>
      <c r="H66" s="968">
        <v>1530.1</v>
      </c>
      <c r="I66" s="968">
        <v>1017.9</v>
      </c>
      <c r="J66" s="968">
        <v>1017.9</v>
      </c>
      <c r="K66" s="959">
        <v>38</v>
      </c>
      <c r="L66" s="971">
        <v>5780772.2699999996</v>
      </c>
      <c r="M66" s="968">
        <v>0</v>
      </c>
      <c r="N66" s="968">
        <v>0</v>
      </c>
      <c r="O66" s="968">
        <v>5780772.2699999996</v>
      </c>
      <c r="P66" s="968">
        <v>0</v>
      </c>
      <c r="Q66" s="968">
        <v>0</v>
      </c>
      <c r="R66" s="956">
        <v>2023</v>
      </c>
      <c r="S66" s="956">
        <v>2023</v>
      </c>
      <c r="U66" s="967"/>
      <c r="X66" s="967"/>
    </row>
    <row r="67" spans="1:24" s="966" customFormat="1" ht="42" customHeight="1">
      <c r="A67" s="1172" t="s">
        <v>1175</v>
      </c>
      <c r="B67" s="1173"/>
      <c r="C67" s="1173"/>
      <c r="D67" s="1173"/>
      <c r="E67" s="1173"/>
      <c r="F67" s="1173"/>
      <c r="G67" s="1174"/>
      <c r="H67" s="968">
        <f>H68</f>
        <v>370.2</v>
      </c>
      <c r="I67" s="968">
        <f t="shared" ref="I67:Q67" si="15">I68</f>
        <v>370.2</v>
      </c>
      <c r="J67" s="968">
        <f t="shared" si="15"/>
        <v>336.6</v>
      </c>
      <c r="K67" s="958">
        <f t="shared" si="15"/>
        <v>21</v>
      </c>
      <c r="L67" s="971">
        <f t="shared" si="15"/>
        <v>2387361.16</v>
      </c>
      <c r="M67" s="968">
        <f t="shared" si="15"/>
        <v>0</v>
      </c>
      <c r="N67" s="968">
        <f t="shared" si="15"/>
        <v>261223.35</v>
      </c>
      <c r="O67" s="968">
        <f t="shared" si="15"/>
        <v>2126137.81</v>
      </c>
      <c r="P67" s="968">
        <f t="shared" si="15"/>
        <v>0</v>
      </c>
      <c r="Q67" s="968">
        <f t="shared" si="15"/>
        <v>0</v>
      </c>
      <c r="R67" s="968" t="s">
        <v>40</v>
      </c>
      <c r="S67" s="968" t="s">
        <v>40</v>
      </c>
      <c r="U67" s="967"/>
      <c r="X67" s="967"/>
    </row>
    <row r="68" spans="1:24" s="966" customFormat="1" ht="42" customHeight="1">
      <c r="A68" s="956">
        <v>40</v>
      </c>
      <c r="B68" s="976" t="s">
        <v>1454</v>
      </c>
      <c r="C68" s="957">
        <v>1973</v>
      </c>
      <c r="D68" s="957"/>
      <c r="E68" s="956" t="s">
        <v>218</v>
      </c>
      <c r="F68" s="957">
        <v>2</v>
      </c>
      <c r="G68" s="957">
        <v>1</v>
      </c>
      <c r="H68" s="968">
        <v>370.2</v>
      </c>
      <c r="I68" s="968">
        <v>370.2</v>
      </c>
      <c r="J68" s="968">
        <v>336.6</v>
      </c>
      <c r="K68" s="959">
        <v>21</v>
      </c>
      <c r="L68" s="971">
        <v>2387361.16</v>
      </c>
      <c r="M68" s="968">
        <v>0</v>
      </c>
      <c r="N68" s="968">
        <v>261223.35</v>
      </c>
      <c r="O68" s="968">
        <v>2126137.81</v>
      </c>
      <c r="P68" s="968">
        <v>0</v>
      </c>
      <c r="Q68" s="968">
        <v>0</v>
      </c>
      <c r="R68" s="956">
        <v>2023</v>
      </c>
      <c r="S68" s="956">
        <v>2023</v>
      </c>
      <c r="U68" s="967"/>
      <c r="X68" s="967"/>
    </row>
    <row r="69" spans="1:24" s="966" customFormat="1" ht="36" customHeight="1">
      <c r="A69" s="1163" t="s">
        <v>1979</v>
      </c>
      <c r="B69" s="1164"/>
      <c r="C69" s="1164"/>
      <c r="D69" s="1164"/>
      <c r="E69" s="1164"/>
      <c r="F69" s="1164"/>
      <c r="G69" s="1165"/>
      <c r="H69" s="968">
        <f>SUM(H70:H78)</f>
        <v>14787.750000000002</v>
      </c>
      <c r="I69" s="968">
        <f t="shared" ref="I69:Q69" si="16">SUM(I70:I78)</f>
        <v>14551.85</v>
      </c>
      <c r="J69" s="968">
        <f t="shared" si="16"/>
        <v>10545.849999999999</v>
      </c>
      <c r="K69" s="958">
        <f t="shared" si="16"/>
        <v>643</v>
      </c>
      <c r="L69" s="971">
        <f t="shared" si="16"/>
        <v>36433673.289999999</v>
      </c>
      <c r="M69" s="968">
        <f t="shared" si="16"/>
        <v>0</v>
      </c>
      <c r="N69" s="968">
        <v>0</v>
      </c>
      <c r="O69" s="968">
        <f t="shared" si="16"/>
        <v>36433673.289999999</v>
      </c>
      <c r="P69" s="968">
        <f t="shared" si="16"/>
        <v>0</v>
      </c>
      <c r="Q69" s="968">
        <f t="shared" si="16"/>
        <v>0</v>
      </c>
      <c r="R69" s="968" t="s">
        <v>40</v>
      </c>
      <c r="S69" s="968" t="s">
        <v>40</v>
      </c>
      <c r="U69" s="967"/>
      <c r="X69" s="967"/>
    </row>
    <row r="70" spans="1:24" s="966" customFormat="1" ht="42.6" customHeight="1">
      <c r="A70" s="956">
        <v>41</v>
      </c>
      <c r="B70" s="984" t="s">
        <v>1980</v>
      </c>
      <c r="C70" s="957">
        <v>1982</v>
      </c>
      <c r="D70" s="957"/>
      <c r="E70" s="956" t="s">
        <v>218</v>
      </c>
      <c r="F70" s="957">
        <v>2</v>
      </c>
      <c r="G70" s="957">
        <v>3</v>
      </c>
      <c r="H70" s="968">
        <v>939.1</v>
      </c>
      <c r="I70" s="968">
        <v>939.1</v>
      </c>
      <c r="J70" s="968">
        <v>854.1</v>
      </c>
      <c r="K70" s="959">
        <v>42</v>
      </c>
      <c r="L70" s="971">
        <v>9443095.2100000009</v>
      </c>
      <c r="M70" s="968">
        <v>0</v>
      </c>
      <c r="N70" s="968">
        <v>0</v>
      </c>
      <c r="O70" s="971">
        <v>9443095.2100000009</v>
      </c>
      <c r="P70" s="968">
        <v>0</v>
      </c>
      <c r="Q70" s="968">
        <v>0</v>
      </c>
      <c r="R70" s="964">
        <v>2023</v>
      </c>
      <c r="S70" s="964">
        <v>2023</v>
      </c>
      <c r="U70" s="967"/>
      <c r="X70" s="967"/>
    </row>
    <row r="71" spans="1:24" s="966" customFormat="1" ht="42" customHeight="1">
      <c r="A71" s="956">
        <v>42</v>
      </c>
      <c r="B71" s="984" t="s">
        <v>1334</v>
      </c>
      <c r="C71" s="957">
        <v>1966</v>
      </c>
      <c r="D71" s="957"/>
      <c r="E71" s="956" t="s">
        <v>218</v>
      </c>
      <c r="F71" s="957">
        <v>2</v>
      </c>
      <c r="G71" s="957">
        <v>2</v>
      </c>
      <c r="H71" s="968">
        <v>545.20000000000005</v>
      </c>
      <c r="I71" s="968">
        <v>545.20000000000005</v>
      </c>
      <c r="J71" s="968">
        <v>422.9</v>
      </c>
      <c r="K71" s="959">
        <v>32</v>
      </c>
      <c r="L71" s="971">
        <v>2176135.11</v>
      </c>
      <c r="M71" s="968">
        <v>0</v>
      </c>
      <c r="N71" s="968">
        <v>0</v>
      </c>
      <c r="O71" s="971">
        <v>2176135.11</v>
      </c>
      <c r="P71" s="968">
        <v>0</v>
      </c>
      <c r="Q71" s="968">
        <v>0</v>
      </c>
      <c r="R71" s="964">
        <v>2023</v>
      </c>
      <c r="S71" s="964">
        <v>2023</v>
      </c>
      <c r="U71" s="967"/>
      <c r="X71" s="967"/>
    </row>
    <row r="72" spans="1:24" s="966" customFormat="1" ht="42" customHeight="1">
      <c r="A72" s="956">
        <v>43</v>
      </c>
      <c r="B72" s="984" t="s">
        <v>1335</v>
      </c>
      <c r="C72" s="957">
        <v>1966</v>
      </c>
      <c r="D72" s="957"/>
      <c r="E72" s="956" t="s">
        <v>219</v>
      </c>
      <c r="F72" s="957">
        <v>2</v>
      </c>
      <c r="G72" s="957">
        <v>2</v>
      </c>
      <c r="H72" s="968">
        <v>736.4</v>
      </c>
      <c r="I72" s="968">
        <v>736.4</v>
      </c>
      <c r="J72" s="968">
        <v>736.4</v>
      </c>
      <c r="K72" s="959">
        <v>33</v>
      </c>
      <c r="L72" s="971">
        <v>2852594.67</v>
      </c>
      <c r="M72" s="968">
        <v>0</v>
      </c>
      <c r="N72" s="968">
        <v>0</v>
      </c>
      <c r="O72" s="971">
        <v>2852594.67</v>
      </c>
      <c r="P72" s="968">
        <v>0</v>
      </c>
      <c r="Q72" s="968">
        <v>0</v>
      </c>
      <c r="R72" s="964">
        <v>2023</v>
      </c>
      <c r="S72" s="964">
        <v>2023</v>
      </c>
      <c r="U72" s="967"/>
      <c r="X72" s="967"/>
    </row>
    <row r="73" spans="1:24" s="966" customFormat="1" ht="42" customHeight="1">
      <c r="A73" s="956">
        <v>44</v>
      </c>
      <c r="B73" s="984" t="s">
        <v>2099</v>
      </c>
      <c r="C73" s="957">
        <v>1966</v>
      </c>
      <c r="D73" s="957"/>
      <c r="E73" s="956" t="s">
        <v>218</v>
      </c>
      <c r="F73" s="957">
        <v>2</v>
      </c>
      <c r="G73" s="957">
        <v>2</v>
      </c>
      <c r="H73" s="968">
        <v>358.7</v>
      </c>
      <c r="I73" s="968">
        <v>358.7</v>
      </c>
      <c r="J73" s="968">
        <v>320.5</v>
      </c>
      <c r="K73" s="959">
        <v>18</v>
      </c>
      <c r="L73" s="968">
        <v>175007.18</v>
      </c>
      <c r="M73" s="968">
        <v>0</v>
      </c>
      <c r="N73" s="968">
        <v>0</v>
      </c>
      <c r="O73" s="968">
        <v>175007.18</v>
      </c>
      <c r="P73" s="968">
        <v>0</v>
      </c>
      <c r="Q73" s="968">
        <v>0</v>
      </c>
      <c r="R73" s="964">
        <v>2023</v>
      </c>
      <c r="S73" s="964">
        <v>2023</v>
      </c>
      <c r="U73" s="967"/>
      <c r="X73" s="967"/>
    </row>
    <row r="74" spans="1:24" s="966" customFormat="1" ht="40.15" customHeight="1">
      <c r="A74" s="956">
        <v>45</v>
      </c>
      <c r="B74" s="986" t="s">
        <v>1579</v>
      </c>
      <c r="C74" s="957">
        <v>1988</v>
      </c>
      <c r="D74" s="957"/>
      <c r="E74" s="956" t="s">
        <v>219</v>
      </c>
      <c r="F74" s="957">
        <v>5</v>
      </c>
      <c r="G74" s="957">
        <v>4</v>
      </c>
      <c r="H74" s="968">
        <v>3259.55</v>
      </c>
      <c r="I74" s="968">
        <v>3023.65</v>
      </c>
      <c r="J74" s="968">
        <v>3023.65</v>
      </c>
      <c r="K74" s="959">
        <v>132</v>
      </c>
      <c r="L74" s="971">
        <v>4284863.0999999996</v>
      </c>
      <c r="M74" s="968">
        <v>0</v>
      </c>
      <c r="N74" s="968">
        <v>0</v>
      </c>
      <c r="O74" s="971">
        <v>4284863.0999999996</v>
      </c>
      <c r="P74" s="968">
        <v>0</v>
      </c>
      <c r="Q74" s="968">
        <v>0</v>
      </c>
      <c r="R74" s="964">
        <v>2023</v>
      </c>
      <c r="S74" s="964">
        <v>2023</v>
      </c>
      <c r="U74" s="967"/>
      <c r="X74" s="967"/>
    </row>
    <row r="75" spans="1:24" s="966" customFormat="1" ht="40.15" customHeight="1">
      <c r="A75" s="956">
        <v>46</v>
      </c>
      <c r="B75" s="984" t="s">
        <v>2100</v>
      </c>
      <c r="C75" s="957">
        <v>1974</v>
      </c>
      <c r="D75" s="957"/>
      <c r="E75" s="956" t="s">
        <v>218</v>
      </c>
      <c r="F75" s="957">
        <v>2</v>
      </c>
      <c r="G75" s="957">
        <v>2</v>
      </c>
      <c r="H75" s="968">
        <v>437.1</v>
      </c>
      <c r="I75" s="968">
        <v>437.1</v>
      </c>
      <c r="J75" s="968">
        <v>381.2</v>
      </c>
      <c r="K75" s="959">
        <v>31</v>
      </c>
      <c r="L75" s="985">
        <v>457350.84</v>
      </c>
      <c r="M75" s="985">
        <v>0</v>
      </c>
      <c r="N75" s="985">
        <v>0</v>
      </c>
      <c r="O75" s="985">
        <v>457350.84</v>
      </c>
      <c r="P75" s="963">
        <v>0</v>
      </c>
      <c r="Q75" s="985">
        <v>0</v>
      </c>
      <c r="R75" s="964">
        <v>2023</v>
      </c>
      <c r="S75" s="964">
        <v>2023</v>
      </c>
      <c r="U75" s="967"/>
      <c r="X75" s="967"/>
    </row>
    <row r="76" spans="1:24" s="966" customFormat="1" ht="49.5" customHeight="1">
      <c r="A76" s="956">
        <v>47</v>
      </c>
      <c r="B76" s="984" t="s">
        <v>1267</v>
      </c>
      <c r="C76" s="957">
        <v>1972</v>
      </c>
      <c r="D76" s="957"/>
      <c r="E76" s="956" t="s">
        <v>218</v>
      </c>
      <c r="F76" s="957">
        <v>4</v>
      </c>
      <c r="G76" s="957">
        <v>4</v>
      </c>
      <c r="H76" s="968">
        <v>2509.6</v>
      </c>
      <c r="I76" s="968">
        <v>2509.6</v>
      </c>
      <c r="J76" s="968">
        <v>1632</v>
      </c>
      <c r="K76" s="959">
        <v>100</v>
      </c>
      <c r="L76" s="971">
        <v>7799396.7999999998</v>
      </c>
      <c r="M76" s="985">
        <v>0</v>
      </c>
      <c r="N76" s="985">
        <v>0</v>
      </c>
      <c r="O76" s="971">
        <v>7799396.7999999998</v>
      </c>
      <c r="P76" s="963">
        <v>0</v>
      </c>
      <c r="Q76" s="985">
        <v>0</v>
      </c>
      <c r="R76" s="964">
        <v>2023</v>
      </c>
      <c r="S76" s="964">
        <v>2023</v>
      </c>
      <c r="U76" s="967"/>
      <c r="X76" s="967"/>
    </row>
    <row r="77" spans="1:24" s="966" customFormat="1" ht="42" customHeight="1">
      <c r="A77" s="956">
        <v>48</v>
      </c>
      <c r="B77" s="976" t="s">
        <v>1265</v>
      </c>
      <c r="C77" s="957">
        <v>1981</v>
      </c>
      <c r="D77" s="957"/>
      <c r="E77" s="956" t="s">
        <v>219</v>
      </c>
      <c r="F77" s="957">
        <v>5</v>
      </c>
      <c r="G77" s="957">
        <v>4</v>
      </c>
      <c r="H77" s="968">
        <v>2849.5</v>
      </c>
      <c r="I77" s="968">
        <v>2849.5</v>
      </c>
      <c r="J77" s="968">
        <v>1594.3</v>
      </c>
      <c r="K77" s="959">
        <v>118</v>
      </c>
      <c r="L77" s="971">
        <v>4652948.3899999997</v>
      </c>
      <c r="M77" s="985">
        <v>0</v>
      </c>
      <c r="N77" s="985">
        <v>0</v>
      </c>
      <c r="O77" s="971">
        <v>4652948.3899999997</v>
      </c>
      <c r="P77" s="963">
        <v>0</v>
      </c>
      <c r="Q77" s="985">
        <v>0</v>
      </c>
      <c r="R77" s="964">
        <v>2023</v>
      </c>
      <c r="S77" s="964">
        <v>2023</v>
      </c>
      <c r="U77" s="967"/>
      <c r="X77" s="967"/>
    </row>
    <row r="78" spans="1:24" s="966" customFormat="1" ht="36" customHeight="1">
      <c r="A78" s="956">
        <v>49</v>
      </c>
      <c r="B78" s="976" t="s">
        <v>1266</v>
      </c>
      <c r="C78" s="957">
        <v>1991</v>
      </c>
      <c r="D78" s="957"/>
      <c r="E78" s="956" t="s">
        <v>219</v>
      </c>
      <c r="F78" s="957">
        <v>5</v>
      </c>
      <c r="G78" s="957">
        <v>4</v>
      </c>
      <c r="H78" s="968">
        <v>3152.6</v>
      </c>
      <c r="I78" s="968">
        <v>3152.6</v>
      </c>
      <c r="J78" s="968">
        <v>1580.8</v>
      </c>
      <c r="K78" s="959">
        <v>137</v>
      </c>
      <c r="L78" s="971">
        <v>4592281.99</v>
      </c>
      <c r="M78" s="985">
        <v>0</v>
      </c>
      <c r="N78" s="985">
        <v>0</v>
      </c>
      <c r="O78" s="971">
        <v>4592281.99</v>
      </c>
      <c r="P78" s="963">
        <v>0</v>
      </c>
      <c r="Q78" s="985">
        <v>0</v>
      </c>
      <c r="R78" s="964">
        <v>2023</v>
      </c>
      <c r="S78" s="964">
        <v>2023</v>
      </c>
      <c r="U78" s="967"/>
      <c r="X78" s="967"/>
    </row>
    <row r="79" spans="1:24" s="966" customFormat="1" ht="36" customHeight="1">
      <c r="A79" s="1163" t="s">
        <v>1974</v>
      </c>
      <c r="B79" s="1164"/>
      <c r="C79" s="1164"/>
      <c r="D79" s="1164"/>
      <c r="E79" s="1164"/>
      <c r="F79" s="1164"/>
      <c r="G79" s="1165"/>
      <c r="H79" s="968">
        <f>SUM(H80:H85)</f>
        <v>3779.4100000000003</v>
      </c>
      <c r="I79" s="968">
        <f t="shared" ref="I79:O79" si="17">SUM(I80:I85)</f>
        <v>3381.31</v>
      </c>
      <c r="J79" s="968">
        <f t="shared" si="17"/>
        <v>3042.9</v>
      </c>
      <c r="K79" s="958">
        <f t="shared" si="17"/>
        <v>152</v>
      </c>
      <c r="L79" s="971">
        <f t="shared" si="17"/>
        <v>30135392.18</v>
      </c>
      <c r="M79" s="968">
        <f t="shared" si="17"/>
        <v>0</v>
      </c>
      <c r="N79" s="968">
        <f t="shared" si="17"/>
        <v>0</v>
      </c>
      <c r="O79" s="968">
        <f t="shared" si="17"/>
        <v>30135392.18</v>
      </c>
      <c r="P79" s="968">
        <f t="shared" ref="P79:Q79" si="18">SUM(P80:P85)</f>
        <v>0</v>
      </c>
      <c r="Q79" s="968">
        <f t="shared" si="18"/>
        <v>0</v>
      </c>
      <c r="R79" s="968" t="s">
        <v>40</v>
      </c>
      <c r="S79" s="968" t="s">
        <v>40</v>
      </c>
      <c r="U79" s="967"/>
      <c r="X79" s="967"/>
    </row>
    <row r="80" spans="1:24" s="966" customFormat="1" ht="44.45" customHeight="1">
      <c r="A80" s="956">
        <v>50</v>
      </c>
      <c r="B80" s="972" t="s">
        <v>1362</v>
      </c>
      <c r="C80" s="957">
        <v>1991</v>
      </c>
      <c r="D80" s="987"/>
      <c r="E80" s="956" t="s">
        <v>218</v>
      </c>
      <c r="F80" s="957">
        <v>2</v>
      </c>
      <c r="G80" s="957">
        <v>2</v>
      </c>
      <c r="H80" s="957">
        <v>682</v>
      </c>
      <c r="I80" s="957">
        <v>650.6</v>
      </c>
      <c r="J80" s="957">
        <v>585.5</v>
      </c>
      <c r="K80" s="959">
        <v>29</v>
      </c>
      <c r="L80" s="971">
        <v>5867554.2999999998</v>
      </c>
      <c r="M80" s="968">
        <v>0</v>
      </c>
      <c r="N80" s="968">
        <v>0</v>
      </c>
      <c r="O80" s="968">
        <v>5867554.2999999998</v>
      </c>
      <c r="P80" s="968">
        <v>0</v>
      </c>
      <c r="Q80" s="968">
        <v>0</v>
      </c>
      <c r="R80" s="957">
        <v>2023</v>
      </c>
      <c r="S80" s="957">
        <v>2023</v>
      </c>
      <c r="U80" s="967"/>
      <c r="X80" s="967"/>
    </row>
    <row r="81" spans="1:24" s="966" customFormat="1" ht="42" customHeight="1">
      <c r="A81" s="956">
        <v>51</v>
      </c>
      <c r="B81" s="972" t="s">
        <v>1892</v>
      </c>
      <c r="C81" s="957">
        <v>1993</v>
      </c>
      <c r="D81" s="987"/>
      <c r="E81" s="956" t="s">
        <v>218</v>
      </c>
      <c r="F81" s="957">
        <v>2</v>
      </c>
      <c r="G81" s="957">
        <v>3</v>
      </c>
      <c r="H81" s="957">
        <v>1091.5</v>
      </c>
      <c r="I81" s="957">
        <v>974.7</v>
      </c>
      <c r="J81" s="957">
        <v>877.2</v>
      </c>
      <c r="K81" s="959">
        <v>47</v>
      </c>
      <c r="L81" s="971">
        <v>8984692.5299999993</v>
      </c>
      <c r="M81" s="968">
        <v>0</v>
      </c>
      <c r="N81" s="968">
        <v>0</v>
      </c>
      <c r="O81" s="968">
        <v>8984692.5299999993</v>
      </c>
      <c r="P81" s="968">
        <v>0</v>
      </c>
      <c r="Q81" s="968">
        <v>0</v>
      </c>
      <c r="R81" s="957">
        <v>2023</v>
      </c>
      <c r="S81" s="957">
        <v>2023</v>
      </c>
      <c r="U81" s="967"/>
      <c r="X81" s="967"/>
    </row>
    <row r="82" spans="1:24" s="966" customFormat="1" ht="42" customHeight="1">
      <c r="A82" s="956">
        <v>52</v>
      </c>
      <c r="B82" s="976" t="s">
        <v>1364</v>
      </c>
      <c r="C82" s="957">
        <v>1967</v>
      </c>
      <c r="D82" s="987"/>
      <c r="E82" s="956" t="s">
        <v>218</v>
      </c>
      <c r="F82" s="957">
        <v>2</v>
      </c>
      <c r="G82" s="957">
        <v>2</v>
      </c>
      <c r="H82" s="957">
        <v>511.8</v>
      </c>
      <c r="I82" s="957">
        <v>448.6</v>
      </c>
      <c r="J82" s="957">
        <v>403.7</v>
      </c>
      <c r="K82" s="959">
        <v>29</v>
      </c>
      <c r="L82" s="971">
        <v>3942263.05</v>
      </c>
      <c r="M82" s="968">
        <v>0</v>
      </c>
      <c r="N82" s="968">
        <v>0</v>
      </c>
      <c r="O82" s="968">
        <v>3942263.05</v>
      </c>
      <c r="P82" s="968">
        <v>0</v>
      </c>
      <c r="Q82" s="968">
        <v>0</v>
      </c>
      <c r="R82" s="957">
        <v>2023</v>
      </c>
      <c r="S82" s="957">
        <v>2023</v>
      </c>
      <c r="U82" s="967"/>
      <c r="X82" s="967"/>
    </row>
    <row r="83" spans="1:24" s="966" customFormat="1" ht="42" customHeight="1">
      <c r="A83" s="956">
        <v>53</v>
      </c>
      <c r="B83" s="976" t="s">
        <v>1893</v>
      </c>
      <c r="C83" s="957">
        <v>1973</v>
      </c>
      <c r="D83" s="987"/>
      <c r="E83" s="956" t="s">
        <v>220</v>
      </c>
      <c r="F83" s="957">
        <v>2</v>
      </c>
      <c r="G83" s="957">
        <v>1</v>
      </c>
      <c r="H83" s="957">
        <v>379.4</v>
      </c>
      <c r="I83" s="957">
        <v>347.7</v>
      </c>
      <c r="J83" s="957">
        <v>312.89999999999998</v>
      </c>
      <c r="K83" s="959">
        <v>12</v>
      </c>
      <c r="L83" s="971">
        <v>2823760.51</v>
      </c>
      <c r="M83" s="968">
        <v>0</v>
      </c>
      <c r="N83" s="968">
        <v>0</v>
      </c>
      <c r="O83" s="968">
        <v>2823760.51</v>
      </c>
      <c r="P83" s="968">
        <v>0</v>
      </c>
      <c r="Q83" s="968">
        <v>0</v>
      </c>
      <c r="R83" s="957">
        <v>2023</v>
      </c>
      <c r="S83" s="957">
        <v>2023</v>
      </c>
      <c r="U83" s="967"/>
      <c r="X83" s="967"/>
    </row>
    <row r="84" spans="1:24" s="966" customFormat="1" ht="42" customHeight="1">
      <c r="A84" s="956">
        <v>54</v>
      </c>
      <c r="B84" s="976" t="s">
        <v>1894</v>
      </c>
      <c r="C84" s="957">
        <v>1965</v>
      </c>
      <c r="D84" s="987"/>
      <c r="E84" s="956" t="s">
        <v>218</v>
      </c>
      <c r="F84" s="957">
        <v>2</v>
      </c>
      <c r="G84" s="957">
        <v>2</v>
      </c>
      <c r="H84" s="957">
        <v>424.5</v>
      </c>
      <c r="I84" s="957">
        <v>329.5</v>
      </c>
      <c r="J84" s="957">
        <v>296.5</v>
      </c>
      <c r="K84" s="959">
        <v>14</v>
      </c>
      <c r="L84" s="971">
        <v>3263827.08</v>
      </c>
      <c r="M84" s="968">
        <v>0</v>
      </c>
      <c r="N84" s="968">
        <v>0</v>
      </c>
      <c r="O84" s="968">
        <v>3263827.08</v>
      </c>
      <c r="P84" s="968">
        <v>0</v>
      </c>
      <c r="Q84" s="968">
        <v>0</v>
      </c>
      <c r="R84" s="957">
        <v>2023</v>
      </c>
      <c r="S84" s="957">
        <v>2023</v>
      </c>
      <c r="U84" s="967"/>
      <c r="X84" s="967"/>
    </row>
    <row r="85" spans="1:24" s="966" customFormat="1" ht="42" customHeight="1">
      <c r="A85" s="956">
        <v>55</v>
      </c>
      <c r="B85" s="976" t="s">
        <v>1367</v>
      </c>
      <c r="C85" s="957">
        <v>1961</v>
      </c>
      <c r="D85" s="987"/>
      <c r="E85" s="956" t="s">
        <v>218</v>
      </c>
      <c r="F85" s="957">
        <v>2</v>
      </c>
      <c r="G85" s="957">
        <v>2</v>
      </c>
      <c r="H85" s="957">
        <v>690.21</v>
      </c>
      <c r="I85" s="957">
        <v>630.21</v>
      </c>
      <c r="J85" s="957">
        <v>567.1</v>
      </c>
      <c r="K85" s="959">
        <v>21</v>
      </c>
      <c r="L85" s="971">
        <v>5253294.71</v>
      </c>
      <c r="M85" s="968">
        <v>0</v>
      </c>
      <c r="N85" s="968">
        <v>0</v>
      </c>
      <c r="O85" s="968">
        <v>5253294.71</v>
      </c>
      <c r="P85" s="968">
        <v>0</v>
      </c>
      <c r="Q85" s="968">
        <v>0</v>
      </c>
      <c r="R85" s="957">
        <v>2023</v>
      </c>
      <c r="S85" s="957">
        <v>2023</v>
      </c>
      <c r="U85" s="967"/>
      <c r="X85" s="967"/>
    </row>
    <row r="86" spans="1:24" s="966" customFormat="1" ht="36" customHeight="1">
      <c r="A86" s="1163" t="s">
        <v>1248</v>
      </c>
      <c r="B86" s="1164"/>
      <c r="C86" s="1164"/>
      <c r="D86" s="1164"/>
      <c r="E86" s="1164"/>
      <c r="F86" s="1164"/>
      <c r="G86" s="1165"/>
      <c r="H86" s="968">
        <f>SUM(H87:H93)</f>
        <v>2548.1999999999998</v>
      </c>
      <c r="I86" s="968">
        <f t="shared" ref="I86:Q86" si="19">SUM(I87:I93)</f>
        <v>2531.9</v>
      </c>
      <c r="J86" s="968">
        <f t="shared" si="19"/>
        <v>1755.3000000000002</v>
      </c>
      <c r="K86" s="958">
        <f>SUM(K87:K93)</f>
        <v>117</v>
      </c>
      <c r="L86" s="971">
        <f t="shared" si="19"/>
        <v>8582395</v>
      </c>
      <c r="M86" s="968">
        <f t="shared" si="19"/>
        <v>0</v>
      </c>
      <c r="N86" s="968">
        <f t="shared" si="19"/>
        <v>0</v>
      </c>
      <c r="O86" s="968">
        <f t="shared" si="19"/>
        <v>8582395</v>
      </c>
      <c r="P86" s="968">
        <f t="shared" si="19"/>
        <v>0</v>
      </c>
      <c r="Q86" s="968">
        <f t="shared" si="19"/>
        <v>0</v>
      </c>
      <c r="R86" s="968" t="s">
        <v>40</v>
      </c>
      <c r="S86" s="968" t="s">
        <v>40</v>
      </c>
      <c r="U86" s="967"/>
      <c r="X86" s="967"/>
    </row>
    <row r="87" spans="1:24" s="966" customFormat="1" ht="40.9" customHeight="1">
      <c r="A87" s="956">
        <v>56</v>
      </c>
      <c r="B87" s="986" t="s">
        <v>1413</v>
      </c>
      <c r="C87" s="956" t="s">
        <v>190</v>
      </c>
      <c r="D87" s="957"/>
      <c r="E87" s="956" t="s">
        <v>218</v>
      </c>
      <c r="F87" s="957">
        <v>2</v>
      </c>
      <c r="G87" s="957">
        <v>2</v>
      </c>
      <c r="H87" s="968">
        <v>606.6</v>
      </c>
      <c r="I87" s="968">
        <v>606.6</v>
      </c>
      <c r="J87" s="968">
        <v>374.2</v>
      </c>
      <c r="K87" s="959">
        <v>22</v>
      </c>
      <c r="L87" s="971">
        <v>1195838</v>
      </c>
      <c r="M87" s="968">
        <v>0</v>
      </c>
      <c r="N87" s="968">
        <v>0</v>
      </c>
      <c r="O87" s="968">
        <v>1195838</v>
      </c>
      <c r="P87" s="968">
        <v>0</v>
      </c>
      <c r="Q87" s="968">
        <v>0</v>
      </c>
      <c r="R87" s="957">
        <v>2023</v>
      </c>
      <c r="S87" s="957">
        <v>2023</v>
      </c>
      <c r="U87" s="967"/>
      <c r="X87" s="967"/>
    </row>
    <row r="88" spans="1:24" s="966" customFormat="1" ht="39.6" customHeight="1">
      <c r="A88" s="956">
        <v>57</v>
      </c>
      <c r="B88" s="986" t="s">
        <v>1890</v>
      </c>
      <c r="C88" s="956" t="s">
        <v>190</v>
      </c>
      <c r="D88" s="957"/>
      <c r="E88" s="956" t="s">
        <v>218</v>
      </c>
      <c r="F88" s="957">
        <v>2</v>
      </c>
      <c r="G88" s="957">
        <v>1</v>
      </c>
      <c r="H88" s="968">
        <v>264.5</v>
      </c>
      <c r="I88" s="968">
        <v>264.5</v>
      </c>
      <c r="J88" s="968">
        <v>180</v>
      </c>
      <c r="K88" s="959">
        <v>11</v>
      </c>
      <c r="L88" s="971">
        <v>1215045</v>
      </c>
      <c r="M88" s="968">
        <v>0</v>
      </c>
      <c r="N88" s="968">
        <v>0</v>
      </c>
      <c r="O88" s="968">
        <v>1215045</v>
      </c>
      <c r="P88" s="968">
        <v>0</v>
      </c>
      <c r="Q88" s="968">
        <v>0</v>
      </c>
      <c r="R88" s="957">
        <v>2023</v>
      </c>
      <c r="S88" s="957">
        <v>2023</v>
      </c>
      <c r="U88" s="967"/>
      <c r="X88" s="967"/>
    </row>
    <row r="89" spans="1:24" s="966" customFormat="1" ht="39.6" customHeight="1">
      <c r="A89" s="956">
        <v>58</v>
      </c>
      <c r="B89" s="986" t="s">
        <v>1414</v>
      </c>
      <c r="C89" s="956" t="s">
        <v>190</v>
      </c>
      <c r="D89" s="956"/>
      <c r="E89" s="956" t="s">
        <v>218</v>
      </c>
      <c r="F89" s="956">
        <v>2</v>
      </c>
      <c r="G89" s="956">
        <v>1</v>
      </c>
      <c r="H89" s="963">
        <v>457.6</v>
      </c>
      <c r="I89" s="963">
        <v>457.6</v>
      </c>
      <c r="J89" s="963">
        <v>299.10000000000002</v>
      </c>
      <c r="K89" s="964">
        <v>27</v>
      </c>
      <c r="L89" s="971">
        <v>1191236</v>
      </c>
      <c r="M89" s="963">
        <v>0</v>
      </c>
      <c r="N89" s="963">
        <v>0</v>
      </c>
      <c r="O89" s="968">
        <v>1191236</v>
      </c>
      <c r="P89" s="963">
        <v>0</v>
      </c>
      <c r="Q89" s="963">
        <v>0</v>
      </c>
      <c r="R89" s="957">
        <v>2023</v>
      </c>
      <c r="S89" s="957">
        <v>2023</v>
      </c>
      <c r="U89" s="967"/>
      <c r="X89" s="967"/>
    </row>
    <row r="90" spans="1:24" s="966" customFormat="1" ht="36" customHeight="1">
      <c r="A90" s="956">
        <v>59</v>
      </c>
      <c r="B90" s="986" t="s">
        <v>1415</v>
      </c>
      <c r="C90" s="956" t="s">
        <v>190</v>
      </c>
      <c r="D90" s="957"/>
      <c r="E90" s="956" t="s">
        <v>218</v>
      </c>
      <c r="F90" s="957">
        <v>1</v>
      </c>
      <c r="G90" s="957">
        <v>1</v>
      </c>
      <c r="H90" s="968">
        <v>251.1</v>
      </c>
      <c r="I90" s="968">
        <v>251.1</v>
      </c>
      <c r="J90" s="968">
        <v>151.6</v>
      </c>
      <c r="K90" s="959">
        <v>14</v>
      </c>
      <c r="L90" s="971">
        <v>1230002</v>
      </c>
      <c r="M90" s="968">
        <v>0</v>
      </c>
      <c r="N90" s="968">
        <v>0</v>
      </c>
      <c r="O90" s="968">
        <v>1230002</v>
      </c>
      <c r="P90" s="968">
        <v>0</v>
      </c>
      <c r="Q90" s="968">
        <v>0</v>
      </c>
      <c r="R90" s="957">
        <v>2023</v>
      </c>
      <c r="S90" s="957">
        <v>2023</v>
      </c>
      <c r="U90" s="967"/>
      <c r="X90" s="967"/>
    </row>
    <row r="91" spans="1:24" s="966" customFormat="1" ht="42" customHeight="1">
      <c r="A91" s="956">
        <v>60</v>
      </c>
      <c r="B91" s="986" t="s">
        <v>1416</v>
      </c>
      <c r="C91" s="956" t="s">
        <v>190</v>
      </c>
      <c r="D91" s="957"/>
      <c r="E91" s="956" t="s">
        <v>218</v>
      </c>
      <c r="F91" s="956">
        <v>5</v>
      </c>
      <c r="G91" s="956">
        <v>6</v>
      </c>
      <c r="H91" s="963">
        <v>267.3</v>
      </c>
      <c r="I91" s="963">
        <v>251</v>
      </c>
      <c r="J91" s="963">
        <v>267.3</v>
      </c>
      <c r="K91" s="964">
        <v>12</v>
      </c>
      <c r="L91" s="971">
        <v>1182844</v>
      </c>
      <c r="M91" s="963">
        <v>0</v>
      </c>
      <c r="N91" s="963">
        <v>0</v>
      </c>
      <c r="O91" s="968">
        <v>1182844</v>
      </c>
      <c r="P91" s="963">
        <v>0</v>
      </c>
      <c r="Q91" s="963">
        <v>0</v>
      </c>
      <c r="R91" s="957">
        <v>2023</v>
      </c>
      <c r="S91" s="957">
        <v>2023</v>
      </c>
      <c r="U91" s="967"/>
      <c r="X91" s="967"/>
    </row>
    <row r="92" spans="1:24" s="966" customFormat="1" ht="42" customHeight="1">
      <c r="A92" s="956">
        <v>61</v>
      </c>
      <c r="B92" s="986" t="s">
        <v>1417</v>
      </c>
      <c r="C92" s="956" t="s">
        <v>190</v>
      </c>
      <c r="D92" s="957"/>
      <c r="E92" s="956" t="s">
        <v>218</v>
      </c>
      <c r="F92" s="957">
        <v>1</v>
      </c>
      <c r="G92" s="957">
        <v>1</v>
      </c>
      <c r="H92" s="968">
        <v>248.2</v>
      </c>
      <c r="I92" s="968">
        <v>248.2</v>
      </c>
      <c r="J92" s="968">
        <v>93.7</v>
      </c>
      <c r="K92" s="959">
        <v>9</v>
      </c>
      <c r="L92" s="965">
        <v>1271553</v>
      </c>
      <c r="M92" s="968">
        <v>0</v>
      </c>
      <c r="N92" s="968">
        <v>0</v>
      </c>
      <c r="O92" s="963">
        <v>1271553</v>
      </c>
      <c r="P92" s="968">
        <v>0</v>
      </c>
      <c r="Q92" s="968">
        <v>0</v>
      </c>
      <c r="R92" s="957">
        <v>2023</v>
      </c>
      <c r="S92" s="957">
        <v>2023</v>
      </c>
      <c r="U92" s="967"/>
      <c r="X92" s="967"/>
    </row>
    <row r="93" spans="1:24" s="966" customFormat="1" ht="42" customHeight="1">
      <c r="A93" s="956">
        <v>62</v>
      </c>
      <c r="B93" s="986" t="s">
        <v>1418</v>
      </c>
      <c r="C93" s="956" t="s">
        <v>190</v>
      </c>
      <c r="D93" s="956"/>
      <c r="E93" s="956" t="s">
        <v>218</v>
      </c>
      <c r="F93" s="956">
        <v>2</v>
      </c>
      <c r="G93" s="956">
        <v>2</v>
      </c>
      <c r="H93" s="963">
        <v>452.9</v>
      </c>
      <c r="I93" s="963">
        <v>452.9</v>
      </c>
      <c r="J93" s="963">
        <v>389.4</v>
      </c>
      <c r="K93" s="964">
        <v>22</v>
      </c>
      <c r="L93" s="971">
        <v>1295877</v>
      </c>
      <c r="M93" s="963">
        <v>0</v>
      </c>
      <c r="N93" s="963">
        <v>0</v>
      </c>
      <c r="O93" s="968">
        <v>1295877</v>
      </c>
      <c r="P93" s="963">
        <v>0</v>
      </c>
      <c r="Q93" s="963">
        <v>0</v>
      </c>
      <c r="R93" s="957">
        <v>2023</v>
      </c>
      <c r="S93" s="957">
        <v>2023</v>
      </c>
      <c r="U93" s="967"/>
      <c r="X93" s="967"/>
    </row>
    <row r="94" spans="1:24" s="966" customFormat="1" ht="42" customHeight="1">
      <c r="A94" s="1163" t="s">
        <v>1582</v>
      </c>
      <c r="B94" s="1164"/>
      <c r="C94" s="1164"/>
      <c r="D94" s="1164"/>
      <c r="E94" s="1164"/>
      <c r="F94" s="1164"/>
      <c r="G94" s="1165"/>
      <c r="H94" s="963">
        <f>H95</f>
        <v>976.5</v>
      </c>
      <c r="I94" s="963">
        <f t="shared" ref="I94:Q94" si="20">I95</f>
        <v>976.5</v>
      </c>
      <c r="J94" s="963">
        <f t="shared" si="20"/>
        <v>557.1</v>
      </c>
      <c r="K94" s="977">
        <f t="shared" si="20"/>
        <v>38</v>
      </c>
      <c r="L94" s="965">
        <f t="shared" si="20"/>
        <v>1021741.25</v>
      </c>
      <c r="M94" s="963">
        <f t="shared" si="20"/>
        <v>0</v>
      </c>
      <c r="N94" s="963">
        <f t="shared" si="20"/>
        <v>0</v>
      </c>
      <c r="O94" s="963">
        <f t="shared" si="20"/>
        <v>1021741.25</v>
      </c>
      <c r="P94" s="963">
        <f t="shared" si="20"/>
        <v>0</v>
      </c>
      <c r="Q94" s="963">
        <f t="shared" si="20"/>
        <v>0</v>
      </c>
      <c r="R94" s="968" t="s">
        <v>40</v>
      </c>
      <c r="S94" s="968" t="s">
        <v>40</v>
      </c>
      <c r="U94" s="967"/>
      <c r="X94" s="967"/>
    </row>
    <row r="95" spans="1:24" s="966" customFormat="1" ht="42" customHeight="1">
      <c r="A95" s="956">
        <v>63</v>
      </c>
      <c r="B95" s="986" t="s">
        <v>1895</v>
      </c>
      <c r="C95" s="956">
        <v>1985</v>
      </c>
      <c r="D95" s="956"/>
      <c r="E95" s="956" t="s">
        <v>222</v>
      </c>
      <c r="F95" s="956">
        <v>2</v>
      </c>
      <c r="G95" s="956">
        <v>3</v>
      </c>
      <c r="H95" s="963">
        <v>976.5</v>
      </c>
      <c r="I95" s="963">
        <v>976.5</v>
      </c>
      <c r="J95" s="963">
        <v>557.1</v>
      </c>
      <c r="K95" s="964">
        <v>38</v>
      </c>
      <c r="L95" s="971">
        <v>1021741.25</v>
      </c>
      <c r="M95" s="963">
        <v>0</v>
      </c>
      <c r="N95" s="963">
        <v>0</v>
      </c>
      <c r="O95" s="968">
        <v>1021741.25</v>
      </c>
      <c r="P95" s="963">
        <v>0</v>
      </c>
      <c r="Q95" s="963">
        <v>0</v>
      </c>
      <c r="R95" s="957">
        <v>2023</v>
      </c>
      <c r="S95" s="957">
        <v>2023</v>
      </c>
      <c r="U95" s="967"/>
      <c r="X95" s="967"/>
    </row>
    <row r="96" spans="1:24" s="966" customFormat="1" ht="36" customHeight="1">
      <c r="A96" s="1163" t="s">
        <v>1185</v>
      </c>
      <c r="B96" s="1164"/>
      <c r="C96" s="1164"/>
      <c r="D96" s="1164"/>
      <c r="E96" s="1164"/>
      <c r="F96" s="1164"/>
      <c r="G96" s="1165"/>
      <c r="H96" s="968">
        <f>SUM(H97:H102)</f>
        <v>12672.9</v>
      </c>
      <c r="I96" s="968">
        <f t="shared" ref="I96:Q96" si="21">SUM(I97:I102)</f>
        <v>8989.3000000000011</v>
      </c>
      <c r="J96" s="968">
        <f t="shared" si="21"/>
        <v>7120.2</v>
      </c>
      <c r="K96" s="958">
        <f t="shared" si="21"/>
        <v>221</v>
      </c>
      <c r="L96" s="971">
        <f t="shared" si="21"/>
        <v>43155034.009999998</v>
      </c>
      <c r="M96" s="968">
        <f t="shared" si="21"/>
        <v>0</v>
      </c>
      <c r="N96" s="968">
        <f t="shared" si="21"/>
        <v>0</v>
      </c>
      <c r="O96" s="968">
        <f t="shared" si="21"/>
        <v>43155034.009999998</v>
      </c>
      <c r="P96" s="968">
        <f t="shared" si="21"/>
        <v>0</v>
      </c>
      <c r="Q96" s="968">
        <f t="shared" si="21"/>
        <v>0</v>
      </c>
      <c r="R96" s="968" t="s">
        <v>40</v>
      </c>
      <c r="S96" s="968" t="s">
        <v>40</v>
      </c>
      <c r="U96" s="967"/>
      <c r="X96" s="967"/>
    </row>
    <row r="97" spans="1:24" s="966" customFormat="1" ht="38.450000000000003" customHeight="1">
      <c r="A97" s="956">
        <v>64</v>
      </c>
      <c r="B97" s="986" t="s">
        <v>1896</v>
      </c>
      <c r="C97" s="957">
        <v>1959</v>
      </c>
      <c r="D97" s="957"/>
      <c r="E97" s="956" t="s">
        <v>218</v>
      </c>
      <c r="F97" s="957">
        <v>3</v>
      </c>
      <c r="G97" s="957">
        <v>2</v>
      </c>
      <c r="H97" s="968">
        <v>1056.9000000000001</v>
      </c>
      <c r="I97" s="968">
        <v>974.7</v>
      </c>
      <c r="J97" s="968">
        <v>974.7</v>
      </c>
      <c r="K97" s="959">
        <v>24</v>
      </c>
      <c r="L97" s="971">
        <v>5953275.5999999996</v>
      </c>
      <c r="M97" s="968">
        <v>0</v>
      </c>
      <c r="N97" s="968">
        <v>0</v>
      </c>
      <c r="O97" s="968">
        <v>5953275.5999999996</v>
      </c>
      <c r="P97" s="963">
        <v>0</v>
      </c>
      <c r="Q97" s="968">
        <v>0</v>
      </c>
      <c r="R97" s="964">
        <v>2023</v>
      </c>
      <c r="S97" s="964">
        <v>2023</v>
      </c>
      <c r="U97" s="967"/>
      <c r="X97" s="967"/>
    </row>
    <row r="98" spans="1:24" s="966" customFormat="1" ht="38.450000000000003" customHeight="1">
      <c r="A98" s="956">
        <v>65</v>
      </c>
      <c r="B98" s="986" t="s">
        <v>1325</v>
      </c>
      <c r="C98" s="957">
        <v>1953</v>
      </c>
      <c r="D98" s="957"/>
      <c r="E98" s="956" t="s">
        <v>218</v>
      </c>
      <c r="F98" s="957">
        <v>5</v>
      </c>
      <c r="G98" s="957">
        <v>4</v>
      </c>
      <c r="H98" s="968">
        <v>6366.5</v>
      </c>
      <c r="I98" s="968">
        <v>4514.3</v>
      </c>
      <c r="J98" s="968">
        <v>3565.9</v>
      </c>
      <c r="K98" s="959">
        <v>96</v>
      </c>
      <c r="L98" s="971">
        <v>14320499.720000001</v>
      </c>
      <c r="M98" s="968">
        <v>0</v>
      </c>
      <c r="N98" s="968">
        <v>0</v>
      </c>
      <c r="O98" s="968">
        <v>14320499.720000001</v>
      </c>
      <c r="P98" s="963">
        <v>0</v>
      </c>
      <c r="Q98" s="968">
        <v>0</v>
      </c>
      <c r="R98" s="964">
        <v>2023</v>
      </c>
      <c r="S98" s="964">
        <v>2023</v>
      </c>
      <c r="U98" s="967"/>
      <c r="X98" s="967"/>
    </row>
    <row r="99" spans="1:24" s="966" customFormat="1" ht="38.450000000000003" customHeight="1">
      <c r="A99" s="956">
        <v>66</v>
      </c>
      <c r="B99" s="986" t="s">
        <v>1897</v>
      </c>
      <c r="C99" s="957">
        <v>1961</v>
      </c>
      <c r="D99" s="957"/>
      <c r="E99" s="956" t="s">
        <v>218</v>
      </c>
      <c r="F99" s="957">
        <v>2</v>
      </c>
      <c r="G99" s="957">
        <v>1</v>
      </c>
      <c r="H99" s="968">
        <v>783.5</v>
      </c>
      <c r="I99" s="968">
        <v>470.9</v>
      </c>
      <c r="J99" s="968">
        <v>444.3</v>
      </c>
      <c r="K99" s="959">
        <v>15</v>
      </c>
      <c r="L99" s="971">
        <v>3575540.9</v>
      </c>
      <c r="M99" s="968">
        <v>0</v>
      </c>
      <c r="N99" s="968">
        <v>0</v>
      </c>
      <c r="O99" s="968">
        <v>3575540.9</v>
      </c>
      <c r="P99" s="963">
        <v>0</v>
      </c>
      <c r="Q99" s="968">
        <v>0</v>
      </c>
      <c r="R99" s="964">
        <v>2023</v>
      </c>
      <c r="S99" s="964">
        <v>2023</v>
      </c>
      <c r="U99" s="967"/>
      <c r="X99" s="967"/>
    </row>
    <row r="100" spans="1:24" s="966" customFormat="1" ht="43.15" customHeight="1">
      <c r="A100" s="956">
        <v>67</v>
      </c>
      <c r="B100" s="986" t="s">
        <v>1327</v>
      </c>
      <c r="C100" s="957">
        <v>1956</v>
      </c>
      <c r="D100" s="957"/>
      <c r="E100" s="956" t="s">
        <v>218</v>
      </c>
      <c r="F100" s="957">
        <v>2</v>
      </c>
      <c r="G100" s="957">
        <v>3</v>
      </c>
      <c r="H100" s="968">
        <v>1526.7</v>
      </c>
      <c r="I100" s="968">
        <v>890.3</v>
      </c>
      <c r="J100" s="968">
        <v>798.7</v>
      </c>
      <c r="K100" s="959">
        <v>30</v>
      </c>
      <c r="L100" s="971">
        <v>8131238.4199999999</v>
      </c>
      <c r="M100" s="968">
        <v>0</v>
      </c>
      <c r="N100" s="968">
        <v>0</v>
      </c>
      <c r="O100" s="968">
        <v>8131238.4199999999</v>
      </c>
      <c r="P100" s="963">
        <v>0</v>
      </c>
      <c r="Q100" s="968">
        <v>0</v>
      </c>
      <c r="R100" s="964">
        <v>2023</v>
      </c>
      <c r="S100" s="964">
        <v>2023</v>
      </c>
      <c r="U100" s="967"/>
      <c r="X100" s="967"/>
    </row>
    <row r="101" spans="1:24" s="966" customFormat="1" ht="42.6" customHeight="1">
      <c r="A101" s="956">
        <v>68</v>
      </c>
      <c r="B101" s="986" t="s">
        <v>1328</v>
      </c>
      <c r="C101" s="957">
        <v>1991</v>
      </c>
      <c r="D101" s="957"/>
      <c r="E101" s="956" t="s">
        <v>218</v>
      </c>
      <c r="F101" s="957">
        <v>3</v>
      </c>
      <c r="G101" s="957">
        <v>4</v>
      </c>
      <c r="H101" s="968">
        <v>2478.1999999999998</v>
      </c>
      <c r="I101" s="968">
        <v>1678</v>
      </c>
      <c r="J101" s="968">
        <v>1123.4000000000001</v>
      </c>
      <c r="K101" s="959">
        <v>38</v>
      </c>
      <c r="L101" s="971">
        <v>7492589.0499999998</v>
      </c>
      <c r="M101" s="968">
        <v>0</v>
      </c>
      <c r="N101" s="968">
        <v>0</v>
      </c>
      <c r="O101" s="968">
        <v>7492589.0499999998</v>
      </c>
      <c r="P101" s="963">
        <v>0</v>
      </c>
      <c r="Q101" s="968">
        <v>0</v>
      </c>
      <c r="R101" s="964">
        <v>2023</v>
      </c>
      <c r="S101" s="964">
        <v>2023</v>
      </c>
      <c r="U101" s="967"/>
      <c r="X101" s="967"/>
    </row>
    <row r="102" spans="1:24" s="966" customFormat="1" ht="42.6" customHeight="1">
      <c r="A102" s="956">
        <v>69</v>
      </c>
      <c r="B102" s="986" t="s">
        <v>1475</v>
      </c>
      <c r="C102" s="957">
        <v>1955</v>
      </c>
      <c r="D102" s="957"/>
      <c r="E102" s="956" t="s">
        <v>218</v>
      </c>
      <c r="F102" s="957">
        <v>2</v>
      </c>
      <c r="G102" s="957">
        <v>2</v>
      </c>
      <c r="H102" s="968">
        <v>461.1</v>
      </c>
      <c r="I102" s="968">
        <v>461.1</v>
      </c>
      <c r="J102" s="968">
        <v>213.2</v>
      </c>
      <c r="K102" s="959">
        <v>18</v>
      </c>
      <c r="L102" s="971">
        <v>3681890.32</v>
      </c>
      <c r="M102" s="968">
        <v>0</v>
      </c>
      <c r="N102" s="968">
        <v>0</v>
      </c>
      <c r="O102" s="968">
        <v>3681890.32</v>
      </c>
      <c r="P102" s="963">
        <v>0</v>
      </c>
      <c r="Q102" s="968">
        <v>0</v>
      </c>
      <c r="R102" s="964">
        <v>2023</v>
      </c>
      <c r="S102" s="964">
        <v>2023</v>
      </c>
      <c r="U102" s="967"/>
      <c r="X102" s="967"/>
    </row>
    <row r="103" spans="1:24" s="982" customFormat="1" ht="36.6" customHeight="1">
      <c r="A103" s="1163" t="s">
        <v>1977</v>
      </c>
      <c r="B103" s="1164"/>
      <c r="C103" s="1164"/>
      <c r="D103" s="1164"/>
      <c r="E103" s="1164"/>
      <c r="F103" s="1164"/>
      <c r="G103" s="1165"/>
      <c r="H103" s="968">
        <f>SUM(H104:H114)</f>
        <v>46959.600000000006</v>
      </c>
      <c r="I103" s="968">
        <f t="shared" ref="I103:O103" si="22">SUM(I104:I114)</f>
        <v>40862.1</v>
      </c>
      <c r="J103" s="968">
        <f t="shared" si="22"/>
        <v>38813.699999999997</v>
      </c>
      <c r="K103" s="958">
        <f t="shared" si="22"/>
        <v>1634</v>
      </c>
      <c r="L103" s="971">
        <f>SUM(L104:L114)</f>
        <v>98101465.390000001</v>
      </c>
      <c r="M103" s="968">
        <f t="shared" si="22"/>
        <v>0</v>
      </c>
      <c r="N103" s="968">
        <f t="shared" si="22"/>
        <v>0</v>
      </c>
      <c r="O103" s="968">
        <f t="shared" si="22"/>
        <v>98101465.390000001</v>
      </c>
      <c r="P103" s="968">
        <f t="shared" ref="P103:Q103" si="23">SUM(P104:P114)</f>
        <v>0</v>
      </c>
      <c r="Q103" s="968">
        <f t="shared" si="23"/>
        <v>0</v>
      </c>
      <c r="R103" s="968" t="s">
        <v>40</v>
      </c>
      <c r="S103" s="968" t="s">
        <v>40</v>
      </c>
      <c r="U103" s="967"/>
      <c r="X103" s="967"/>
    </row>
    <row r="104" spans="1:24" s="982" customFormat="1" ht="39" customHeight="1">
      <c r="A104" s="956">
        <v>70</v>
      </c>
      <c r="B104" s="986" t="s">
        <v>1521</v>
      </c>
      <c r="C104" s="957">
        <v>1976</v>
      </c>
      <c r="D104" s="957"/>
      <c r="E104" s="956" t="s">
        <v>218</v>
      </c>
      <c r="F104" s="956">
        <v>5</v>
      </c>
      <c r="G104" s="956">
        <v>4</v>
      </c>
      <c r="H104" s="963">
        <v>4452.8</v>
      </c>
      <c r="I104" s="963">
        <f>2671.2+916</f>
        <v>3587.2</v>
      </c>
      <c r="J104" s="963">
        <f>I104-50.8-916</f>
        <v>2620.3999999999996</v>
      </c>
      <c r="K104" s="956">
        <v>168</v>
      </c>
      <c r="L104" s="965">
        <v>7307335.2199999997</v>
      </c>
      <c r="M104" s="963">
        <v>0</v>
      </c>
      <c r="N104" s="963">
        <v>0</v>
      </c>
      <c r="O104" s="963">
        <v>7307335.2199999997</v>
      </c>
      <c r="P104" s="963">
        <v>0</v>
      </c>
      <c r="Q104" s="963">
        <v>0</v>
      </c>
      <c r="R104" s="964">
        <v>2023</v>
      </c>
      <c r="S104" s="988">
        <v>2023</v>
      </c>
      <c r="U104" s="967"/>
      <c r="X104" s="967"/>
    </row>
    <row r="105" spans="1:24" s="982" customFormat="1" ht="36.6" customHeight="1">
      <c r="A105" s="956">
        <v>71</v>
      </c>
      <c r="B105" s="986" t="s">
        <v>1523</v>
      </c>
      <c r="C105" s="957">
        <v>1979</v>
      </c>
      <c r="D105" s="957"/>
      <c r="E105" s="956" t="s">
        <v>219</v>
      </c>
      <c r="F105" s="956">
        <v>5</v>
      </c>
      <c r="G105" s="956">
        <v>7</v>
      </c>
      <c r="H105" s="963">
        <v>3845.4</v>
      </c>
      <c r="I105" s="963">
        <v>3480</v>
      </c>
      <c r="J105" s="963">
        <f>I105-18.7</f>
        <v>3461.3</v>
      </c>
      <c r="K105" s="956">
        <v>157</v>
      </c>
      <c r="L105" s="965">
        <v>3443046.89</v>
      </c>
      <c r="M105" s="963">
        <v>0</v>
      </c>
      <c r="N105" s="963">
        <v>0</v>
      </c>
      <c r="O105" s="963">
        <v>3443046.89</v>
      </c>
      <c r="P105" s="963">
        <v>0</v>
      </c>
      <c r="Q105" s="963">
        <v>0</v>
      </c>
      <c r="R105" s="964">
        <v>2023</v>
      </c>
      <c r="S105" s="988">
        <v>2023</v>
      </c>
      <c r="U105" s="967"/>
      <c r="X105" s="967"/>
    </row>
    <row r="106" spans="1:24" s="982" customFormat="1" ht="43.5" customHeight="1">
      <c r="A106" s="956">
        <v>72</v>
      </c>
      <c r="B106" s="986" t="s">
        <v>1524</v>
      </c>
      <c r="C106" s="957">
        <v>1966</v>
      </c>
      <c r="D106" s="957"/>
      <c r="E106" s="956" t="s">
        <v>218</v>
      </c>
      <c r="F106" s="956">
        <v>5</v>
      </c>
      <c r="G106" s="956">
        <v>4</v>
      </c>
      <c r="H106" s="963">
        <v>4045.7</v>
      </c>
      <c r="I106" s="963">
        <v>3687.6</v>
      </c>
      <c r="J106" s="963">
        <f>I106-123.3</f>
        <v>3564.2999999999997</v>
      </c>
      <c r="K106" s="956">
        <v>126</v>
      </c>
      <c r="L106" s="965">
        <v>16167753.49</v>
      </c>
      <c r="M106" s="963">
        <v>0</v>
      </c>
      <c r="N106" s="963">
        <v>0</v>
      </c>
      <c r="O106" s="963">
        <v>16167753.49</v>
      </c>
      <c r="P106" s="963">
        <v>0</v>
      </c>
      <c r="Q106" s="963">
        <v>0</v>
      </c>
      <c r="R106" s="964">
        <v>2023</v>
      </c>
      <c r="S106" s="988">
        <v>2023</v>
      </c>
      <c r="U106" s="967"/>
      <c r="X106" s="967"/>
    </row>
    <row r="107" spans="1:24" s="966" customFormat="1" ht="36" customHeight="1">
      <c r="A107" s="956">
        <v>73</v>
      </c>
      <c r="B107" s="986" t="s">
        <v>1898</v>
      </c>
      <c r="C107" s="959">
        <v>1994</v>
      </c>
      <c r="D107" s="959"/>
      <c r="E107" s="956" t="s">
        <v>219</v>
      </c>
      <c r="F107" s="959">
        <v>9</v>
      </c>
      <c r="G107" s="959">
        <v>2</v>
      </c>
      <c r="H107" s="963">
        <v>4965.5</v>
      </c>
      <c r="I107" s="963">
        <v>4214.3999999999996</v>
      </c>
      <c r="J107" s="963">
        <f>I107-117.1</f>
        <v>4097.2999999999993</v>
      </c>
      <c r="K107" s="956">
        <v>171</v>
      </c>
      <c r="L107" s="965">
        <v>13296021.5</v>
      </c>
      <c r="M107" s="963">
        <v>0</v>
      </c>
      <c r="N107" s="963">
        <v>0</v>
      </c>
      <c r="O107" s="963">
        <v>13296021.5</v>
      </c>
      <c r="P107" s="963">
        <v>0</v>
      </c>
      <c r="Q107" s="963">
        <v>0</v>
      </c>
      <c r="R107" s="964">
        <v>2023</v>
      </c>
      <c r="S107" s="988">
        <v>2023</v>
      </c>
      <c r="U107" s="967"/>
      <c r="X107" s="967"/>
    </row>
    <row r="108" spans="1:24" s="966" customFormat="1" ht="40.15" customHeight="1">
      <c r="A108" s="956">
        <v>74</v>
      </c>
      <c r="B108" s="986" t="s">
        <v>1525</v>
      </c>
      <c r="C108" s="959">
        <v>1980</v>
      </c>
      <c r="D108" s="959"/>
      <c r="E108" s="956" t="s">
        <v>219</v>
      </c>
      <c r="F108" s="959">
        <v>9</v>
      </c>
      <c r="G108" s="959">
        <v>3</v>
      </c>
      <c r="H108" s="963">
        <v>6541.7</v>
      </c>
      <c r="I108" s="963">
        <v>5769.5</v>
      </c>
      <c r="J108" s="963">
        <f>I108-180.4</f>
        <v>5589.1</v>
      </c>
      <c r="K108" s="956">
        <v>217</v>
      </c>
      <c r="L108" s="965">
        <v>18071290.91</v>
      </c>
      <c r="M108" s="963">
        <v>0</v>
      </c>
      <c r="N108" s="963">
        <v>0</v>
      </c>
      <c r="O108" s="963">
        <v>18071290.91</v>
      </c>
      <c r="P108" s="963">
        <v>0</v>
      </c>
      <c r="Q108" s="963">
        <v>0</v>
      </c>
      <c r="R108" s="964">
        <v>2023</v>
      </c>
      <c r="S108" s="988">
        <v>2023</v>
      </c>
      <c r="U108" s="967"/>
      <c r="X108" s="967"/>
    </row>
    <row r="109" spans="1:24" s="966" customFormat="1" ht="36" customHeight="1">
      <c r="A109" s="956">
        <v>75</v>
      </c>
      <c r="B109" s="986" t="s">
        <v>1899</v>
      </c>
      <c r="C109" s="959">
        <v>1988</v>
      </c>
      <c r="D109" s="959"/>
      <c r="E109" s="956" t="s">
        <v>218</v>
      </c>
      <c r="F109" s="959">
        <v>9</v>
      </c>
      <c r="G109" s="959">
        <v>2</v>
      </c>
      <c r="H109" s="963">
        <v>8747.6</v>
      </c>
      <c r="I109" s="963">
        <v>7951.3</v>
      </c>
      <c r="J109" s="963">
        <f>I109</f>
        <v>7951.3</v>
      </c>
      <c r="K109" s="956">
        <v>324</v>
      </c>
      <c r="L109" s="965">
        <v>8476311.6199999992</v>
      </c>
      <c r="M109" s="963">
        <v>0</v>
      </c>
      <c r="N109" s="963">
        <v>0</v>
      </c>
      <c r="O109" s="963">
        <v>8476311.6199999992</v>
      </c>
      <c r="P109" s="963">
        <v>0</v>
      </c>
      <c r="Q109" s="963">
        <v>0</v>
      </c>
      <c r="R109" s="964">
        <v>2023</v>
      </c>
      <c r="S109" s="988">
        <v>2023</v>
      </c>
      <c r="U109" s="967"/>
      <c r="X109" s="967"/>
    </row>
    <row r="110" spans="1:24" s="966" customFormat="1" ht="36" customHeight="1">
      <c r="A110" s="956">
        <v>76</v>
      </c>
      <c r="B110" s="986" t="s">
        <v>1526</v>
      </c>
      <c r="C110" s="959">
        <v>1984</v>
      </c>
      <c r="D110" s="959"/>
      <c r="E110" s="956" t="s">
        <v>218</v>
      </c>
      <c r="F110" s="959">
        <v>12</v>
      </c>
      <c r="G110" s="959">
        <v>2</v>
      </c>
      <c r="H110" s="963">
        <v>5515.9</v>
      </c>
      <c r="I110" s="963">
        <v>3902.7</v>
      </c>
      <c r="J110" s="963">
        <f>I110-166.9</f>
        <v>3735.7999999999997</v>
      </c>
      <c r="K110" s="956">
        <v>164</v>
      </c>
      <c r="L110" s="965">
        <v>3409632.18</v>
      </c>
      <c r="M110" s="963">
        <v>0</v>
      </c>
      <c r="N110" s="963">
        <v>0</v>
      </c>
      <c r="O110" s="963">
        <v>3409632.18</v>
      </c>
      <c r="P110" s="963">
        <v>0</v>
      </c>
      <c r="Q110" s="963">
        <v>0</v>
      </c>
      <c r="R110" s="964">
        <v>2023</v>
      </c>
      <c r="S110" s="988">
        <v>2023</v>
      </c>
      <c r="U110" s="967"/>
      <c r="X110" s="967"/>
    </row>
    <row r="111" spans="1:24" s="966" customFormat="1" ht="40.15" customHeight="1">
      <c r="A111" s="956">
        <v>77</v>
      </c>
      <c r="B111" s="986" t="s">
        <v>1859</v>
      </c>
      <c r="C111" s="957">
        <v>1965</v>
      </c>
      <c r="D111" s="957"/>
      <c r="E111" s="956" t="s">
        <v>218</v>
      </c>
      <c r="F111" s="957">
        <v>4</v>
      </c>
      <c r="G111" s="957">
        <v>4</v>
      </c>
      <c r="H111" s="963">
        <v>2517.1</v>
      </c>
      <c r="I111" s="963">
        <v>2334.5</v>
      </c>
      <c r="J111" s="963">
        <v>2334.5</v>
      </c>
      <c r="K111" s="964">
        <v>103</v>
      </c>
      <c r="L111" s="971">
        <v>10632111.35</v>
      </c>
      <c r="M111" s="968">
        <v>0</v>
      </c>
      <c r="N111" s="968">
        <v>0</v>
      </c>
      <c r="O111" s="968">
        <v>10632111.35</v>
      </c>
      <c r="P111" s="968">
        <v>0</v>
      </c>
      <c r="Q111" s="968">
        <v>0</v>
      </c>
      <c r="R111" s="957">
        <v>2023</v>
      </c>
      <c r="S111" s="988">
        <v>2023</v>
      </c>
      <c r="U111" s="967"/>
      <c r="X111" s="967"/>
    </row>
    <row r="112" spans="1:24" s="966" customFormat="1" ht="40.15" customHeight="1">
      <c r="A112" s="956">
        <v>78</v>
      </c>
      <c r="B112" s="984" t="s">
        <v>1789</v>
      </c>
      <c r="C112" s="989">
        <v>1964</v>
      </c>
      <c r="D112" s="989"/>
      <c r="E112" s="956" t="s">
        <v>218</v>
      </c>
      <c r="F112" s="989">
        <v>2</v>
      </c>
      <c r="G112" s="989">
        <v>2</v>
      </c>
      <c r="H112" s="963">
        <v>634.5</v>
      </c>
      <c r="I112" s="963">
        <v>634.5</v>
      </c>
      <c r="J112" s="963">
        <v>416.4</v>
      </c>
      <c r="K112" s="956">
        <v>28</v>
      </c>
      <c r="L112" s="965">
        <v>3645690.17</v>
      </c>
      <c r="M112" s="990">
        <v>0</v>
      </c>
      <c r="N112" s="963">
        <v>0</v>
      </c>
      <c r="O112" s="963">
        <v>3645690.17</v>
      </c>
      <c r="P112" s="963">
        <v>0</v>
      </c>
      <c r="Q112" s="963">
        <v>0</v>
      </c>
      <c r="R112" s="957">
        <v>2023</v>
      </c>
      <c r="S112" s="988">
        <v>2023</v>
      </c>
      <c r="U112" s="967"/>
      <c r="X112" s="967"/>
    </row>
    <row r="113" spans="1:24" s="966" customFormat="1" ht="40.15" customHeight="1">
      <c r="A113" s="956">
        <v>79</v>
      </c>
      <c r="B113" s="984" t="s">
        <v>1790</v>
      </c>
      <c r="C113" s="989">
        <v>1972</v>
      </c>
      <c r="D113" s="989"/>
      <c r="E113" s="956" t="s">
        <v>218</v>
      </c>
      <c r="F113" s="989">
        <v>2</v>
      </c>
      <c r="G113" s="989">
        <v>2</v>
      </c>
      <c r="H113" s="963">
        <v>730.3</v>
      </c>
      <c r="I113" s="963">
        <v>730.3</v>
      </c>
      <c r="J113" s="963">
        <v>473.2</v>
      </c>
      <c r="K113" s="956">
        <v>31</v>
      </c>
      <c r="L113" s="965">
        <v>4164223.78</v>
      </c>
      <c r="M113" s="990">
        <v>0</v>
      </c>
      <c r="N113" s="963">
        <v>0</v>
      </c>
      <c r="O113" s="963">
        <v>4164223.78</v>
      </c>
      <c r="P113" s="963">
        <v>0</v>
      </c>
      <c r="Q113" s="963">
        <v>0</v>
      </c>
      <c r="R113" s="957">
        <v>2023</v>
      </c>
      <c r="S113" s="988">
        <v>2023</v>
      </c>
      <c r="U113" s="967"/>
      <c r="X113" s="967"/>
    </row>
    <row r="114" spans="1:24" s="966" customFormat="1" ht="36" customHeight="1">
      <c r="A114" s="956">
        <v>80</v>
      </c>
      <c r="B114" s="986" t="s">
        <v>1487</v>
      </c>
      <c r="C114" s="956">
        <v>1978</v>
      </c>
      <c r="D114" s="956"/>
      <c r="E114" s="956" t="s">
        <v>219</v>
      </c>
      <c r="F114" s="956">
        <v>5</v>
      </c>
      <c r="G114" s="956">
        <v>6</v>
      </c>
      <c r="H114" s="968">
        <v>4963.1000000000004</v>
      </c>
      <c r="I114" s="968">
        <v>4570.1000000000004</v>
      </c>
      <c r="J114" s="968">
        <v>4570.1000000000004</v>
      </c>
      <c r="K114" s="959">
        <v>145</v>
      </c>
      <c r="L114" s="971">
        <v>9488048.2799999993</v>
      </c>
      <c r="M114" s="985">
        <v>0</v>
      </c>
      <c r="N114" s="985">
        <v>0</v>
      </c>
      <c r="O114" s="985">
        <v>9488048.2799999993</v>
      </c>
      <c r="P114" s="963">
        <v>0</v>
      </c>
      <c r="Q114" s="985">
        <v>0</v>
      </c>
      <c r="R114" s="964">
        <v>2023</v>
      </c>
      <c r="S114" s="988">
        <v>2023</v>
      </c>
      <c r="U114" s="967"/>
      <c r="X114" s="967"/>
    </row>
    <row r="115" spans="1:24" s="966" customFormat="1" ht="39.6" customHeight="1">
      <c r="A115" s="1163" t="s">
        <v>1057</v>
      </c>
      <c r="B115" s="1164"/>
      <c r="C115" s="1164"/>
      <c r="D115" s="1164"/>
      <c r="E115" s="1164"/>
      <c r="F115" s="1164"/>
      <c r="G115" s="1165"/>
      <c r="H115" s="968">
        <f>H116</f>
        <v>380</v>
      </c>
      <c r="I115" s="968">
        <f t="shared" ref="I115:Q115" si="24">I116</f>
        <v>371.2</v>
      </c>
      <c r="J115" s="968">
        <f t="shared" si="24"/>
        <v>330.9</v>
      </c>
      <c r="K115" s="958">
        <f t="shared" si="24"/>
        <v>15</v>
      </c>
      <c r="L115" s="971">
        <f t="shared" si="24"/>
        <v>3460390.15</v>
      </c>
      <c r="M115" s="968">
        <f t="shared" si="24"/>
        <v>0</v>
      </c>
      <c r="N115" s="968">
        <f t="shared" si="24"/>
        <v>0</v>
      </c>
      <c r="O115" s="968">
        <f t="shared" si="24"/>
        <v>3460390.15</v>
      </c>
      <c r="P115" s="968">
        <f t="shared" si="24"/>
        <v>0</v>
      </c>
      <c r="Q115" s="968">
        <f t="shared" si="24"/>
        <v>0</v>
      </c>
      <c r="R115" s="968" t="s">
        <v>40</v>
      </c>
      <c r="S115" s="968" t="s">
        <v>40</v>
      </c>
      <c r="U115" s="967"/>
      <c r="X115" s="967"/>
    </row>
    <row r="116" spans="1:24" s="966" customFormat="1" ht="36" customHeight="1">
      <c r="A116" s="956">
        <v>81</v>
      </c>
      <c r="B116" s="976" t="s">
        <v>1448</v>
      </c>
      <c r="C116" s="956">
        <v>1970</v>
      </c>
      <c r="D116" s="956"/>
      <c r="E116" s="956" t="s">
        <v>218</v>
      </c>
      <c r="F116" s="956">
        <v>2</v>
      </c>
      <c r="G116" s="956">
        <v>2</v>
      </c>
      <c r="H116" s="968">
        <v>380</v>
      </c>
      <c r="I116" s="968">
        <v>371.2</v>
      </c>
      <c r="J116" s="968">
        <v>330.9</v>
      </c>
      <c r="K116" s="959">
        <v>15</v>
      </c>
      <c r="L116" s="971">
        <v>3460390.15</v>
      </c>
      <c r="M116" s="985">
        <v>0</v>
      </c>
      <c r="N116" s="985">
        <v>0</v>
      </c>
      <c r="O116" s="985">
        <v>3460390.15</v>
      </c>
      <c r="P116" s="963">
        <v>0</v>
      </c>
      <c r="Q116" s="985">
        <v>0</v>
      </c>
      <c r="R116" s="991" t="s">
        <v>1383</v>
      </c>
      <c r="S116" s="991" t="s">
        <v>1383</v>
      </c>
      <c r="U116" s="967"/>
      <c r="X116" s="967"/>
    </row>
    <row r="117" spans="1:24" s="982" customFormat="1" ht="39.6" customHeight="1">
      <c r="A117" s="1163" t="s">
        <v>1976</v>
      </c>
      <c r="B117" s="1164"/>
      <c r="C117" s="1164"/>
      <c r="D117" s="1164"/>
      <c r="E117" s="1164"/>
      <c r="F117" s="1164"/>
      <c r="G117" s="1165"/>
      <c r="H117" s="968">
        <f>H118</f>
        <v>833.5</v>
      </c>
      <c r="I117" s="968">
        <f t="shared" ref="I117:Q117" si="25">I118</f>
        <v>807.75</v>
      </c>
      <c r="J117" s="968">
        <f t="shared" si="25"/>
        <v>769.36</v>
      </c>
      <c r="K117" s="958">
        <f t="shared" si="25"/>
        <v>18</v>
      </c>
      <c r="L117" s="971">
        <f t="shared" si="25"/>
        <v>3386423.36</v>
      </c>
      <c r="M117" s="968">
        <f t="shared" si="25"/>
        <v>0</v>
      </c>
      <c r="N117" s="968">
        <f t="shared" si="25"/>
        <v>0</v>
      </c>
      <c r="O117" s="968">
        <f t="shared" si="25"/>
        <v>3386423.36</v>
      </c>
      <c r="P117" s="968">
        <f t="shared" si="25"/>
        <v>0</v>
      </c>
      <c r="Q117" s="968">
        <f t="shared" si="25"/>
        <v>0</v>
      </c>
      <c r="R117" s="968" t="s">
        <v>40</v>
      </c>
      <c r="S117" s="968" t="s">
        <v>40</v>
      </c>
      <c r="U117" s="967"/>
      <c r="X117" s="967"/>
    </row>
    <row r="118" spans="1:24" s="982" customFormat="1" ht="39.6" customHeight="1">
      <c r="A118" s="956">
        <v>82</v>
      </c>
      <c r="B118" s="984" t="s">
        <v>1860</v>
      </c>
      <c r="C118" s="956">
        <v>1983</v>
      </c>
      <c r="D118" s="956"/>
      <c r="E118" s="956" t="s">
        <v>218</v>
      </c>
      <c r="F118" s="956">
        <v>3</v>
      </c>
      <c r="G118" s="956">
        <v>1</v>
      </c>
      <c r="H118" s="968">
        <v>833.5</v>
      </c>
      <c r="I118" s="968">
        <v>807.75</v>
      </c>
      <c r="J118" s="968">
        <v>769.36</v>
      </c>
      <c r="K118" s="959">
        <v>18</v>
      </c>
      <c r="L118" s="971">
        <v>3386423.36</v>
      </c>
      <c r="M118" s="985">
        <v>0</v>
      </c>
      <c r="N118" s="985">
        <v>0</v>
      </c>
      <c r="O118" s="985">
        <v>3386423.36</v>
      </c>
      <c r="P118" s="963">
        <v>0</v>
      </c>
      <c r="Q118" s="985">
        <v>0</v>
      </c>
      <c r="R118" s="991" t="s">
        <v>1383</v>
      </c>
      <c r="S118" s="991" t="s">
        <v>1383</v>
      </c>
      <c r="U118" s="967"/>
      <c r="X118" s="967"/>
    </row>
    <row r="119" spans="1:24" s="966" customFormat="1" ht="37.15" customHeight="1">
      <c r="A119" s="1163" t="s">
        <v>1070</v>
      </c>
      <c r="B119" s="1164"/>
      <c r="C119" s="1164"/>
      <c r="D119" s="1164"/>
      <c r="E119" s="1164"/>
      <c r="F119" s="1164"/>
      <c r="G119" s="1165"/>
      <c r="H119" s="968">
        <f>SUM(H120:H122)</f>
        <v>5752.6</v>
      </c>
      <c r="I119" s="968">
        <f t="shared" ref="I119:O119" si="26">SUM(I120:I122)</f>
        <v>5752.6</v>
      </c>
      <c r="J119" s="968">
        <f t="shared" si="26"/>
        <v>4146.2</v>
      </c>
      <c r="K119" s="958">
        <f t="shared" si="26"/>
        <v>174</v>
      </c>
      <c r="L119" s="971">
        <f t="shared" si="26"/>
        <v>23240393.039999999</v>
      </c>
      <c r="M119" s="968">
        <f t="shared" si="26"/>
        <v>0</v>
      </c>
      <c r="N119" s="968">
        <f t="shared" si="26"/>
        <v>0</v>
      </c>
      <c r="O119" s="968">
        <f t="shared" si="26"/>
        <v>23240393.039999999</v>
      </c>
      <c r="P119" s="968">
        <f>SUM(P120:P122)</f>
        <v>0</v>
      </c>
      <c r="Q119" s="968">
        <f t="shared" ref="Q119" si="27">SUM(Q120:Q122)</f>
        <v>0</v>
      </c>
      <c r="R119" s="968" t="s">
        <v>40</v>
      </c>
      <c r="S119" s="968" t="s">
        <v>40</v>
      </c>
      <c r="U119" s="967"/>
      <c r="X119" s="967"/>
    </row>
    <row r="120" spans="1:24" s="966" customFormat="1" ht="47.25" customHeight="1">
      <c r="A120" s="956">
        <v>83</v>
      </c>
      <c r="B120" s="976" t="s">
        <v>1900</v>
      </c>
      <c r="C120" s="956">
        <v>1993</v>
      </c>
      <c r="D120" s="956"/>
      <c r="E120" s="956" t="s">
        <v>218</v>
      </c>
      <c r="F120" s="956">
        <v>3</v>
      </c>
      <c r="G120" s="956">
        <v>2</v>
      </c>
      <c r="H120" s="963">
        <v>1245.8</v>
      </c>
      <c r="I120" s="963">
        <v>1245.8</v>
      </c>
      <c r="J120" s="963">
        <v>1196.8</v>
      </c>
      <c r="K120" s="964">
        <v>53</v>
      </c>
      <c r="L120" s="971">
        <v>13676038.640000001</v>
      </c>
      <c r="M120" s="963">
        <v>0</v>
      </c>
      <c r="N120" s="963">
        <v>0</v>
      </c>
      <c r="O120" s="963">
        <f>L120</f>
        <v>13676038.640000001</v>
      </c>
      <c r="P120" s="963">
        <v>0</v>
      </c>
      <c r="Q120" s="963">
        <v>0</v>
      </c>
      <c r="R120" s="991" t="s">
        <v>1383</v>
      </c>
      <c r="S120" s="991" t="s">
        <v>1383</v>
      </c>
      <c r="U120" s="967"/>
      <c r="X120" s="967"/>
    </row>
    <row r="121" spans="1:24" s="966" customFormat="1" ht="36" customHeight="1">
      <c r="A121" s="956">
        <v>84</v>
      </c>
      <c r="B121" s="976" t="s">
        <v>1384</v>
      </c>
      <c r="C121" s="956">
        <v>1962</v>
      </c>
      <c r="D121" s="956"/>
      <c r="E121" s="956" t="s">
        <v>218</v>
      </c>
      <c r="F121" s="956">
        <v>2</v>
      </c>
      <c r="G121" s="956">
        <v>2</v>
      </c>
      <c r="H121" s="963">
        <v>369.5</v>
      </c>
      <c r="I121" s="963">
        <v>369.5</v>
      </c>
      <c r="J121" s="963">
        <v>369.5</v>
      </c>
      <c r="K121" s="964">
        <v>10</v>
      </c>
      <c r="L121" s="971">
        <v>1714553.24</v>
      </c>
      <c r="M121" s="963">
        <v>0</v>
      </c>
      <c r="N121" s="963">
        <v>0</v>
      </c>
      <c r="O121" s="963">
        <v>1714553.24</v>
      </c>
      <c r="P121" s="963">
        <v>0</v>
      </c>
      <c r="Q121" s="963">
        <v>0</v>
      </c>
      <c r="R121" s="991" t="s">
        <v>1383</v>
      </c>
      <c r="S121" s="991" t="s">
        <v>1383</v>
      </c>
      <c r="U121" s="967"/>
      <c r="X121" s="967"/>
    </row>
    <row r="122" spans="1:24" s="966" customFormat="1" ht="36" customHeight="1">
      <c r="A122" s="956">
        <v>85</v>
      </c>
      <c r="B122" s="976" t="s">
        <v>1385</v>
      </c>
      <c r="C122" s="956">
        <v>1975</v>
      </c>
      <c r="D122" s="956"/>
      <c r="E122" s="956" t="s">
        <v>218</v>
      </c>
      <c r="F122" s="956">
        <v>5</v>
      </c>
      <c r="G122" s="956">
        <v>4</v>
      </c>
      <c r="H122" s="963">
        <v>4137.3</v>
      </c>
      <c r="I122" s="963">
        <v>4137.3</v>
      </c>
      <c r="J122" s="963">
        <v>2579.9</v>
      </c>
      <c r="K122" s="964">
        <v>111</v>
      </c>
      <c r="L122" s="971">
        <v>7849801.1600000001</v>
      </c>
      <c r="M122" s="963">
        <v>0</v>
      </c>
      <c r="N122" s="963">
        <v>0</v>
      </c>
      <c r="O122" s="963">
        <v>7849801.1600000001</v>
      </c>
      <c r="P122" s="963">
        <v>0</v>
      </c>
      <c r="Q122" s="963">
        <v>0</v>
      </c>
      <c r="R122" s="991" t="s">
        <v>1383</v>
      </c>
      <c r="S122" s="991" t="s">
        <v>1383</v>
      </c>
      <c r="U122" s="967"/>
      <c r="X122" s="967"/>
    </row>
    <row r="123" spans="1:24" ht="36" customHeight="1">
      <c r="A123" s="1163" t="s">
        <v>1249</v>
      </c>
      <c r="B123" s="1164"/>
      <c r="C123" s="1164"/>
      <c r="D123" s="1164"/>
      <c r="E123" s="1164"/>
      <c r="F123" s="1164"/>
      <c r="G123" s="1165"/>
      <c r="H123" s="968">
        <f>SUM(H124:H125)</f>
        <v>1575.79</v>
      </c>
      <c r="I123" s="968">
        <f t="shared" ref="I123:Q123" si="28">SUM(I124:I125)</f>
        <v>1475.8</v>
      </c>
      <c r="J123" s="968">
        <f t="shared" si="28"/>
        <v>1411.9</v>
      </c>
      <c r="K123" s="958">
        <f t="shared" si="28"/>
        <v>57</v>
      </c>
      <c r="L123" s="971">
        <f t="shared" si="28"/>
        <v>10897874.880000001</v>
      </c>
      <c r="M123" s="968">
        <f t="shared" si="28"/>
        <v>0</v>
      </c>
      <c r="N123" s="968">
        <f t="shared" si="28"/>
        <v>0</v>
      </c>
      <c r="O123" s="968">
        <f t="shared" si="28"/>
        <v>10897874.880000001</v>
      </c>
      <c r="P123" s="968">
        <f t="shared" si="28"/>
        <v>0</v>
      </c>
      <c r="Q123" s="968">
        <f t="shared" si="28"/>
        <v>0</v>
      </c>
      <c r="R123" s="968" t="s">
        <v>40</v>
      </c>
      <c r="S123" s="968" t="s">
        <v>40</v>
      </c>
      <c r="U123" s="967"/>
      <c r="X123" s="967"/>
    </row>
    <row r="124" spans="1:24" s="966" customFormat="1" ht="40.9" customHeight="1">
      <c r="A124" s="956">
        <v>86</v>
      </c>
      <c r="B124" s="986" t="s">
        <v>1091</v>
      </c>
      <c r="C124" s="956">
        <v>1955</v>
      </c>
      <c r="D124" s="986"/>
      <c r="E124" s="956" t="s">
        <v>218</v>
      </c>
      <c r="F124" s="957">
        <v>2</v>
      </c>
      <c r="G124" s="957">
        <v>2</v>
      </c>
      <c r="H124" s="968">
        <v>798.09</v>
      </c>
      <c r="I124" s="968">
        <v>731.4</v>
      </c>
      <c r="J124" s="968">
        <v>731.4</v>
      </c>
      <c r="K124" s="959">
        <v>31</v>
      </c>
      <c r="L124" s="971">
        <v>3764706.35</v>
      </c>
      <c r="M124" s="968">
        <v>0</v>
      </c>
      <c r="N124" s="968">
        <v>0</v>
      </c>
      <c r="O124" s="968">
        <f>L124</f>
        <v>3764706.35</v>
      </c>
      <c r="P124" s="968">
        <v>0</v>
      </c>
      <c r="Q124" s="968">
        <v>0</v>
      </c>
      <c r="R124" s="964">
        <v>2023</v>
      </c>
      <c r="S124" s="964">
        <v>2023</v>
      </c>
      <c r="U124" s="967"/>
      <c r="X124" s="967"/>
    </row>
    <row r="125" spans="1:24" s="966" customFormat="1" ht="42" customHeight="1">
      <c r="A125" s="956">
        <v>87</v>
      </c>
      <c r="B125" s="986" t="s">
        <v>1128</v>
      </c>
      <c r="C125" s="956">
        <v>1953</v>
      </c>
      <c r="D125" s="986"/>
      <c r="E125" s="956" t="s">
        <v>661</v>
      </c>
      <c r="F125" s="957">
        <v>2</v>
      </c>
      <c r="G125" s="957">
        <v>2</v>
      </c>
      <c r="H125" s="968">
        <v>777.7</v>
      </c>
      <c r="I125" s="968">
        <v>744.4</v>
      </c>
      <c r="J125" s="968">
        <v>680.5</v>
      </c>
      <c r="K125" s="959">
        <v>26</v>
      </c>
      <c r="L125" s="971">
        <v>7133168.5300000003</v>
      </c>
      <c r="M125" s="968">
        <v>0</v>
      </c>
      <c r="N125" s="968">
        <v>0</v>
      </c>
      <c r="O125" s="968">
        <f>L125</f>
        <v>7133168.5300000003</v>
      </c>
      <c r="P125" s="968">
        <v>0</v>
      </c>
      <c r="Q125" s="968">
        <v>0</v>
      </c>
      <c r="R125" s="964">
        <v>2023</v>
      </c>
      <c r="S125" s="964">
        <v>2023</v>
      </c>
      <c r="U125" s="967"/>
      <c r="X125" s="967"/>
    </row>
    <row r="126" spans="1:24" s="966" customFormat="1" ht="40.15" customHeight="1">
      <c r="A126" s="1163" t="s">
        <v>1250</v>
      </c>
      <c r="B126" s="1164"/>
      <c r="C126" s="1164"/>
      <c r="D126" s="1164"/>
      <c r="E126" s="1164"/>
      <c r="F126" s="1164"/>
      <c r="G126" s="1165"/>
      <c r="H126" s="968">
        <f>SUM(H127:H135)</f>
        <v>28307.899999999998</v>
      </c>
      <c r="I126" s="968">
        <f t="shared" ref="I126:Q126" si="29">SUM(I127:I135)</f>
        <v>28307.899999999998</v>
      </c>
      <c r="J126" s="968">
        <f t="shared" si="29"/>
        <v>23259.9</v>
      </c>
      <c r="K126" s="958">
        <f t="shared" si="29"/>
        <v>880</v>
      </c>
      <c r="L126" s="971">
        <f t="shared" si="29"/>
        <v>61066312.699999996</v>
      </c>
      <c r="M126" s="968">
        <f t="shared" si="29"/>
        <v>0</v>
      </c>
      <c r="N126" s="968">
        <f t="shared" si="29"/>
        <v>0</v>
      </c>
      <c r="O126" s="968">
        <f t="shared" si="29"/>
        <v>61066312.699999996</v>
      </c>
      <c r="P126" s="968">
        <f t="shared" si="29"/>
        <v>0</v>
      </c>
      <c r="Q126" s="968">
        <f t="shared" si="29"/>
        <v>0</v>
      </c>
      <c r="R126" s="968" t="s">
        <v>40</v>
      </c>
      <c r="S126" s="968" t="s">
        <v>40</v>
      </c>
      <c r="U126" s="967"/>
      <c r="X126" s="967"/>
    </row>
    <row r="127" spans="1:24" s="966" customFormat="1" ht="40.15" customHeight="1">
      <c r="A127" s="956">
        <v>88</v>
      </c>
      <c r="B127" s="976" t="s">
        <v>1280</v>
      </c>
      <c r="C127" s="957">
        <v>1994</v>
      </c>
      <c r="D127" s="957"/>
      <c r="E127" s="956" t="s">
        <v>218</v>
      </c>
      <c r="F127" s="957">
        <v>5</v>
      </c>
      <c r="G127" s="957">
        <v>2</v>
      </c>
      <c r="H127" s="968">
        <v>2030.3</v>
      </c>
      <c r="I127" s="968">
        <v>2030.3</v>
      </c>
      <c r="J127" s="968">
        <v>1595.9</v>
      </c>
      <c r="K127" s="959">
        <v>50</v>
      </c>
      <c r="L127" s="965">
        <v>2997228.03</v>
      </c>
      <c r="M127" s="968">
        <v>0</v>
      </c>
      <c r="N127" s="968">
        <v>0</v>
      </c>
      <c r="O127" s="963">
        <v>2997228.03</v>
      </c>
      <c r="P127" s="968">
        <v>0</v>
      </c>
      <c r="Q127" s="968">
        <v>0</v>
      </c>
      <c r="R127" s="957">
        <v>2023</v>
      </c>
      <c r="S127" s="957">
        <v>2023</v>
      </c>
      <c r="U127" s="967"/>
      <c r="X127" s="967"/>
    </row>
    <row r="128" spans="1:24" s="966" customFormat="1" ht="42" customHeight="1">
      <c r="A128" s="956">
        <v>89</v>
      </c>
      <c r="B128" s="976" t="s">
        <v>1281</v>
      </c>
      <c r="C128" s="957">
        <v>1983</v>
      </c>
      <c r="D128" s="957"/>
      <c r="E128" s="956" t="s">
        <v>219</v>
      </c>
      <c r="F128" s="957">
        <v>3</v>
      </c>
      <c r="G128" s="957">
        <v>3</v>
      </c>
      <c r="H128" s="968">
        <v>1609.6</v>
      </c>
      <c r="I128" s="968">
        <v>1609.6</v>
      </c>
      <c r="J128" s="968">
        <v>1070</v>
      </c>
      <c r="K128" s="959">
        <v>41</v>
      </c>
      <c r="L128" s="965">
        <v>3233418.31</v>
      </c>
      <c r="M128" s="968">
        <v>0</v>
      </c>
      <c r="N128" s="968">
        <v>0</v>
      </c>
      <c r="O128" s="963">
        <v>3233418.31</v>
      </c>
      <c r="P128" s="968">
        <v>0</v>
      </c>
      <c r="Q128" s="968">
        <v>0</v>
      </c>
      <c r="R128" s="957">
        <v>2023</v>
      </c>
      <c r="S128" s="957">
        <v>2023</v>
      </c>
      <c r="U128" s="967"/>
      <c r="X128" s="967"/>
    </row>
    <row r="129" spans="1:24" s="966" customFormat="1" ht="44.45" customHeight="1">
      <c r="A129" s="956">
        <v>90</v>
      </c>
      <c r="B129" s="976" t="s">
        <v>1213</v>
      </c>
      <c r="C129" s="957">
        <v>1983</v>
      </c>
      <c r="D129" s="957"/>
      <c r="E129" s="956" t="s">
        <v>218</v>
      </c>
      <c r="F129" s="957">
        <v>5</v>
      </c>
      <c r="G129" s="957">
        <v>7</v>
      </c>
      <c r="H129" s="968">
        <v>5209.7</v>
      </c>
      <c r="I129" s="968">
        <v>5209.7</v>
      </c>
      <c r="J129" s="968">
        <v>4729.3</v>
      </c>
      <c r="K129" s="959">
        <v>125</v>
      </c>
      <c r="L129" s="971">
        <v>11676822.52</v>
      </c>
      <c r="M129" s="968">
        <v>0</v>
      </c>
      <c r="N129" s="968">
        <v>0</v>
      </c>
      <c r="O129" s="968">
        <v>11676822.52</v>
      </c>
      <c r="P129" s="968">
        <v>0</v>
      </c>
      <c r="Q129" s="968">
        <v>0</v>
      </c>
      <c r="R129" s="957">
        <v>2023</v>
      </c>
      <c r="S129" s="957">
        <v>2023</v>
      </c>
      <c r="U129" s="967"/>
      <c r="X129" s="967"/>
    </row>
    <row r="130" spans="1:24" s="966" customFormat="1" ht="44.45" customHeight="1">
      <c r="A130" s="956">
        <v>91</v>
      </c>
      <c r="B130" s="976" t="s">
        <v>1282</v>
      </c>
      <c r="C130" s="957">
        <v>1981</v>
      </c>
      <c r="D130" s="957"/>
      <c r="E130" s="956" t="s">
        <v>219</v>
      </c>
      <c r="F130" s="957">
        <v>5</v>
      </c>
      <c r="G130" s="957">
        <v>5</v>
      </c>
      <c r="H130" s="968">
        <v>4943.3</v>
      </c>
      <c r="I130" s="968">
        <v>4943.3</v>
      </c>
      <c r="J130" s="968">
        <v>3748.9</v>
      </c>
      <c r="K130" s="959">
        <v>108</v>
      </c>
      <c r="L130" s="971">
        <v>11092981.390000001</v>
      </c>
      <c r="M130" s="968">
        <v>0</v>
      </c>
      <c r="N130" s="968">
        <v>0</v>
      </c>
      <c r="O130" s="968">
        <v>11092981.390000001</v>
      </c>
      <c r="P130" s="968">
        <v>0</v>
      </c>
      <c r="Q130" s="968">
        <v>0</v>
      </c>
      <c r="R130" s="957">
        <v>2023</v>
      </c>
      <c r="S130" s="957">
        <v>2023</v>
      </c>
      <c r="U130" s="967"/>
      <c r="X130" s="967"/>
    </row>
    <row r="131" spans="1:24" s="966" customFormat="1" ht="42" customHeight="1">
      <c r="A131" s="956">
        <v>92</v>
      </c>
      <c r="B131" s="976" t="s">
        <v>1283</v>
      </c>
      <c r="C131" s="957">
        <v>1985</v>
      </c>
      <c r="D131" s="957"/>
      <c r="E131" s="956" t="s">
        <v>219</v>
      </c>
      <c r="F131" s="957">
        <v>5</v>
      </c>
      <c r="G131" s="957">
        <v>5</v>
      </c>
      <c r="H131" s="968">
        <v>3613.3</v>
      </c>
      <c r="I131" s="968">
        <v>3613.3</v>
      </c>
      <c r="J131" s="968">
        <v>3258.8</v>
      </c>
      <c r="K131" s="959">
        <v>141</v>
      </c>
      <c r="L131" s="965">
        <v>10084528.539999999</v>
      </c>
      <c r="M131" s="968">
        <v>0</v>
      </c>
      <c r="N131" s="968">
        <v>0</v>
      </c>
      <c r="O131" s="963">
        <v>10084528.539999999</v>
      </c>
      <c r="P131" s="968">
        <v>0</v>
      </c>
      <c r="Q131" s="968">
        <v>0</v>
      </c>
      <c r="R131" s="957">
        <v>2023</v>
      </c>
      <c r="S131" s="957">
        <v>2023</v>
      </c>
      <c r="U131" s="967"/>
      <c r="X131" s="967"/>
    </row>
    <row r="132" spans="1:24" s="966" customFormat="1" ht="36" customHeight="1">
      <c r="A132" s="956">
        <v>93</v>
      </c>
      <c r="B132" s="976" t="s">
        <v>1217</v>
      </c>
      <c r="C132" s="957">
        <v>1984</v>
      </c>
      <c r="D132" s="957">
        <v>2022</v>
      </c>
      <c r="E132" s="956" t="s">
        <v>218</v>
      </c>
      <c r="F132" s="957">
        <v>4</v>
      </c>
      <c r="G132" s="957">
        <v>3</v>
      </c>
      <c r="H132" s="968">
        <v>3248.7</v>
      </c>
      <c r="I132" s="968">
        <v>3248.7</v>
      </c>
      <c r="J132" s="968">
        <v>2298.6999999999998</v>
      </c>
      <c r="K132" s="959">
        <v>67</v>
      </c>
      <c r="L132" s="971">
        <v>10436668.699999999</v>
      </c>
      <c r="M132" s="968">
        <v>0</v>
      </c>
      <c r="N132" s="968">
        <v>0</v>
      </c>
      <c r="O132" s="968">
        <v>10436668.699999999</v>
      </c>
      <c r="P132" s="968">
        <v>0</v>
      </c>
      <c r="Q132" s="968">
        <v>0</v>
      </c>
      <c r="R132" s="957">
        <v>2023</v>
      </c>
      <c r="S132" s="957">
        <v>2023</v>
      </c>
      <c r="U132" s="967"/>
      <c r="X132" s="967"/>
    </row>
    <row r="133" spans="1:24" s="966" customFormat="1" ht="40.15" customHeight="1">
      <c r="A133" s="956">
        <v>94</v>
      </c>
      <c r="B133" s="976" t="s">
        <v>1284</v>
      </c>
      <c r="C133" s="957">
        <v>1974</v>
      </c>
      <c r="D133" s="957"/>
      <c r="E133" s="956" t="s">
        <v>218</v>
      </c>
      <c r="F133" s="957">
        <v>5</v>
      </c>
      <c r="G133" s="957">
        <v>2</v>
      </c>
      <c r="H133" s="968">
        <v>1953.6</v>
      </c>
      <c r="I133" s="968">
        <v>1953.6</v>
      </c>
      <c r="J133" s="968">
        <v>1797.6</v>
      </c>
      <c r="K133" s="959">
        <v>78</v>
      </c>
      <c r="L133" s="971">
        <v>3426085.88</v>
      </c>
      <c r="M133" s="968">
        <v>0</v>
      </c>
      <c r="N133" s="968">
        <v>0</v>
      </c>
      <c r="O133" s="968">
        <v>3426085.88</v>
      </c>
      <c r="P133" s="968">
        <v>0</v>
      </c>
      <c r="Q133" s="968">
        <v>0</v>
      </c>
      <c r="R133" s="957">
        <v>2023</v>
      </c>
      <c r="S133" s="957">
        <v>2023</v>
      </c>
      <c r="U133" s="967"/>
      <c r="X133" s="967"/>
    </row>
    <row r="134" spans="1:24" s="966" customFormat="1" ht="36" customHeight="1">
      <c r="A134" s="956">
        <v>95</v>
      </c>
      <c r="B134" s="976" t="s">
        <v>1078</v>
      </c>
      <c r="C134" s="957">
        <v>1981</v>
      </c>
      <c r="D134" s="957">
        <v>2022</v>
      </c>
      <c r="E134" s="956" t="s">
        <v>218</v>
      </c>
      <c r="F134" s="957">
        <v>5</v>
      </c>
      <c r="G134" s="957">
        <v>1</v>
      </c>
      <c r="H134" s="968">
        <v>3240.4</v>
      </c>
      <c r="I134" s="968">
        <v>3240.4</v>
      </c>
      <c r="J134" s="968">
        <v>2485.4</v>
      </c>
      <c r="K134" s="959">
        <v>180</v>
      </c>
      <c r="L134" s="971">
        <v>3390527.73</v>
      </c>
      <c r="M134" s="968">
        <v>0</v>
      </c>
      <c r="N134" s="968">
        <v>0</v>
      </c>
      <c r="O134" s="968">
        <v>3390527.73</v>
      </c>
      <c r="P134" s="968">
        <v>0</v>
      </c>
      <c r="Q134" s="968">
        <v>0</v>
      </c>
      <c r="R134" s="957">
        <v>2023</v>
      </c>
      <c r="S134" s="957">
        <v>2023</v>
      </c>
      <c r="U134" s="967"/>
      <c r="X134" s="967"/>
    </row>
    <row r="135" spans="1:24" s="966" customFormat="1" ht="40.9" customHeight="1">
      <c r="A135" s="956">
        <v>96</v>
      </c>
      <c r="B135" s="976" t="s">
        <v>1285</v>
      </c>
      <c r="C135" s="957">
        <v>1982</v>
      </c>
      <c r="D135" s="957"/>
      <c r="E135" s="956" t="s">
        <v>219</v>
      </c>
      <c r="F135" s="957">
        <v>5</v>
      </c>
      <c r="G135" s="957">
        <v>3</v>
      </c>
      <c r="H135" s="968">
        <v>2459</v>
      </c>
      <c r="I135" s="968">
        <v>2459</v>
      </c>
      <c r="J135" s="968">
        <v>2275.3000000000002</v>
      </c>
      <c r="K135" s="959">
        <v>90</v>
      </c>
      <c r="L135" s="971">
        <v>4728051.5999999996</v>
      </c>
      <c r="M135" s="968">
        <v>0</v>
      </c>
      <c r="N135" s="968">
        <v>0</v>
      </c>
      <c r="O135" s="968">
        <v>4728051.5999999996</v>
      </c>
      <c r="P135" s="968">
        <v>0</v>
      </c>
      <c r="Q135" s="968">
        <v>0</v>
      </c>
      <c r="R135" s="957">
        <v>2023</v>
      </c>
      <c r="S135" s="957">
        <v>2023</v>
      </c>
      <c r="U135" s="967"/>
      <c r="X135" s="967"/>
    </row>
    <row r="136" spans="1:24" s="979" customFormat="1" ht="38.450000000000003" customHeight="1">
      <c r="A136" s="1163" t="s">
        <v>1186</v>
      </c>
      <c r="B136" s="1164"/>
      <c r="C136" s="1164"/>
      <c r="D136" s="1164"/>
      <c r="E136" s="1164"/>
      <c r="F136" s="1164"/>
      <c r="G136" s="1165"/>
      <c r="H136" s="968">
        <f t="shared" ref="H136:Q136" si="30">SUM(H137:H148)</f>
        <v>28672.399999999994</v>
      </c>
      <c r="I136" s="968">
        <f t="shared" si="30"/>
        <v>25651.949999999997</v>
      </c>
      <c r="J136" s="968">
        <f t="shared" si="30"/>
        <v>21286.799999999999</v>
      </c>
      <c r="K136" s="958">
        <f t="shared" si="30"/>
        <v>851</v>
      </c>
      <c r="L136" s="971">
        <f t="shared" si="30"/>
        <v>69267012.790000007</v>
      </c>
      <c r="M136" s="968">
        <f t="shared" si="30"/>
        <v>0</v>
      </c>
      <c r="N136" s="968">
        <f t="shared" si="30"/>
        <v>0</v>
      </c>
      <c r="O136" s="968">
        <f t="shared" si="30"/>
        <v>69267012.790000007</v>
      </c>
      <c r="P136" s="968">
        <f t="shared" si="30"/>
        <v>0</v>
      </c>
      <c r="Q136" s="968">
        <f t="shared" si="30"/>
        <v>0</v>
      </c>
      <c r="R136" s="968" t="s">
        <v>40</v>
      </c>
      <c r="S136" s="968" t="s">
        <v>40</v>
      </c>
      <c r="U136" s="967"/>
      <c r="X136" s="967"/>
    </row>
    <row r="137" spans="1:24" s="979" customFormat="1" ht="38.450000000000003" customHeight="1">
      <c r="A137" s="956">
        <v>97</v>
      </c>
      <c r="B137" s="989" t="s">
        <v>1238</v>
      </c>
      <c r="C137" s="956">
        <v>1957</v>
      </c>
      <c r="D137" s="956"/>
      <c r="E137" s="956" t="s">
        <v>218</v>
      </c>
      <c r="F137" s="956">
        <v>3</v>
      </c>
      <c r="G137" s="956">
        <v>3</v>
      </c>
      <c r="H137" s="963">
        <v>1373.3</v>
      </c>
      <c r="I137" s="963">
        <v>1373.3</v>
      </c>
      <c r="J137" s="963">
        <v>1155.3</v>
      </c>
      <c r="K137" s="956">
        <v>40</v>
      </c>
      <c r="L137" s="965">
        <v>5959675.4000000004</v>
      </c>
      <c r="M137" s="968">
        <v>0</v>
      </c>
      <c r="N137" s="968">
        <v>0</v>
      </c>
      <c r="O137" s="963">
        <v>5959675.4000000004</v>
      </c>
      <c r="P137" s="968">
        <v>0</v>
      </c>
      <c r="Q137" s="968">
        <v>0</v>
      </c>
      <c r="R137" s="957">
        <v>2023</v>
      </c>
      <c r="S137" s="957">
        <v>2023</v>
      </c>
      <c r="U137" s="967"/>
      <c r="X137" s="967"/>
    </row>
    <row r="138" spans="1:24" s="979" customFormat="1" ht="38.450000000000003" customHeight="1">
      <c r="A138" s="956">
        <v>98</v>
      </c>
      <c r="B138" s="989" t="s">
        <v>1905</v>
      </c>
      <c r="C138" s="956">
        <v>1963</v>
      </c>
      <c r="D138" s="956"/>
      <c r="E138" s="956" t="s">
        <v>218</v>
      </c>
      <c r="F138" s="956">
        <v>3</v>
      </c>
      <c r="G138" s="956">
        <v>2</v>
      </c>
      <c r="H138" s="963">
        <v>1523.5</v>
      </c>
      <c r="I138" s="963">
        <v>1101.55</v>
      </c>
      <c r="J138" s="963">
        <v>524.1</v>
      </c>
      <c r="K138" s="956">
        <v>28</v>
      </c>
      <c r="L138" s="965">
        <v>12650529.51</v>
      </c>
      <c r="M138" s="968">
        <v>0</v>
      </c>
      <c r="N138" s="968">
        <v>0</v>
      </c>
      <c r="O138" s="963">
        <v>12650529.51</v>
      </c>
      <c r="P138" s="968">
        <v>0</v>
      </c>
      <c r="Q138" s="968">
        <v>0</v>
      </c>
      <c r="R138" s="957">
        <v>2023</v>
      </c>
      <c r="S138" s="957">
        <v>2023</v>
      </c>
      <c r="U138" s="967"/>
      <c r="X138" s="967"/>
    </row>
    <row r="139" spans="1:24" s="979" customFormat="1" ht="38.450000000000003" customHeight="1">
      <c r="A139" s="956">
        <v>99</v>
      </c>
      <c r="B139" s="989" t="s">
        <v>1906</v>
      </c>
      <c r="C139" s="956">
        <v>1965</v>
      </c>
      <c r="D139" s="956"/>
      <c r="E139" s="956" t="s">
        <v>218</v>
      </c>
      <c r="F139" s="956">
        <v>5</v>
      </c>
      <c r="G139" s="956">
        <v>3</v>
      </c>
      <c r="H139" s="963">
        <v>2979.5</v>
      </c>
      <c r="I139" s="963">
        <v>2416</v>
      </c>
      <c r="J139" s="963">
        <v>2416</v>
      </c>
      <c r="K139" s="956">
        <v>70</v>
      </c>
      <c r="L139" s="965">
        <v>5560290.5800000001</v>
      </c>
      <c r="M139" s="968">
        <v>0</v>
      </c>
      <c r="N139" s="968">
        <v>0</v>
      </c>
      <c r="O139" s="963">
        <v>5560290.5800000001</v>
      </c>
      <c r="P139" s="968">
        <v>0</v>
      </c>
      <c r="Q139" s="968">
        <v>0</v>
      </c>
      <c r="R139" s="957">
        <v>2023</v>
      </c>
      <c r="S139" s="957">
        <v>2023</v>
      </c>
      <c r="U139" s="967"/>
      <c r="X139" s="967"/>
    </row>
    <row r="140" spans="1:24" s="979" customFormat="1" ht="42.6" customHeight="1">
      <c r="A140" s="956">
        <v>100</v>
      </c>
      <c r="B140" s="989" t="s">
        <v>1907</v>
      </c>
      <c r="C140" s="956">
        <v>1949</v>
      </c>
      <c r="D140" s="956"/>
      <c r="E140" s="956" t="s">
        <v>218</v>
      </c>
      <c r="F140" s="956">
        <v>3</v>
      </c>
      <c r="G140" s="956">
        <v>3</v>
      </c>
      <c r="H140" s="963">
        <v>2081.1</v>
      </c>
      <c r="I140" s="963">
        <v>972.4</v>
      </c>
      <c r="J140" s="963">
        <v>862.3</v>
      </c>
      <c r="K140" s="956">
        <v>40</v>
      </c>
      <c r="L140" s="965">
        <v>6691864.0899999999</v>
      </c>
      <c r="M140" s="968">
        <v>0</v>
      </c>
      <c r="N140" s="968">
        <v>0</v>
      </c>
      <c r="O140" s="963">
        <v>6691864.0899999999</v>
      </c>
      <c r="P140" s="968">
        <v>0</v>
      </c>
      <c r="Q140" s="968">
        <v>0</v>
      </c>
      <c r="R140" s="957">
        <v>2023</v>
      </c>
      <c r="S140" s="957">
        <v>2023</v>
      </c>
      <c r="U140" s="967"/>
      <c r="X140" s="967"/>
    </row>
    <row r="141" spans="1:24" s="979" customFormat="1" ht="37.9" customHeight="1">
      <c r="A141" s="956">
        <v>101</v>
      </c>
      <c r="B141" s="989" t="s">
        <v>1908</v>
      </c>
      <c r="C141" s="956">
        <v>1952</v>
      </c>
      <c r="D141" s="956"/>
      <c r="E141" s="956" t="s">
        <v>218</v>
      </c>
      <c r="F141" s="956">
        <v>2</v>
      </c>
      <c r="G141" s="956">
        <v>2</v>
      </c>
      <c r="H141" s="963">
        <v>898.3</v>
      </c>
      <c r="I141" s="963">
        <v>898.3</v>
      </c>
      <c r="J141" s="963">
        <v>517</v>
      </c>
      <c r="K141" s="956">
        <v>18</v>
      </c>
      <c r="L141" s="965">
        <v>6619334.7000000002</v>
      </c>
      <c r="M141" s="968">
        <v>0</v>
      </c>
      <c r="N141" s="968">
        <v>0</v>
      </c>
      <c r="O141" s="963">
        <v>6619334.7000000002</v>
      </c>
      <c r="P141" s="968">
        <v>0</v>
      </c>
      <c r="Q141" s="968">
        <v>0</v>
      </c>
      <c r="R141" s="957">
        <v>2023</v>
      </c>
      <c r="S141" s="957">
        <v>2023</v>
      </c>
      <c r="U141" s="967"/>
      <c r="X141" s="967"/>
    </row>
    <row r="142" spans="1:24" s="979" customFormat="1" ht="36" customHeight="1">
      <c r="A142" s="956">
        <v>102</v>
      </c>
      <c r="B142" s="989" t="s">
        <v>1909</v>
      </c>
      <c r="C142" s="956">
        <v>1982</v>
      </c>
      <c r="D142" s="956"/>
      <c r="E142" s="956" t="s">
        <v>219</v>
      </c>
      <c r="F142" s="956">
        <v>5</v>
      </c>
      <c r="G142" s="956">
        <v>8</v>
      </c>
      <c r="H142" s="963">
        <v>6227.5</v>
      </c>
      <c r="I142" s="963">
        <v>6227.5</v>
      </c>
      <c r="J142" s="963">
        <v>4896.2</v>
      </c>
      <c r="K142" s="956">
        <v>236</v>
      </c>
      <c r="L142" s="965">
        <v>8417927.5099999998</v>
      </c>
      <c r="M142" s="968">
        <v>0</v>
      </c>
      <c r="N142" s="968">
        <v>0</v>
      </c>
      <c r="O142" s="963">
        <v>8417927.5099999998</v>
      </c>
      <c r="P142" s="968">
        <v>0</v>
      </c>
      <c r="Q142" s="968">
        <v>0</v>
      </c>
      <c r="R142" s="957">
        <v>2023</v>
      </c>
      <c r="S142" s="957">
        <v>2023</v>
      </c>
      <c r="U142" s="967"/>
      <c r="X142" s="967"/>
    </row>
    <row r="143" spans="1:24" s="979" customFormat="1" ht="42.6" customHeight="1">
      <c r="A143" s="956">
        <v>103</v>
      </c>
      <c r="B143" s="989" t="s">
        <v>1910</v>
      </c>
      <c r="C143" s="956">
        <v>1955</v>
      </c>
      <c r="D143" s="956"/>
      <c r="E143" s="956" t="s">
        <v>218</v>
      </c>
      <c r="F143" s="956">
        <v>2</v>
      </c>
      <c r="G143" s="956">
        <v>1</v>
      </c>
      <c r="H143" s="963">
        <v>589.5</v>
      </c>
      <c r="I143" s="963">
        <v>419.7</v>
      </c>
      <c r="J143" s="963">
        <v>419.7</v>
      </c>
      <c r="K143" s="956">
        <v>15</v>
      </c>
      <c r="L143" s="965">
        <v>3333137.57</v>
      </c>
      <c r="M143" s="968">
        <v>0</v>
      </c>
      <c r="N143" s="968">
        <v>0</v>
      </c>
      <c r="O143" s="963">
        <v>3333137.57</v>
      </c>
      <c r="P143" s="968">
        <v>0</v>
      </c>
      <c r="Q143" s="968">
        <v>0</v>
      </c>
      <c r="R143" s="957">
        <v>2023</v>
      </c>
      <c r="S143" s="957">
        <v>2023</v>
      </c>
      <c r="U143" s="967"/>
      <c r="X143" s="967"/>
    </row>
    <row r="144" spans="1:24" s="966" customFormat="1" ht="40.9" customHeight="1">
      <c r="A144" s="956">
        <v>104</v>
      </c>
      <c r="B144" s="989" t="s">
        <v>1777</v>
      </c>
      <c r="C144" s="956">
        <v>1953</v>
      </c>
      <c r="D144" s="956"/>
      <c r="E144" s="956" t="s">
        <v>218</v>
      </c>
      <c r="F144" s="956">
        <v>2</v>
      </c>
      <c r="G144" s="956">
        <v>1</v>
      </c>
      <c r="H144" s="963">
        <v>1076.7</v>
      </c>
      <c r="I144" s="963">
        <v>616.79999999999995</v>
      </c>
      <c r="J144" s="963">
        <v>547.29999999999995</v>
      </c>
      <c r="K144" s="956">
        <v>10</v>
      </c>
      <c r="L144" s="965">
        <v>3077746.65</v>
      </c>
      <c r="M144" s="968">
        <v>0</v>
      </c>
      <c r="N144" s="968">
        <v>0</v>
      </c>
      <c r="O144" s="963">
        <v>3077746.65</v>
      </c>
      <c r="P144" s="968">
        <v>0</v>
      </c>
      <c r="Q144" s="968">
        <v>0</v>
      </c>
      <c r="R144" s="957">
        <v>2023</v>
      </c>
      <c r="S144" s="957">
        <v>2023</v>
      </c>
      <c r="U144" s="967"/>
      <c r="X144" s="967"/>
    </row>
    <row r="145" spans="1:24" s="966" customFormat="1" ht="39.6" customHeight="1">
      <c r="A145" s="956">
        <v>105</v>
      </c>
      <c r="B145" s="989" t="s">
        <v>1914</v>
      </c>
      <c r="C145" s="956">
        <v>1960</v>
      </c>
      <c r="D145" s="956"/>
      <c r="E145" s="956" t="s">
        <v>218</v>
      </c>
      <c r="F145" s="956">
        <v>2</v>
      </c>
      <c r="G145" s="956">
        <v>2</v>
      </c>
      <c r="H145" s="963">
        <v>531.79999999999995</v>
      </c>
      <c r="I145" s="963">
        <v>471.3</v>
      </c>
      <c r="J145" s="963">
        <v>425.2</v>
      </c>
      <c r="K145" s="956">
        <v>30</v>
      </c>
      <c r="L145" s="965">
        <v>1992234.35</v>
      </c>
      <c r="M145" s="968">
        <v>0</v>
      </c>
      <c r="N145" s="968">
        <v>0</v>
      </c>
      <c r="O145" s="963">
        <v>1992234.35</v>
      </c>
      <c r="P145" s="968">
        <v>0</v>
      </c>
      <c r="Q145" s="968">
        <v>0</v>
      </c>
      <c r="R145" s="957">
        <v>2023</v>
      </c>
      <c r="S145" s="957">
        <v>2023</v>
      </c>
      <c r="U145" s="967"/>
      <c r="X145" s="967"/>
    </row>
    <row r="146" spans="1:24" s="966" customFormat="1" ht="51" customHeight="1">
      <c r="A146" s="956">
        <v>106</v>
      </c>
      <c r="B146" s="989" t="s">
        <v>1912</v>
      </c>
      <c r="C146" s="956">
        <v>1917</v>
      </c>
      <c r="D146" s="956"/>
      <c r="E146" s="956" t="s">
        <v>218</v>
      </c>
      <c r="F146" s="956">
        <v>2</v>
      </c>
      <c r="G146" s="956">
        <v>1</v>
      </c>
      <c r="H146" s="963">
        <v>259.7</v>
      </c>
      <c r="I146" s="963">
        <v>224</v>
      </c>
      <c r="J146" s="963">
        <v>224</v>
      </c>
      <c r="K146" s="956">
        <v>6</v>
      </c>
      <c r="L146" s="965">
        <v>2722911.92</v>
      </c>
      <c r="M146" s="968">
        <v>0</v>
      </c>
      <c r="N146" s="968">
        <v>0</v>
      </c>
      <c r="O146" s="963">
        <v>2722911.92</v>
      </c>
      <c r="P146" s="968">
        <v>0</v>
      </c>
      <c r="Q146" s="968">
        <v>0</v>
      </c>
      <c r="R146" s="957">
        <v>2023</v>
      </c>
      <c r="S146" s="957">
        <v>2023</v>
      </c>
      <c r="U146" s="967"/>
      <c r="X146" s="967"/>
    </row>
    <row r="147" spans="1:24" s="966" customFormat="1" ht="51" customHeight="1">
      <c r="A147" s="956">
        <v>107</v>
      </c>
      <c r="B147" s="992" t="s">
        <v>2101</v>
      </c>
      <c r="C147" s="993">
        <v>2009</v>
      </c>
      <c r="D147" s="993"/>
      <c r="E147" s="993" t="s">
        <v>219</v>
      </c>
      <c r="F147" s="993">
        <v>7</v>
      </c>
      <c r="G147" s="993">
        <v>1</v>
      </c>
      <c r="H147" s="994">
        <v>1801.1</v>
      </c>
      <c r="I147" s="994">
        <v>1600.7</v>
      </c>
      <c r="J147" s="994">
        <v>1367</v>
      </c>
      <c r="K147" s="993">
        <v>66</v>
      </c>
      <c r="L147" s="994">
        <v>3060340.13</v>
      </c>
      <c r="M147" s="968">
        <v>0</v>
      </c>
      <c r="N147" s="968">
        <v>0</v>
      </c>
      <c r="O147" s="994">
        <v>3060340.13</v>
      </c>
      <c r="P147" s="968">
        <v>0</v>
      </c>
      <c r="Q147" s="968">
        <v>0</v>
      </c>
      <c r="R147" s="957">
        <v>2023</v>
      </c>
      <c r="S147" s="957">
        <v>2023</v>
      </c>
      <c r="U147" s="967"/>
      <c r="X147" s="967"/>
    </row>
    <row r="148" spans="1:24" s="966" customFormat="1" ht="51" customHeight="1">
      <c r="A148" s="956">
        <v>108</v>
      </c>
      <c r="B148" s="989" t="s">
        <v>1913</v>
      </c>
      <c r="C148" s="956">
        <v>1999</v>
      </c>
      <c r="D148" s="956"/>
      <c r="E148" s="956" t="s">
        <v>219</v>
      </c>
      <c r="F148" s="956">
        <v>9</v>
      </c>
      <c r="G148" s="956">
        <v>3</v>
      </c>
      <c r="H148" s="963">
        <v>9330.4</v>
      </c>
      <c r="I148" s="963">
        <v>9330.4</v>
      </c>
      <c r="J148" s="963">
        <v>7932.7</v>
      </c>
      <c r="K148" s="956">
        <v>292</v>
      </c>
      <c r="L148" s="965">
        <v>9181020.3800000008</v>
      </c>
      <c r="M148" s="968">
        <v>0</v>
      </c>
      <c r="N148" s="968">
        <v>0</v>
      </c>
      <c r="O148" s="963">
        <v>9181020.3800000008</v>
      </c>
      <c r="P148" s="968">
        <v>0</v>
      </c>
      <c r="Q148" s="968">
        <v>0</v>
      </c>
      <c r="R148" s="957">
        <v>2023</v>
      </c>
      <c r="S148" s="957">
        <v>2023</v>
      </c>
      <c r="U148" s="967"/>
      <c r="X148" s="967"/>
    </row>
    <row r="149" spans="1:24" s="966" customFormat="1" ht="36.75" customHeight="1">
      <c r="A149" s="1163" t="s">
        <v>1794</v>
      </c>
      <c r="B149" s="1164"/>
      <c r="C149" s="1164"/>
      <c r="D149" s="1164"/>
      <c r="E149" s="1164"/>
      <c r="F149" s="1164"/>
      <c r="G149" s="1165"/>
      <c r="H149" s="963">
        <f>H150</f>
        <v>953.1</v>
      </c>
      <c r="I149" s="963">
        <f t="shared" ref="I149:Q149" si="31">I150</f>
        <v>849.2</v>
      </c>
      <c r="J149" s="963">
        <f>J150</f>
        <v>849.2</v>
      </c>
      <c r="K149" s="963">
        <f t="shared" si="31"/>
        <v>36</v>
      </c>
      <c r="L149" s="965">
        <f t="shared" si="31"/>
        <v>1018891.44</v>
      </c>
      <c r="M149" s="963">
        <f t="shared" si="31"/>
        <v>0</v>
      </c>
      <c r="N149" s="963">
        <f t="shared" si="31"/>
        <v>0</v>
      </c>
      <c r="O149" s="963">
        <f t="shared" si="31"/>
        <v>1018891.44</v>
      </c>
      <c r="P149" s="963">
        <f t="shared" si="31"/>
        <v>0</v>
      </c>
      <c r="Q149" s="963">
        <f t="shared" si="31"/>
        <v>0</v>
      </c>
      <c r="R149" s="968" t="s">
        <v>40</v>
      </c>
      <c r="S149" s="968" t="s">
        <v>40</v>
      </c>
      <c r="U149" s="967"/>
      <c r="X149" s="967"/>
    </row>
    <row r="150" spans="1:24" s="966" customFormat="1" ht="43.5" customHeight="1">
      <c r="A150" s="956">
        <v>109</v>
      </c>
      <c r="B150" s="989" t="s">
        <v>1795</v>
      </c>
      <c r="C150" s="956">
        <v>1981</v>
      </c>
      <c r="D150" s="956"/>
      <c r="E150" s="956" t="s">
        <v>219</v>
      </c>
      <c r="F150" s="956">
        <v>2</v>
      </c>
      <c r="G150" s="956">
        <v>2</v>
      </c>
      <c r="H150" s="963">
        <v>953.1</v>
      </c>
      <c r="I150" s="963">
        <v>849.2</v>
      </c>
      <c r="J150" s="963">
        <v>849.2</v>
      </c>
      <c r="K150" s="956">
        <v>36</v>
      </c>
      <c r="L150" s="965">
        <v>1018891.44</v>
      </c>
      <c r="M150" s="968">
        <v>0</v>
      </c>
      <c r="N150" s="968">
        <v>0</v>
      </c>
      <c r="O150" s="963">
        <v>1018891.44</v>
      </c>
      <c r="P150" s="968">
        <v>0</v>
      </c>
      <c r="Q150" s="968">
        <v>0</v>
      </c>
      <c r="R150" s="957">
        <v>2023</v>
      </c>
      <c r="S150" s="957">
        <v>2023</v>
      </c>
      <c r="U150" s="967"/>
      <c r="X150" s="967"/>
    </row>
    <row r="151" spans="1:24" s="966" customFormat="1" ht="36" customHeight="1">
      <c r="A151" s="1163" t="s">
        <v>1058</v>
      </c>
      <c r="B151" s="1164"/>
      <c r="C151" s="1164"/>
      <c r="D151" s="1164"/>
      <c r="E151" s="1164"/>
      <c r="F151" s="1164"/>
      <c r="G151" s="1165"/>
      <c r="H151" s="968">
        <f>SUM(H152:H153)</f>
        <v>867.6</v>
      </c>
      <c r="I151" s="968">
        <f t="shared" ref="I151:Q151" si="32">SUM(I152:I153)</f>
        <v>810.9</v>
      </c>
      <c r="J151" s="968">
        <f t="shared" si="32"/>
        <v>764.9</v>
      </c>
      <c r="K151" s="958">
        <f t="shared" si="32"/>
        <v>30</v>
      </c>
      <c r="L151" s="971">
        <f t="shared" si="32"/>
        <v>5884659.4900000002</v>
      </c>
      <c r="M151" s="968">
        <f t="shared" si="32"/>
        <v>0</v>
      </c>
      <c r="N151" s="968">
        <f t="shared" si="32"/>
        <v>0</v>
      </c>
      <c r="O151" s="968">
        <f t="shared" si="32"/>
        <v>5884659.4900000002</v>
      </c>
      <c r="P151" s="968">
        <f t="shared" si="32"/>
        <v>0</v>
      </c>
      <c r="Q151" s="968">
        <f t="shared" si="32"/>
        <v>0</v>
      </c>
      <c r="R151" s="968" t="s">
        <v>40</v>
      </c>
      <c r="S151" s="968" t="s">
        <v>40</v>
      </c>
      <c r="U151" s="967"/>
      <c r="X151" s="967"/>
    </row>
    <row r="152" spans="1:24" s="966" customFormat="1" ht="46.5" customHeight="1">
      <c r="A152" s="956">
        <v>110</v>
      </c>
      <c r="B152" s="995" t="s">
        <v>1572</v>
      </c>
      <c r="C152" s="959">
        <v>1970</v>
      </c>
      <c r="D152" s="996"/>
      <c r="E152" s="956" t="s">
        <v>218</v>
      </c>
      <c r="F152" s="964">
        <v>2</v>
      </c>
      <c r="G152" s="964">
        <v>2</v>
      </c>
      <c r="H152" s="963">
        <v>429.5</v>
      </c>
      <c r="I152" s="963">
        <v>429.5</v>
      </c>
      <c r="J152" s="963">
        <v>383.5</v>
      </c>
      <c r="K152" s="964">
        <v>11</v>
      </c>
      <c r="L152" s="971">
        <v>3466624.43</v>
      </c>
      <c r="M152" s="985">
        <v>0</v>
      </c>
      <c r="N152" s="985">
        <v>0</v>
      </c>
      <c r="O152" s="985">
        <v>3466624.43</v>
      </c>
      <c r="P152" s="963">
        <v>0</v>
      </c>
      <c r="Q152" s="985">
        <v>0</v>
      </c>
      <c r="R152" s="964">
        <v>2023</v>
      </c>
      <c r="S152" s="964">
        <v>2023</v>
      </c>
      <c r="U152" s="967"/>
      <c r="X152" s="967"/>
    </row>
    <row r="153" spans="1:24" s="966" customFormat="1" ht="42" customHeight="1">
      <c r="A153" s="956">
        <v>111</v>
      </c>
      <c r="B153" s="984" t="s">
        <v>1096</v>
      </c>
      <c r="C153" s="957">
        <v>1969</v>
      </c>
      <c r="D153" s="957"/>
      <c r="E153" s="956" t="s">
        <v>218</v>
      </c>
      <c r="F153" s="957">
        <v>2</v>
      </c>
      <c r="G153" s="957">
        <v>2</v>
      </c>
      <c r="H153" s="968">
        <v>438.1</v>
      </c>
      <c r="I153" s="968">
        <v>381.4</v>
      </c>
      <c r="J153" s="968">
        <v>381.4</v>
      </c>
      <c r="K153" s="959">
        <v>19</v>
      </c>
      <c r="L153" s="971">
        <v>2418035.06</v>
      </c>
      <c r="M153" s="985">
        <v>0</v>
      </c>
      <c r="N153" s="985">
        <v>0</v>
      </c>
      <c r="O153" s="985">
        <v>2418035.06</v>
      </c>
      <c r="P153" s="963">
        <v>0</v>
      </c>
      <c r="Q153" s="985">
        <v>0</v>
      </c>
      <c r="R153" s="964">
        <v>2023</v>
      </c>
      <c r="S153" s="964">
        <v>2023</v>
      </c>
      <c r="U153" s="967"/>
      <c r="X153" s="967"/>
    </row>
    <row r="154" spans="1:24" s="966" customFormat="1" ht="36" customHeight="1">
      <c r="A154" s="1166" t="s">
        <v>1176</v>
      </c>
      <c r="B154" s="1167"/>
      <c r="C154" s="1167"/>
      <c r="D154" s="1167"/>
      <c r="E154" s="1167"/>
      <c r="F154" s="1167"/>
      <c r="G154" s="1168"/>
      <c r="H154" s="968">
        <f>H155</f>
        <v>790.2</v>
      </c>
      <c r="I154" s="968">
        <f t="shared" ref="I154:Q154" si="33">I155</f>
        <v>731</v>
      </c>
      <c r="J154" s="968">
        <f t="shared" si="33"/>
        <v>731</v>
      </c>
      <c r="K154" s="959">
        <f t="shared" si="33"/>
        <v>22</v>
      </c>
      <c r="L154" s="971">
        <f t="shared" si="33"/>
        <v>3927134.26</v>
      </c>
      <c r="M154" s="968">
        <f t="shared" si="33"/>
        <v>0</v>
      </c>
      <c r="N154" s="968">
        <f t="shared" si="33"/>
        <v>0</v>
      </c>
      <c r="O154" s="968">
        <f t="shared" si="33"/>
        <v>3927134.26</v>
      </c>
      <c r="P154" s="968">
        <f t="shared" si="33"/>
        <v>0</v>
      </c>
      <c r="Q154" s="968">
        <f t="shared" si="33"/>
        <v>0</v>
      </c>
      <c r="R154" s="968" t="s">
        <v>40</v>
      </c>
      <c r="S154" s="968" t="s">
        <v>40</v>
      </c>
      <c r="U154" s="967"/>
      <c r="X154" s="967"/>
    </row>
    <row r="155" spans="1:24" s="966" customFormat="1" ht="40.9" customHeight="1">
      <c r="A155" s="956">
        <v>112</v>
      </c>
      <c r="B155" s="984" t="s">
        <v>1901</v>
      </c>
      <c r="C155" s="957">
        <v>1976</v>
      </c>
      <c r="D155" s="957"/>
      <c r="E155" s="956" t="s">
        <v>219</v>
      </c>
      <c r="F155" s="957">
        <v>2</v>
      </c>
      <c r="G155" s="957">
        <v>2</v>
      </c>
      <c r="H155" s="968">
        <v>790.2</v>
      </c>
      <c r="I155" s="968">
        <v>731</v>
      </c>
      <c r="J155" s="968">
        <v>731</v>
      </c>
      <c r="K155" s="959">
        <v>22</v>
      </c>
      <c r="L155" s="971">
        <v>3927134.26</v>
      </c>
      <c r="M155" s="985">
        <v>0</v>
      </c>
      <c r="N155" s="985">
        <v>0</v>
      </c>
      <c r="O155" s="985">
        <v>3927134.26</v>
      </c>
      <c r="P155" s="963">
        <v>0</v>
      </c>
      <c r="Q155" s="985">
        <v>0</v>
      </c>
      <c r="R155" s="964">
        <v>2023</v>
      </c>
      <c r="S155" s="964">
        <v>2023</v>
      </c>
      <c r="U155" s="967"/>
      <c r="X155" s="967"/>
    </row>
    <row r="156" spans="1:24" s="966" customFormat="1" ht="36" customHeight="1">
      <c r="A156" s="1166" t="s">
        <v>1068</v>
      </c>
      <c r="B156" s="1167"/>
      <c r="C156" s="1167"/>
      <c r="D156" s="1167"/>
      <c r="E156" s="1167"/>
      <c r="F156" s="1167"/>
      <c r="G156" s="1168"/>
      <c r="H156" s="968">
        <f>H157</f>
        <v>4877.2</v>
      </c>
      <c r="I156" s="968">
        <f t="shared" ref="I156:Q156" si="34">I157</f>
        <v>4877.2</v>
      </c>
      <c r="J156" s="968">
        <f t="shared" si="34"/>
        <v>2993.9</v>
      </c>
      <c r="K156" s="958">
        <f t="shared" si="34"/>
        <v>133</v>
      </c>
      <c r="L156" s="971">
        <f t="shared" si="34"/>
        <v>9677432.0500000007</v>
      </c>
      <c r="M156" s="968">
        <f t="shared" si="34"/>
        <v>0</v>
      </c>
      <c r="N156" s="968">
        <f t="shared" si="34"/>
        <v>0</v>
      </c>
      <c r="O156" s="968">
        <f t="shared" si="34"/>
        <v>9677432.0500000007</v>
      </c>
      <c r="P156" s="968">
        <f t="shared" si="34"/>
        <v>0</v>
      </c>
      <c r="Q156" s="968">
        <f t="shared" si="34"/>
        <v>0</v>
      </c>
      <c r="R156" s="968" t="s">
        <v>40</v>
      </c>
      <c r="S156" s="968" t="s">
        <v>40</v>
      </c>
      <c r="U156" s="967"/>
      <c r="X156" s="967"/>
    </row>
    <row r="157" spans="1:24" s="997" customFormat="1" ht="40.15" customHeight="1">
      <c r="A157" s="956">
        <v>113</v>
      </c>
      <c r="B157" s="984" t="s">
        <v>1273</v>
      </c>
      <c r="C157" s="957">
        <v>1992</v>
      </c>
      <c r="D157" s="957"/>
      <c r="E157" s="956" t="s">
        <v>220</v>
      </c>
      <c r="F157" s="957">
        <v>5</v>
      </c>
      <c r="G157" s="957">
        <v>6</v>
      </c>
      <c r="H157" s="968">
        <v>4877.2</v>
      </c>
      <c r="I157" s="968">
        <v>4877.2</v>
      </c>
      <c r="J157" s="968">
        <v>2993.9</v>
      </c>
      <c r="K157" s="959">
        <v>133</v>
      </c>
      <c r="L157" s="971">
        <v>9677432.0500000007</v>
      </c>
      <c r="M157" s="985">
        <v>0</v>
      </c>
      <c r="N157" s="985">
        <v>0</v>
      </c>
      <c r="O157" s="985">
        <v>9677432.0500000007</v>
      </c>
      <c r="P157" s="963">
        <v>0</v>
      </c>
      <c r="Q157" s="985">
        <v>0</v>
      </c>
      <c r="R157" s="964">
        <v>2023</v>
      </c>
      <c r="S157" s="964">
        <v>2023</v>
      </c>
      <c r="U157" s="967"/>
      <c r="X157" s="967"/>
    </row>
    <row r="158" spans="1:24" s="997" customFormat="1" ht="40.15" customHeight="1">
      <c r="A158" s="1163" t="s">
        <v>1187</v>
      </c>
      <c r="B158" s="1164"/>
      <c r="C158" s="1164"/>
      <c r="D158" s="1164"/>
      <c r="E158" s="1164"/>
      <c r="F158" s="1164"/>
      <c r="G158" s="1165"/>
      <c r="H158" s="968">
        <f t="shared" ref="H158:Q158" si="35">SUM(H159:H160)</f>
        <v>2280.1999999999998</v>
      </c>
      <c r="I158" s="968">
        <f t="shared" si="35"/>
        <v>2225.4499999999998</v>
      </c>
      <c r="J158" s="968">
        <f t="shared" si="35"/>
        <v>2195.35</v>
      </c>
      <c r="K158" s="958">
        <f t="shared" si="35"/>
        <v>161</v>
      </c>
      <c r="L158" s="971">
        <f t="shared" si="35"/>
        <v>8343447.1799999997</v>
      </c>
      <c r="M158" s="968">
        <f t="shared" si="35"/>
        <v>0</v>
      </c>
      <c r="N158" s="968">
        <f t="shared" si="35"/>
        <v>0</v>
      </c>
      <c r="O158" s="968">
        <f t="shared" si="35"/>
        <v>8343447.1799999997</v>
      </c>
      <c r="P158" s="968">
        <f t="shared" si="35"/>
        <v>0</v>
      </c>
      <c r="Q158" s="968">
        <f t="shared" si="35"/>
        <v>0</v>
      </c>
      <c r="R158" s="968" t="s">
        <v>40</v>
      </c>
      <c r="S158" s="968" t="s">
        <v>40</v>
      </c>
      <c r="U158" s="967"/>
      <c r="X158" s="967"/>
    </row>
    <row r="159" spans="1:24" s="997" customFormat="1" ht="40.15" customHeight="1">
      <c r="A159" s="956">
        <v>114</v>
      </c>
      <c r="B159" s="972" t="s">
        <v>1240</v>
      </c>
      <c r="C159" s="957">
        <v>1961</v>
      </c>
      <c r="D159" s="998">
        <v>2020</v>
      </c>
      <c r="E159" s="956" t="s">
        <v>218</v>
      </c>
      <c r="F159" s="957">
        <v>2</v>
      </c>
      <c r="G159" s="957">
        <v>1</v>
      </c>
      <c r="H159" s="963">
        <v>335.2</v>
      </c>
      <c r="I159" s="968">
        <v>310</v>
      </c>
      <c r="J159" s="968">
        <v>310</v>
      </c>
      <c r="K159" s="959">
        <v>12</v>
      </c>
      <c r="L159" s="971">
        <v>3975254.03</v>
      </c>
      <c r="M159" s="968">
        <v>0</v>
      </c>
      <c r="N159" s="968">
        <v>0</v>
      </c>
      <c r="O159" s="968">
        <v>3975254.03</v>
      </c>
      <c r="P159" s="968">
        <v>0</v>
      </c>
      <c r="Q159" s="968">
        <v>0</v>
      </c>
      <c r="R159" s="957">
        <v>2023</v>
      </c>
      <c r="S159" s="957">
        <v>2023</v>
      </c>
      <c r="U159" s="967"/>
      <c r="X159" s="967"/>
    </row>
    <row r="160" spans="1:24" s="997" customFormat="1" ht="40.15" customHeight="1">
      <c r="A160" s="956">
        <v>115</v>
      </c>
      <c r="B160" s="972" t="s">
        <v>1902</v>
      </c>
      <c r="C160" s="957">
        <v>1983</v>
      </c>
      <c r="D160" s="998"/>
      <c r="E160" s="956" t="s">
        <v>218</v>
      </c>
      <c r="F160" s="957">
        <v>5</v>
      </c>
      <c r="G160" s="957">
        <v>1</v>
      </c>
      <c r="H160" s="963">
        <v>1945</v>
      </c>
      <c r="I160" s="968">
        <v>1915.45</v>
      </c>
      <c r="J160" s="968">
        <v>1885.35</v>
      </c>
      <c r="K160" s="959">
        <v>149</v>
      </c>
      <c r="L160" s="971">
        <v>4368193.1500000004</v>
      </c>
      <c r="M160" s="968">
        <v>0</v>
      </c>
      <c r="N160" s="968">
        <v>0</v>
      </c>
      <c r="O160" s="968">
        <v>4368193.1500000004</v>
      </c>
      <c r="P160" s="968">
        <v>0</v>
      </c>
      <c r="Q160" s="968">
        <v>0</v>
      </c>
      <c r="R160" s="957">
        <v>2023</v>
      </c>
      <c r="S160" s="957">
        <v>2023</v>
      </c>
      <c r="U160" s="967"/>
      <c r="X160" s="967"/>
    </row>
    <row r="161" spans="1:24" s="966" customFormat="1" ht="40.9" customHeight="1">
      <c r="A161" s="1163" t="s">
        <v>1975</v>
      </c>
      <c r="B161" s="1164"/>
      <c r="C161" s="1164"/>
      <c r="D161" s="1164"/>
      <c r="E161" s="1164"/>
      <c r="F161" s="1164"/>
      <c r="G161" s="1165"/>
      <c r="H161" s="968">
        <f>H162</f>
        <v>599.79999999999995</v>
      </c>
      <c r="I161" s="968">
        <f t="shared" ref="I161:Q161" si="36">I162</f>
        <v>482.2</v>
      </c>
      <c r="J161" s="968">
        <f t="shared" si="36"/>
        <v>256.8</v>
      </c>
      <c r="K161" s="968">
        <f t="shared" si="36"/>
        <v>9</v>
      </c>
      <c r="L161" s="971">
        <f t="shared" si="36"/>
        <v>8927927.1600000001</v>
      </c>
      <c r="M161" s="968">
        <f t="shared" si="36"/>
        <v>0</v>
      </c>
      <c r="N161" s="968">
        <f t="shared" si="36"/>
        <v>0</v>
      </c>
      <c r="O161" s="968">
        <f t="shared" si="36"/>
        <v>8927927.1600000001</v>
      </c>
      <c r="P161" s="968">
        <f t="shared" si="36"/>
        <v>0</v>
      </c>
      <c r="Q161" s="968">
        <f t="shared" si="36"/>
        <v>0</v>
      </c>
      <c r="R161" s="968" t="s">
        <v>40</v>
      </c>
      <c r="S161" s="968" t="s">
        <v>40</v>
      </c>
      <c r="U161" s="967"/>
      <c r="X161" s="967"/>
    </row>
    <row r="162" spans="1:24" s="966" customFormat="1" ht="40.9" customHeight="1">
      <c r="A162" s="956">
        <v>116</v>
      </c>
      <c r="B162" s="984" t="s">
        <v>1401</v>
      </c>
      <c r="C162" s="957">
        <v>1810</v>
      </c>
      <c r="D162" s="957"/>
      <c r="E162" s="956" t="s">
        <v>218</v>
      </c>
      <c r="F162" s="957">
        <v>2</v>
      </c>
      <c r="G162" s="957">
        <v>1</v>
      </c>
      <c r="H162" s="968">
        <v>599.79999999999995</v>
      </c>
      <c r="I162" s="968">
        <v>482.2</v>
      </c>
      <c r="J162" s="968">
        <v>256.8</v>
      </c>
      <c r="K162" s="959">
        <v>9</v>
      </c>
      <c r="L162" s="971">
        <v>8927927.1600000001</v>
      </c>
      <c r="M162" s="985">
        <v>0</v>
      </c>
      <c r="N162" s="985">
        <v>0</v>
      </c>
      <c r="O162" s="985">
        <v>8927927.1600000001</v>
      </c>
      <c r="P162" s="963">
        <f>Q162</f>
        <v>0</v>
      </c>
      <c r="Q162" s="985">
        <v>0</v>
      </c>
      <c r="R162" s="964">
        <v>2023</v>
      </c>
      <c r="S162" s="964">
        <v>2023</v>
      </c>
      <c r="U162" s="967"/>
      <c r="X162" s="967"/>
    </row>
    <row r="163" spans="1:24" s="966" customFormat="1" ht="44.45" customHeight="1">
      <c r="A163" s="1163" t="s">
        <v>207</v>
      </c>
      <c r="B163" s="1164"/>
      <c r="C163" s="1164"/>
      <c r="D163" s="1164"/>
      <c r="E163" s="1164"/>
      <c r="F163" s="1164"/>
      <c r="G163" s="1165"/>
      <c r="H163" s="968">
        <f t="shared" ref="H163:Q163" si="37">SUM(H164:H166)</f>
        <v>9522.2099999999991</v>
      </c>
      <c r="I163" s="968">
        <f t="shared" si="37"/>
        <v>9522.2099999999991</v>
      </c>
      <c r="J163" s="968">
        <f t="shared" si="37"/>
        <v>8222.2099999999991</v>
      </c>
      <c r="K163" s="958">
        <f t="shared" si="37"/>
        <v>305</v>
      </c>
      <c r="L163" s="971">
        <f t="shared" si="37"/>
        <v>14503389.620000001</v>
      </c>
      <c r="M163" s="968">
        <f t="shared" si="37"/>
        <v>0</v>
      </c>
      <c r="N163" s="968">
        <f t="shared" si="37"/>
        <v>0</v>
      </c>
      <c r="O163" s="968">
        <f t="shared" si="37"/>
        <v>14503389.620000001</v>
      </c>
      <c r="P163" s="968">
        <f t="shared" si="37"/>
        <v>0</v>
      </c>
      <c r="Q163" s="968">
        <f t="shared" si="37"/>
        <v>0</v>
      </c>
      <c r="R163" s="968" t="s">
        <v>40</v>
      </c>
      <c r="S163" s="968" t="s">
        <v>40</v>
      </c>
      <c r="U163" s="967"/>
      <c r="X163" s="967"/>
    </row>
    <row r="164" spans="1:24" s="966" customFormat="1" ht="42" customHeight="1">
      <c r="A164" s="957">
        <v>117</v>
      </c>
      <c r="B164" s="984" t="s">
        <v>1903</v>
      </c>
      <c r="C164" s="957">
        <v>1982</v>
      </c>
      <c r="D164" s="999"/>
      <c r="E164" s="956" t="s">
        <v>219</v>
      </c>
      <c r="F164" s="957">
        <v>5</v>
      </c>
      <c r="G164" s="957">
        <v>4</v>
      </c>
      <c r="H164" s="968">
        <v>3059.61</v>
      </c>
      <c r="I164" s="968">
        <v>3059.61</v>
      </c>
      <c r="J164" s="968">
        <v>3059.61</v>
      </c>
      <c r="K164" s="964">
        <v>100</v>
      </c>
      <c r="L164" s="971">
        <v>3762059.91</v>
      </c>
      <c r="M164" s="963">
        <v>0</v>
      </c>
      <c r="N164" s="963">
        <v>0</v>
      </c>
      <c r="O164" s="968">
        <v>3762059.91</v>
      </c>
      <c r="P164" s="963">
        <v>0</v>
      </c>
      <c r="Q164" s="963">
        <v>0</v>
      </c>
      <c r="R164" s="964">
        <v>2023</v>
      </c>
      <c r="S164" s="964">
        <v>2023</v>
      </c>
      <c r="U164" s="967"/>
      <c r="X164" s="967"/>
    </row>
    <row r="165" spans="1:24" s="966" customFormat="1" ht="43.15" customHeight="1">
      <c r="A165" s="957">
        <v>118</v>
      </c>
      <c r="B165" s="984" t="s">
        <v>1561</v>
      </c>
      <c r="C165" s="957">
        <v>1976</v>
      </c>
      <c r="D165" s="999"/>
      <c r="E165" s="956" t="s">
        <v>218</v>
      </c>
      <c r="F165" s="957">
        <v>2</v>
      </c>
      <c r="G165" s="957">
        <v>2</v>
      </c>
      <c r="H165" s="968">
        <v>588.1</v>
      </c>
      <c r="I165" s="968">
        <v>588.1</v>
      </c>
      <c r="J165" s="968">
        <v>539.70000000000005</v>
      </c>
      <c r="K165" s="964">
        <v>23</v>
      </c>
      <c r="L165" s="971">
        <v>3063337.04</v>
      </c>
      <c r="M165" s="963">
        <v>0</v>
      </c>
      <c r="N165" s="963">
        <v>0</v>
      </c>
      <c r="O165" s="968">
        <f>L165</f>
        <v>3063337.04</v>
      </c>
      <c r="P165" s="963">
        <v>0</v>
      </c>
      <c r="Q165" s="963">
        <v>0</v>
      </c>
      <c r="R165" s="964">
        <v>2023</v>
      </c>
      <c r="S165" s="964">
        <v>2023</v>
      </c>
      <c r="U165" s="967"/>
      <c r="X165" s="967"/>
    </row>
    <row r="166" spans="1:24" s="966" customFormat="1" ht="43.15" customHeight="1">
      <c r="A166" s="957">
        <v>119</v>
      </c>
      <c r="B166" s="984" t="s">
        <v>428</v>
      </c>
      <c r="C166" s="957">
        <v>1983</v>
      </c>
      <c r="D166" s="999"/>
      <c r="E166" s="956" t="s">
        <v>218</v>
      </c>
      <c r="F166" s="957">
        <v>9</v>
      </c>
      <c r="G166" s="957">
        <v>1</v>
      </c>
      <c r="H166" s="968">
        <v>5874.5</v>
      </c>
      <c r="I166" s="968">
        <v>5874.5</v>
      </c>
      <c r="J166" s="968">
        <v>4622.8999999999996</v>
      </c>
      <c r="K166" s="964">
        <v>182</v>
      </c>
      <c r="L166" s="971">
        <v>7677992.6699999999</v>
      </c>
      <c r="M166" s="963">
        <v>0</v>
      </c>
      <c r="N166" s="963">
        <v>0</v>
      </c>
      <c r="O166" s="968">
        <v>7677992.6699999999</v>
      </c>
      <c r="P166" s="963">
        <v>0</v>
      </c>
      <c r="Q166" s="963">
        <v>0</v>
      </c>
      <c r="R166" s="964">
        <v>2023</v>
      </c>
      <c r="S166" s="964">
        <v>2023</v>
      </c>
      <c r="U166" s="967"/>
      <c r="X166" s="967"/>
    </row>
    <row r="167" spans="1:24" s="979" customFormat="1" ht="39.6" customHeight="1">
      <c r="A167" s="1190" t="s">
        <v>35</v>
      </c>
      <c r="B167" s="1190"/>
      <c r="C167" s="1190"/>
      <c r="D167" s="1190"/>
      <c r="E167" s="1190"/>
      <c r="F167" s="1190"/>
      <c r="G167" s="1190"/>
      <c r="H167" s="1190"/>
      <c r="I167" s="1190"/>
      <c r="J167" s="1190"/>
      <c r="K167" s="1190"/>
      <c r="L167" s="1190"/>
      <c r="M167" s="1190"/>
      <c r="N167" s="1190"/>
      <c r="O167" s="1190"/>
      <c r="P167" s="1190"/>
      <c r="Q167" s="1190"/>
      <c r="R167" s="1190"/>
      <c r="S167" s="1190"/>
      <c r="U167" s="967"/>
      <c r="X167" s="967"/>
    </row>
    <row r="168" spans="1:24" s="979" customFormat="1" ht="43.9" customHeight="1">
      <c r="A168" s="1169" t="s">
        <v>205</v>
      </c>
      <c r="B168" s="1170"/>
      <c r="C168" s="1170"/>
      <c r="D168" s="1170"/>
      <c r="E168" s="1170"/>
      <c r="F168" s="1170"/>
      <c r="G168" s="1171"/>
      <c r="H168" s="968">
        <v>0</v>
      </c>
      <c r="I168" s="968">
        <v>0</v>
      </c>
      <c r="J168" s="968">
        <v>0</v>
      </c>
      <c r="K168" s="959">
        <v>0</v>
      </c>
      <c r="L168" s="1000">
        <v>0</v>
      </c>
      <c r="M168" s="968">
        <v>0</v>
      </c>
      <c r="N168" s="968">
        <v>0</v>
      </c>
      <c r="O168" s="968">
        <v>0</v>
      </c>
      <c r="P168" s="968">
        <v>0</v>
      </c>
      <c r="Q168" s="968">
        <v>0</v>
      </c>
      <c r="R168" s="968" t="s">
        <v>40</v>
      </c>
      <c r="S168" s="957" t="s">
        <v>40</v>
      </c>
      <c r="U168" s="967"/>
      <c r="X168" s="967"/>
    </row>
    <row r="169" spans="1:24" s="979" customFormat="1" ht="42.6" customHeight="1">
      <c r="A169" s="1190" t="s">
        <v>1029</v>
      </c>
      <c r="B169" s="1190"/>
      <c r="C169" s="1190"/>
      <c r="D169" s="1190"/>
      <c r="E169" s="1190"/>
      <c r="F169" s="1190"/>
      <c r="G169" s="1190"/>
      <c r="H169" s="1190"/>
      <c r="I169" s="1190"/>
      <c r="J169" s="1190"/>
      <c r="K169" s="1190"/>
      <c r="L169" s="1190"/>
      <c r="M169" s="1190"/>
      <c r="N169" s="1190"/>
      <c r="O169" s="1190"/>
      <c r="P169" s="1190"/>
      <c r="Q169" s="1190"/>
      <c r="R169" s="1190"/>
      <c r="S169" s="1190"/>
      <c r="U169" s="967"/>
      <c r="X169" s="967"/>
    </row>
    <row r="170" spans="1:24" s="979" customFormat="1" ht="43.15" customHeight="1">
      <c r="A170" s="1169" t="s">
        <v>205</v>
      </c>
      <c r="B170" s="1170"/>
      <c r="C170" s="1170"/>
      <c r="D170" s="1170"/>
      <c r="E170" s="1170"/>
      <c r="F170" s="1170"/>
      <c r="G170" s="1171"/>
      <c r="H170" s="968">
        <f>H171</f>
        <v>21449.000000000004</v>
      </c>
      <c r="I170" s="968">
        <f t="shared" ref="I170:Q170" si="38">I171</f>
        <v>17826.599999999999</v>
      </c>
      <c r="J170" s="968">
        <f t="shared" si="38"/>
        <v>17826.599999999999</v>
      </c>
      <c r="K170" s="958">
        <f t="shared" si="38"/>
        <v>606</v>
      </c>
      <c r="L170" s="971">
        <f t="shared" si="38"/>
        <v>4141657</v>
      </c>
      <c r="M170" s="968">
        <f t="shared" si="38"/>
        <v>0</v>
      </c>
      <c r="N170" s="968">
        <f t="shared" si="38"/>
        <v>1096851</v>
      </c>
      <c r="O170" s="968">
        <f t="shared" si="38"/>
        <v>3044806</v>
      </c>
      <c r="P170" s="968">
        <f t="shared" si="38"/>
        <v>0</v>
      </c>
      <c r="Q170" s="968">
        <f t="shared" si="38"/>
        <v>0</v>
      </c>
      <c r="R170" s="968" t="s">
        <v>40</v>
      </c>
      <c r="S170" s="957" t="s">
        <v>40</v>
      </c>
      <c r="U170" s="967"/>
      <c r="X170" s="967"/>
    </row>
    <row r="171" spans="1:24" s="979" customFormat="1" ht="40.15" customHeight="1">
      <c r="A171" s="1172" t="s">
        <v>1059</v>
      </c>
      <c r="B171" s="1173"/>
      <c r="C171" s="1173"/>
      <c r="D171" s="1173"/>
      <c r="E171" s="1173"/>
      <c r="F171" s="1173"/>
      <c r="G171" s="1174"/>
      <c r="H171" s="968">
        <f>SUM(H172:H192)</f>
        <v>21449.000000000004</v>
      </c>
      <c r="I171" s="968">
        <f t="shared" ref="I171:Q171" si="39">SUM(I172:I192)</f>
        <v>17826.599999999999</v>
      </c>
      <c r="J171" s="968">
        <f t="shared" si="39"/>
        <v>17826.599999999999</v>
      </c>
      <c r="K171" s="968">
        <f t="shared" si="39"/>
        <v>606</v>
      </c>
      <c r="L171" s="968">
        <f t="shared" si="39"/>
        <v>4141657</v>
      </c>
      <c r="M171" s="968">
        <f t="shared" si="39"/>
        <v>0</v>
      </c>
      <c r="N171" s="968">
        <f t="shared" si="39"/>
        <v>1096851</v>
      </c>
      <c r="O171" s="968">
        <f>SUM(O172:O192)</f>
        <v>3044806</v>
      </c>
      <c r="P171" s="968">
        <f t="shared" si="39"/>
        <v>0</v>
      </c>
      <c r="Q171" s="968">
        <f t="shared" si="39"/>
        <v>0</v>
      </c>
      <c r="R171" s="963" t="s">
        <v>40</v>
      </c>
      <c r="S171" s="963" t="s">
        <v>40</v>
      </c>
      <c r="U171" s="967"/>
      <c r="X171" s="967"/>
    </row>
    <row r="172" spans="1:24" ht="42" customHeight="1">
      <c r="A172" s="956">
        <v>120</v>
      </c>
      <c r="B172" s="986" t="s">
        <v>2104</v>
      </c>
      <c r="C172" s="1001">
        <v>1968</v>
      </c>
      <c r="D172" s="957">
        <v>2021</v>
      </c>
      <c r="E172" s="956" t="s">
        <v>220</v>
      </c>
      <c r="F172" s="1001">
        <v>2</v>
      </c>
      <c r="G172" s="1001">
        <v>2</v>
      </c>
      <c r="H172" s="1002">
        <v>555.1</v>
      </c>
      <c r="I172" s="1002">
        <v>533.29999999999995</v>
      </c>
      <c r="J172" s="1002">
        <v>533.29999999999995</v>
      </c>
      <c r="K172" s="1001">
        <v>19</v>
      </c>
      <c r="L172" s="1003">
        <f>N172+O172</f>
        <v>327980</v>
      </c>
      <c r="M172" s="1004">
        <v>0</v>
      </c>
      <c r="N172" s="1002">
        <v>98394</v>
      </c>
      <c r="O172" s="1002">
        <v>229586</v>
      </c>
      <c r="P172" s="1004">
        <v>0</v>
      </c>
      <c r="Q172" s="1003">
        <v>0</v>
      </c>
      <c r="R172" s="1001">
        <v>2023</v>
      </c>
      <c r="S172" s="1005">
        <v>2023</v>
      </c>
      <c r="U172" s="967"/>
      <c r="X172" s="967"/>
    </row>
    <row r="173" spans="1:24" ht="42" customHeight="1">
      <c r="A173" s="956">
        <v>121</v>
      </c>
      <c r="B173" s="986" t="s">
        <v>1135</v>
      </c>
      <c r="C173" s="1001">
        <v>1971</v>
      </c>
      <c r="D173" s="1005">
        <v>2021</v>
      </c>
      <c r="E173" s="956" t="s">
        <v>218</v>
      </c>
      <c r="F173" s="1001">
        <v>2</v>
      </c>
      <c r="G173" s="1001">
        <v>1</v>
      </c>
      <c r="H173" s="1002">
        <v>352.1</v>
      </c>
      <c r="I173" s="1002">
        <v>303.3</v>
      </c>
      <c r="J173" s="1002">
        <v>303.3</v>
      </c>
      <c r="K173" s="1001">
        <v>12</v>
      </c>
      <c r="L173" s="1003">
        <f t="shared" ref="L173:L192" si="40">N173+O173</f>
        <v>127310</v>
      </c>
      <c r="M173" s="1004">
        <v>0</v>
      </c>
      <c r="N173" s="1002">
        <v>38193</v>
      </c>
      <c r="O173" s="1002">
        <v>89117</v>
      </c>
      <c r="P173" s="1004">
        <v>0</v>
      </c>
      <c r="Q173" s="1003">
        <v>0</v>
      </c>
      <c r="R173" s="1001">
        <v>2023</v>
      </c>
      <c r="S173" s="1005">
        <v>2023</v>
      </c>
      <c r="U173" s="967"/>
      <c r="X173" s="967"/>
    </row>
    <row r="174" spans="1:24" s="966" customFormat="1" ht="39.6" customHeight="1">
      <c r="A174" s="956">
        <v>122</v>
      </c>
      <c r="B174" s="986" t="s">
        <v>1133</v>
      </c>
      <c r="C174" s="1001">
        <v>1972</v>
      </c>
      <c r="D174" s="1005">
        <v>2021</v>
      </c>
      <c r="E174" s="956" t="s">
        <v>218</v>
      </c>
      <c r="F174" s="1001">
        <v>2</v>
      </c>
      <c r="G174" s="1001">
        <v>3</v>
      </c>
      <c r="H174" s="1002">
        <v>960.1</v>
      </c>
      <c r="I174" s="1002">
        <v>933.3</v>
      </c>
      <c r="J174" s="1002">
        <v>933.3</v>
      </c>
      <c r="K174" s="1001">
        <v>28</v>
      </c>
      <c r="L174" s="1003">
        <f t="shared" si="40"/>
        <v>264124</v>
      </c>
      <c r="M174" s="1004">
        <v>0</v>
      </c>
      <c r="N174" s="1002">
        <v>79237</v>
      </c>
      <c r="O174" s="1002">
        <v>184887</v>
      </c>
      <c r="P174" s="1004">
        <v>0</v>
      </c>
      <c r="Q174" s="1003">
        <v>0</v>
      </c>
      <c r="R174" s="1001">
        <v>2023</v>
      </c>
      <c r="S174" s="1005">
        <v>2023</v>
      </c>
      <c r="U174" s="967"/>
      <c r="X174" s="967"/>
    </row>
    <row r="175" spans="1:24" s="966" customFormat="1" ht="40.9" customHeight="1">
      <c r="A175" s="956">
        <v>123</v>
      </c>
      <c r="B175" s="986" t="s">
        <v>2105</v>
      </c>
      <c r="C175" s="1001">
        <v>1974</v>
      </c>
      <c r="D175" s="1005">
        <v>2022</v>
      </c>
      <c r="E175" s="956" t="s">
        <v>218</v>
      </c>
      <c r="F175" s="1001">
        <v>2</v>
      </c>
      <c r="G175" s="1001">
        <v>2</v>
      </c>
      <c r="H175" s="1002">
        <v>752.3</v>
      </c>
      <c r="I175" s="1002">
        <v>732.5</v>
      </c>
      <c r="J175" s="1002">
        <v>732.5</v>
      </c>
      <c r="K175" s="1001">
        <v>24</v>
      </c>
      <c r="L175" s="1003">
        <f t="shared" si="40"/>
        <v>175068</v>
      </c>
      <c r="M175" s="1004">
        <v>0</v>
      </c>
      <c r="N175" s="1002">
        <v>52520</v>
      </c>
      <c r="O175" s="1002">
        <v>122548</v>
      </c>
      <c r="P175" s="1004">
        <v>0</v>
      </c>
      <c r="Q175" s="1003">
        <v>0</v>
      </c>
      <c r="R175" s="1001">
        <v>2023</v>
      </c>
      <c r="S175" s="1005">
        <v>2023</v>
      </c>
      <c r="U175" s="967"/>
      <c r="X175" s="967"/>
    </row>
    <row r="176" spans="1:24" s="979" customFormat="1" ht="40.15" customHeight="1">
      <c r="A176" s="956">
        <v>124</v>
      </c>
      <c r="B176" s="986" t="s">
        <v>1134</v>
      </c>
      <c r="C176" s="1001">
        <v>1985</v>
      </c>
      <c r="D176" s="1005">
        <v>2021</v>
      </c>
      <c r="E176" s="956" t="s">
        <v>219</v>
      </c>
      <c r="F176" s="1001">
        <v>3</v>
      </c>
      <c r="G176" s="1001">
        <v>2</v>
      </c>
      <c r="H176" s="1002">
        <v>1235.9000000000001</v>
      </c>
      <c r="I176" s="1002">
        <v>762.4</v>
      </c>
      <c r="J176" s="1002">
        <v>762.4</v>
      </c>
      <c r="K176" s="1001">
        <v>23</v>
      </c>
      <c r="L176" s="1003">
        <f t="shared" si="40"/>
        <v>182214</v>
      </c>
      <c r="M176" s="1004">
        <v>0</v>
      </c>
      <c r="N176" s="1002">
        <v>36443</v>
      </c>
      <c r="O176" s="1002">
        <v>145771</v>
      </c>
      <c r="P176" s="1004">
        <v>0</v>
      </c>
      <c r="Q176" s="1003">
        <v>0</v>
      </c>
      <c r="R176" s="1001">
        <v>2023</v>
      </c>
      <c r="S176" s="1005">
        <v>2023</v>
      </c>
      <c r="U176" s="967"/>
      <c r="X176" s="967"/>
    </row>
    <row r="177" spans="1:24" s="979" customFormat="1" ht="42" customHeight="1">
      <c r="A177" s="956">
        <v>125</v>
      </c>
      <c r="B177" s="986" t="s">
        <v>2106</v>
      </c>
      <c r="C177" s="1001">
        <v>1980</v>
      </c>
      <c r="D177" s="1005">
        <v>2020</v>
      </c>
      <c r="E177" s="956" t="s">
        <v>220</v>
      </c>
      <c r="F177" s="1001">
        <v>2</v>
      </c>
      <c r="G177" s="1001">
        <v>2</v>
      </c>
      <c r="H177" s="1002">
        <v>808</v>
      </c>
      <c r="I177" s="1002">
        <v>670.5</v>
      </c>
      <c r="J177" s="1002">
        <v>670.5</v>
      </c>
      <c r="K177" s="1001">
        <v>25</v>
      </c>
      <c r="L177" s="1003">
        <f t="shared" si="40"/>
        <v>62000</v>
      </c>
      <c r="M177" s="1004">
        <v>0</v>
      </c>
      <c r="N177" s="1002">
        <v>18600</v>
      </c>
      <c r="O177" s="1002">
        <v>43400</v>
      </c>
      <c r="P177" s="1004">
        <v>0</v>
      </c>
      <c r="Q177" s="1003">
        <v>0</v>
      </c>
      <c r="R177" s="1001">
        <v>2023</v>
      </c>
      <c r="S177" s="1005">
        <v>2023</v>
      </c>
      <c r="U177" s="967"/>
      <c r="X177" s="967"/>
    </row>
    <row r="178" spans="1:24" s="979" customFormat="1" ht="42.6" customHeight="1">
      <c r="A178" s="956">
        <v>126</v>
      </c>
      <c r="B178" s="986" t="s">
        <v>2107</v>
      </c>
      <c r="C178" s="1001">
        <v>1977</v>
      </c>
      <c r="D178" s="1005">
        <v>2016</v>
      </c>
      <c r="E178" s="1001" t="s">
        <v>220</v>
      </c>
      <c r="F178" s="1001">
        <v>2</v>
      </c>
      <c r="G178" s="1001">
        <v>2</v>
      </c>
      <c r="H178" s="1002">
        <v>836.8</v>
      </c>
      <c r="I178" s="1002">
        <v>783.6</v>
      </c>
      <c r="J178" s="1002">
        <v>783.6</v>
      </c>
      <c r="K178" s="1001">
        <v>32</v>
      </c>
      <c r="L178" s="1003">
        <f t="shared" si="40"/>
        <v>62000</v>
      </c>
      <c r="M178" s="1004">
        <v>0</v>
      </c>
      <c r="N178" s="1002">
        <v>6200</v>
      </c>
      <c r="O178" s="1002">
        <v>55800</v>
      </c>
      <c r="P178" s="1004">
        <v>0</v>
      </c>
      <c r="Q178" s="1003">
        <v>0</v>
      </c>
      <c r="R178" s="1001">
        <v>2023</v>
      </c>
      <c r="S178" s="1005">
        <v>2023</v>
      </c>
      <c r="U178" s="967"/>
      <c r="X178" s="967"/>
    </row>
    <row r="179" spans="1:24" s="979" customFormat="1" ht="42.6" customHeight="1">
      <c r="A179" s="956">
        <v>127</v>
      </c>
      <c r="B179" s="986" t="s">
        <v>1305</v>
      </c>
      <c r="C179" s="1001">
        <v>1989</v>
      </c>
      <c r="D179" s="1005">
        <v>2018</v>
      </c>
      <c r="E179" s="956" t="s">
        <v>218</v>
      </c>
      <c r="F179" s="1001">
        <v>2</v>
      </c>
      <c r="G179" s="1001">
        <v>2</v>
      </c>
      <c r="H179" s="1002">
        <v>807.3</v>
      </c>
      <c r="I179" s="1002">
        <v>741.3</v>
      </c>
      <c r="J179" s="1002">
        <v>741.3</v>
      </c>
      <c r="K179" s="1001">
        <v>20</v>
      </c>
      <c r="L179" s="1003">
        <f t="shared" si="40"/>
        <v>318425</v>
      </c>
      <c r="M179" s="1004">
        <v>0</v>
      </c>
      <c r="N179" s="1002">
        <v>63685</v>
      </c>
      <c r="O179" s="1002">
        <v>254740</v>
      </c>
      <c r="P179" s="1004">
        <v>0</v>
      </c>
      <c r="Q179" s="1003">
        <v>0</v>
      </c>
      <c r="R179" s="1001">
        <v>2023</v>
      </c>
      <c r="S179" s="1005">
        <v>2023</v>
      </c>
      <c r="U179" s="967"/>
      <c r="X179" s="967"/>
    </row>
    <row r="180" spans="1:24" s="979" customFormat="1" ht="42.6" customHeight="1">
      <c r="A180" s="956">
        <v>128</v>
      </c>
      <c r="B180" s="986" t="s">
        <v>2108</v>
      </c>
      <c r="C180" s="1001">
        <v>1989</v>
      </c>
      <c r="D180" s="1005">
        <v>2021</v>
      </c>
      <c r="E180" s="956" t="s">
        <v>218</v>
      </c>
      <c r="F180" s="1001">
        <v>5</v>
      </c>
      <c r="G180" s="1001">
        <v>6</v>
      </c>
      <c r="H180" s="1002">
        <v>5612.1</v>
      </c>
      <c r="I180" s="1002">
        <v>4066.3</v>
      </c>
      <c r="J180" s="1002">
        <v>4066.3</v>
      </c>
      <c r="K180" s="1001">
        <v>123</v>
      </c>
      <c r="L180" s="1003">
        <f t="shared" si="40"/>
        <v>205000</v>
      </c>
      <c r="M180" s="1004">
        <v>0</v>
      </c>
      <c r="N180" s="1002">
        <v>61500</v>
      </c>
      <c r="O180" s="1002">
        <v>143500</v>
      </c>
      <c r="P180" s="1004">
        <v>0</v>
      </c>
      <c r="Q180" s="1003">
        <v>0</v>
      </c>
      <c r="R180" s="1001">
        <v>2023</v>
      </c>
      <c r="S180" s="1005">
        <v>2023</v>
      </c>
      <c r="U180" s="967"/>
      <c r="X180" s="967"/>
    </row>
    <row r="181" spans="1:24" s="979" customFormat="1" ht="42.6" customHeight="1">
      <c r="A181" s="956">
        <v>129</v>
      </c>
      <c r="B181" s="986" t="s">
        <v>1306</v>
      </c>
      <c r="C181" s="1001">
        <v>1978</v>
      </c>
      <c r="D181" s="1005">
        <v>2016</v>
      </c>
      <c r="E181" s="956" t="s">
        <v>220</v>
      </c>
      <c r="F181" s="1001">
        <v>2</v>
      </c>
      <c r="G181" s="1001">
        <v>2</v>
      </c>
      <c r="H181" s="1002">
        <v>825.5</v>
      </c>
      <c r="I181" s="1002">
        <v>761.5</v>
      </c>
      <c r="J181" s="1002">
        <v>761.5</v>
      </c>
      <c r="K181" s="1001">
        <v>23</v>
      </c>
      <c r="L181" s="1003">
        <f t="shared" si="40"/>
        <v>530323</v>
      </c>
      <c r="M181" s="1004">
        <v>0</v>
      </c>
      <c r="N181" s="1002">
        <v>106065</v>
      </c>
      <c r="O181" s="1002">
        <v>424258</v>
      </c>
      <c r="P181" s="1004">
        <v>0</v>
      </c>
      <c r="Q181" s="1003">
        <v>0</v>
      </c>
      <c r="R181" s="1001">
        <v>2023</v>
      </c>
      <c r="S181" s="1005">
        <v>2023</v>
      </c>
      <c r="U181" s="967"/>
      <c r="X181" s="967"/>
    </row>
    <row r="182" spans="1:24" s="979" customFormat="1" ht="42.6" customHeight="1">
      <c r="A182" s="956">
        <v>130</v>
      </c>
      <c r="B182" s="986" t="s">
        <v>1173</v>
      </c>
      <c r="C182" s="1001">
        <v>1984</v>
      </c>
      <c r="D182" s="1005">
        <v>2022</v>
      </c>
      <c r="E182" s="956" t="s">
        <v>218</v>
      </c>
      <c r="F182" s="1001">
        <v>2</v>
      </c>
      <c r="G182" s="1001">
        <v>3</v>
      </c>
      <c r="H182" s="1002">
        <v>1390.5</v>
      </c>
      <c r="I182" s="1002">
        <v>833.8</v>
      </c>
      <c r="J182" s="1002">
        <v>833.8</v>
      </c>
      <c r="K182" s="1001">
        <v>37</v>
      </c>
      <c r="L182" s="1003">
        <f t="shared" si="40"/>
        <v>336985</v>
      </c>
      <c r="M182" s="1004">
        <v>0</v>
      </c>
      <c r="N182" s="1002">
        <v>101095</v>
      </c>
      <c r="O182" s="1002">
        <v>235890</v>
      </c>
      <c r="P182" s="1004">
        <v>0</v>
      </c>
      <c r="Q182" s="1003">
        <v>0</v>
      </c>
      <c r="R182" s="1001">
        <v>2023</v>
      </c>
      <c r="S182" s="1005">
        <v>2023</v>
      </c>
      <c r="U182" s="967"/>
      <c r="X182" s="967"/>
    </row>
    <row r="183" spans="1:24" s="979" customFormat="1" ht="42.6" customHeight="1">
      <c r="A183" s="956">
        <v>131</v>
      </c>
      <c r="B183" s="986" t="s">
        <v>2109</v>
      </c>
      <c r="C183" s="1001">
        <v>1978</v>
      </c>
      <c r="D183" s="1005">
        <v>2016</v>
      </c>
      <c r="E183" s="956" t="s">
        <v>220</v>
      </c>
      <c r="F183" s="1001">
        <v>2</v>
      </c>
      <c r="G183" s="1001">
        <v>2</v>
      </c>
      <c r="H183" s="1002">
        <v>818.1</v>
      </c>
      <c r="I183" s="1002">
        <v>754.1</v>
      </c>
      <c r="J183" s="1002">
        <v>754.1</v>
      </c>
      <c r="K183" s="1001">
        <v>24</v>
      </c>
      <c r="L183" s="1003">
        <f t="shared" si="40"/>
        <v>81000</v>
      </c>
      <c r="M183" s="1004">
        <v>0</v>
      </c>
      <c r="N183" s="1002">
        <v>24300</v>
      </c>
      <c r="O183" s="1002">
        <v>56700</v>
      </c>
      <c r="P183" s="1004">
        <v>0</v>
      </c>
      <c r="Q183" s="1003">
        <v>0</v>
      </c>
      <c r="R183" s="1001">
        <v>2023</v>
      </c>
      <c r="S183" s="1005">
        <v>2023</v>
      </c>
      <c r="U183" s="967"/>
      <c r="X183" s="967"/>
    </row>
    <row r="184" spans="1:24" s="979" customFormat="1" ht="42.6" customHeight="1">
      <c r="A184" s="956">
        <v>132</v>
      </c>
      <c r="B184" s="986" t="s">
        <v>2110</v>
      </c>
      <c r="C184" s="1001">
        <v>1984</v>
      </c>
      <c r="D184" s="1005">
        <v>2022</v>
      </c>
      <c r="E184" s="956" t="s">
        <v>220</v>
      </c>
      <c r="F184" s="1001">
        <v>2</v>
      </c>
      <c r="G184" s="1001">
        <v>2</v>
      </c>
      <c r="H184" s="1002">
        <v>790.4</v>
      </c>
      <c r="I184" s="1002">
        <v>741.2</v>
      </c>
      <c r="J184" s="1002">
        <v>741.2</v>
      </c>
      <c r="K184" s="1001">
        <v>22</v>
      </c>
      <c r="L184" s="1003">
        <f t="shared" si="40"/>
        <v>47000</v>
      </c>
      <c r="M184" s="1004">
        <v>0</v>
      </c>
      <c r="N184" s="1002">
        <v>9400</v>
      </c>
      <c r="O184" s="1002">
        <v>37600</v>
      </c>
      <c r="P184" s="1004">
        <v>0</v>
      </c>
      <c r="Q184" s="1003">
        <v>0</v>
      </c>
      <c r="R184" s="1001">
        <v>2023</v>
      </c>
      <c r="S184" s="1005">
        <v>2023</v>
      </c>
      <c r="U184" s="967"/>
      <c r="X184" s="967"/>
    </row>
    <row r="185" spans="1:24" s="979" customFormat="1" ht="42.6" customHeight="1">
      <c r="A185" s="956">
        <v>133</v>
      </c>
      <c r="B185" s="986" t="s">
        <v>2111</v>
      </c>
      <c r="C185" s="1001">
        <v>1978</v>
      </c>
      <c r="D185" s="1005">
        <v>2016</v>
      </c>
      <c r="E185" s="956" t="s">
        <v>220</v>
      </c>
      <c r="F185" s="1001">
        <v>2</v>
      </c>
      <c r="G185" s="1001">
        <v>2</v>
      </c>
      <c r="H185" s="1002">
        <v>790.5</v>
      </c>
      <c r="I185" s="1002">
        <v>741.3</v>
      </c>
      <c r="J185" s="1002">
        <v>741.3</v>
      </c>
      <c r="K185" s="1001">
        <v>25</v>
      </c>
      <c r="L185" s="1003">
        <f t="shared" si="40"/>
        <v>47000</v>
      </c>
      <c r="M185" s="1004">
        <v>0</v>
      </c>
      <c r="N185" s="1002">
        <v>14100</v>
      </c>
      <c r="O185" s="1002">
        <v>32900</v>
      </c>
      <c r="P185" s="1004">
        <v>0</v>
      </c>
      <c r="Q185" s="1003">
        <v>0</v>
      </c>
      <c r="R185" s="1001">
        <v>2023</v>
      </c>
      <c r="S185" s="1005">
        <v>2023</v>
      </c>
      <c r="U185" s="967"/>
      <c r="X185" s="967"/>
    </row>
    <row r="186" spans="1:24" s="979" customFormat="1" ht="42.6" customHeight="1">
      <c r="A186" s="956">
        <v>134</v>
      </c>
      <c r="B186" s="986" t="s">
        <v>2112</v>
      </c>
      <c r="C186" s="1001">
        <v>1984</v>
      </c>
      <c r="D186" s="1005">
        <v>2022</v>
      </c>
      <c r="E186" s="956" t="s">
        <v>220</v>
      </c>
      <c r="F186" s="1001">
        <v>2</v>
      </c>
      <c r="G186" s="1001">
        <v>3</v>
      </c>
      <c r="H186" s="1002">
        <v>1382</v>
      </c>
      <c r="I186" s="1002">
        <v>844.9</v>
      </c>
      <c r="J186" s="1002">
        <v>844.9</v>
      </c>
      <c r="K186" s="1001">
        <v>27</v>
      </c>
      <c r="L186" s="1003">
        <f t="shared" si="40"/>
        <v>66000</v>
      </c>
      <c r="M186" s="1004">
        <v>0</v>
      </c>
      <c r="N186" s="1002">
        <v>19800</v>
      </c>
      <c r="O186" s="1002">
        <v>46200</v>
      </c>
      <c r="P186" s="1004">
        <v>0</v>
      </c>
      <c r="Q186" s="1003">
        <v>0</v>
      </c>
      <c r="R186" s="1001">
        <v>2023</v>
      </c>
      <c r="S186" s="1005">
        <v>2023</v>
      </c>
      <c r="U186" s="967"/>
      <c r="X186" s="967"/>
    </row>
    <row r="187" spans="1:24" s="979" customFormat="1" ht="42.6" customHeight="1">
      <c r="A187" s="956">
        <v>135</v>
      </c>
      <c r="B187" s="986" t="s">
        <v>2113</v>
      </c>
      <c r="C187" s="1001">
        <v>1972</v>
      </c>
      <c r="D187" s="1005">
        <v>2016</v>
      </c>
      <c r="E187" s="956" t="s">
        <v>218</v>
      </c>
      <c r="F187" s="1001">
        <v>2</v>
      </c>
      <c r="G187" s="1001">
        <v>2</v>
      </c>
      <c r="H187" s="1002">
        <v>547.4</v>
      </c>
      <c r="I187" s="1002">
        <v>499.4</v>
      </c>
      <c r="J187" s="1002">
        <v>499.4</v>
      </c>
      <c r="K187" s="1001">
        <v>19</v>
      </c>
      <c r="L187" s="1003">
        <f t="shared" si="40"/>
        <v>39000</v>
      </c>
      <c r="M187" s="1004">
        <v>0</v>
      </c>
      <c r="N187" s="1002">
        <v>11700</v>
      </c>
      <c r="O187" s="1002">
        <v>27300</v>
      </c>
      <c r="P187" s="1004">
        <v>0</v>
      </c>
      <c r="Q187" s="1003">
        <v>0</v>
      </c>
      <c r="R187" s="1001">
        <v>2023</v>
      </c>
      <c r="S187" s="1005">
        <v>2023</v>
      </c>
      <c r="U187" s="967"/>
      <c r="X187" s="967"/>
    </row>
    <row r="188" spans="1:24" s="979" customFormat="1" ht="42.6" customHeight="1">
      <c r="A188" s="956">
        <v>136</v>
      </c>
      <c r="B188" s="986" t="s">
        <v>2114</v>
      </c>
      <c r="C188" s="1001">
        <v>1973</v>
      </c>
      <c r="D188" s="1005">
        <v>2021</v>
      </c>
      <c r="E188" s="956" t="s">
        <v>218</v>
      </c>
      <c r="F188" s="1001">
        <v>2</v>
      </c>
      <c r="G188" s="1001">
        <v>2</v>
      </c>
      <c r="H188" s="1002">
        <v>546.4</v>
      </c>
      <c r="I188" s="1002">
        <v>495.4</v>
      </c>
      <c r="J188" s="1002">
        <v>495.4</v>
      </c>
      <c r="K188" s="1001">
        <v>22</v>
      </c>
      <c r="L188" s="1003">
        <f t="shared" si="40"/>
        <v>39000</v>
      </c>
      <c r="M188" s="1004">
        <v>0</v>
      </c>
      <c r="N188" s="1002">
        <v>11700</v>
      </c>
      <c r="O188" s="1002">
        <v>27300</v>
      </c>
      <c r="P188" s="1004">
        <v>0</v>
      </c>
      <c r="Q188" s="1003">
        <v>0</v>
      </c>
      <c r="R188" s="1001">
        <v>2023</v>
      </c>
      <c r="S188" s="1005">
        <v>2023</v>
      </c>
      <c r="U188" s="967"/>
      <c r="X188" s="967"/>
    </row>
    <row r="189" spans="1:24" s="979" customFormat="1" ht="42.6" customHeight="1">
      <c r="A189" s="956">
        <v>137</v>
      </c>
      <c r="B189" s="986" t="s">
        <v>2115</v>
      </c>
      <c r="C189" s="1001">
        <v>1976</v>
      </c>
      <c r="D189" s="1005">
        <v>2017</v>
      </c>
      <c r="E189" s="956" t="s">
        <v>218</v>
      </c>
      <c r="F189" s="1001">
        <v>2</v>
      </c>
      <c r="G189" s="1001">
        <v>2</v>
      </c>
      <c r="H189" s="1002">
        <v>834</v>
      </c>
      <c r="I189" s="1002">
        <v>769.3</v>
      </c>
      <c r="J189" s="1002">
        <v>769.3</v>
      </c>
      <c r="K189" s="1001">
        <v>34</v>
      </c>
      <c r="L189" s="1003">
        <f t="shared" si="40"/>
        <v>47000</v>
      </c>
      <c r="M189" s="1004">
        <v>0</v>
      </c>
      <c r="N189" s="1002">
        <v>9400</v>
      </c>
      <c r="O189" s="1002">
        <v>37600</v>
      </c>
      <c r="P189" s="1004">
        <v>0</v>
      </c>
      <c r="Q189" s="1003">
        <v>0</v>
      </c>
      <c r="R189" s="1001">
        <v>2023</v>
      </c>
      <c r="S189" s="1005">
        <v>2023</v>
      </c>
      <c r="U189" s="967"/>
      <c r="X189" s="967"/>
    </row>
    <row r="190" spans="1:24" s="979" customFormat="1" ht="42.6" customHeight="1">
      <c r="A190" s="956">
        <v>138</v>
      </c>
      <c r="B190" s="986" t="s">
        <v>2116</v>
      </c>
      <c r="C190" s="1001">
        <v>1975</v>
      </c>
      <c r="D190" s="1005">
        <v>2016</v>
      </c>
      <c r="E190" s="956" t="s">
        <v>218</v>
      </c>
      <c r="F190" s="1001">
        <v>2</v>
      </c>
      <c r="G190" s="1001">
        <v>1</v>
      </c>
      <c r="H190" s="1002">
        <v>824</v>
      </c>
      <c r="I190" s="1002">
        <v>746</v>
      </c>
      <c r="J190" s="1002">
        <v>746</v>
      </c>
      <c r="K190" s="1001">
        <v>27</v>
      </c>
      <c r="L190" s="1003">
        <f t="shared" si="40"/>
        <v>62000</v>
      </c>
      <c r="M190" s="1004">
        <v>0</v>
      </c>
      <c r="N190" s="1002">
        <v>18600</v>
      </c>
      <c r="O190" s="1002">
        <v>43400</v>
      </c>
      <c r="P190" s="1004">
        <v>0</v>
      </c>
      <c r="Q190" s="1003">
        <v>0</v>
      </c>
      <c r="R190" s="1001">
        <v>2023</v>
      </c>
      <c r="S190" s="1005">
        <v>2023</v>
      </c>
      <c r="U190" s="967"/>
      <c r="X190" s="967"/>
    </row>
    <row r="191" spans="1:24" s="979" customFormat="1" ht="42.6" customHeight="1">
      <c r="A191" s="956">
        <v>139</v>
      </c>
      <c r="B191" s="986" t="s">
        <v>1136</v>
      </c>
      <c r="C191" s="1001">
        <v>1973</v>
      </c>
      <c r="D191" s="1005">
        <v>2021</v>
      </c>
      <c r="E191" s="956" t="s">
        <v>218</v>
      </c>
      <c r="F191" s="1001">
        <v>2</v>
      </c>
      <c r="G191" s="1001">
        <v>2</v>
      </c>
      <c r="H191" s="1002">
        <v>780.5</v>
      </c>
      <c r="I191" s="1002">
        <v>716</v>
      </c>
      <c r="J191" s="1002">
        <v>716</v>
      </c>
      <c r="K191" s="1001">
        <v>21</v>
      </c>
      <c r="L191" s="1003">
        <f t="shared" si="40"/>
        <v>914733</v>
      </c>
      <c r="M191" s="1004">
        <v>0</v>
      </c>
      <c r="N191" s="1002">
        <v>274420</v>
      </c>
      <c r="O191" s="1002">
        <v>640313</v>
      </c>
      <c r="P191" s="1004">
        <v>0</v>
      </c>
      <c r="Q191" s="1003">
        <v>0</v>
      </c>
      <c r="R191" s="1001">
        <v>2023</v>
      </c>
      <c r="S191" s="1005">
        <v>2023</v>
      </c>
      <c r="U191" s="967"/>
      <c r="X191" s="967"/>
    </row>
    <row r="192" spans="1:24" s="979" customFormat="1" ht="42.6" customHeight="1">
      <c r="A192" s="956">
        <v>140</v>
      </c>
      <c r="B192" s="986" t="s">
        <v>1307</v>
      </c>
      <c r="C192" s="1001">
        <v>1989</v>
      </c>
      <c r="D192" s="1005">
        <v>2022</v>
      </c>
      <c r="E192" s="956" t="s">
        <v>218</v>
      </c>
      <c r="F192" s="1001">
        <v>2</v>
      </c>
      <c r="G192" s="1001">
        <v>1</v>
      </c>
      <c r="H192" s="1002" t="s">
        <v>1308</v>
      </c>
      <c r="I192" s="1002">
        <v>397.2</v>
      </c>
      <c r="J192" s="1002">
        <v>397.2</v>
      </c>
      <c r="K192" s="1001">
        <v>19</v>
      </c>
      <c r="L192" s="1003">
        <f t="shared" si="40"/>
        <v>207495</v>
      </c>
      <c r="M192" s="1004">
        <v>0</v>
      </c>
      <c r="N192" s="1002">
        <v>41499</v>
      </c>
      <c r="O192" s="1002">
        <v>165996</v>
      </c>
      <c r="P192" s="1004">
        <v>0</v>
      </c>
      <c r="Q192" s="1003">
        <v>0</v>
      </c>
      <c r="R192" s="1001">
        <v>2023</v>
      </c>
      <c r="S192" s="1005">
        <v>2023</v>
      </c>
      <c r="U192" s="967"/>
      <c r="X192" s="967"/>
    </row>
    <row r="193" spans="1:27" s="966" customFormat="1" ht="39.6" customHeight="1">
      <c r="A193" s="1190" t="s">
        <v>1257</v>
      </c>
      <c r="B193" s="1192"/>
      <c r="C193" s="1192"/>
      <c r="D193" s="1192"/>
      <c r="E193" s="1192"/>
      <c r="F193" s="1192"/>
      <c r="G193" s="1192"/>
      <c r="H193" s="1192"/>
      <c r="I193" s="1192"/>
      <c r="J193" s="1192"/>
      <c r="K193" s="1192"/>
      <c r="L193" s="1192"/>
      <c r="M193" s="1192"/>
      <c r="N193" s="1192"/>
      <c r="O193" s="1192"/>
      <c r="P193" s="1192"/>
      <c r="Q193" s="1192"/>
      <c r="R193" s="1192"/>
      <c r="S193" s="1192"/>
      <c r="U193" s="967"/>
      <c r="X193" s="967"/>
    </row>
    <row r="194" spans="1:27" s="966" customFormat="1" ht="39.6" customHeight="1">
      <c r="A194" s="1169" t="s">
        <v>205</v>
      </c>
      <c r="B194" s="1170"/>
      <c r="C194" s="1170"/>
      <c r="D194" s="1170"/>
      <c r="E194" s="1170"/>
      <c r="F194" s="1170"/>
      <c r="G194" s="1171"/>
      <c r="H194" s="963">
        <f>H196+H349+H351</f>
        <v>230695.26999999996</v>
      </c>
      <c r="I194" s="963">
        <f>I196+I349+I351</f>
        <v>208041.46</v>
      </c>
      <c r="J194" s="963">
        <f>J196+J349+J351</f>
        <v>192581.52999999994</v>
      </c>
      <c r="K194" s="964">
        <f>K196+K349+K351</f>
        <v>8605</v>
      </c>
      <c r="L194" s="965">
        <f>L196+L363+L365</f>
        <v>837396218.1500001</v>
      </c>
      <c r="M194" s="965">
        <v>0</v>
      </c>
      <c r="N194" s="965">
        <f t="shared" ref="N194:O194" si="41">N196+N363+N365</f>
        <v>3750065.21</v>
      </c>
      <c r="O194" s="965">
        <f t="shared" si="41"/>
        <v>833646152.94000006</v>
      </c>
      <c r="P194" s="963">
        <f>P196+P349+P351</f>
        <v>0</v>
      </c>
      <c r="Q194" s="963">
        <f>Q196+Q349+Q351</f>
        <v>0</v>
      </c>
      <c r="R194" s="957" t="s">
        <v>40</v>
      </c>
      <c r="S194" s="957" t="s">
        <v>40</v>
      </c>
      <c r="U194" s="967"/>
      <c r="X194" s="967"/>
    </row>
    <row r="195" spans="1:27" s="966" customFormat="1" ht="40.9" customHeight="1">
      <c r="A195" s="1190" t="s">
        <v>1024</v>
      </c>
      <c r="B195" s="1190"/>
      <c r="C195" s="1190"/>
      <c r="D195" s="1190"/>
      <c r="E195" s="1190"/>
      <c r="F195" s="1190"/>
      <c r="G195" s="1190"/>
      <c r="H195" s="1190"/>
      <c r="I195" s="1190"/>
      <c r="J195" s="1190"/>
      <c r="K195" s="1190"/>
      <c r="L195" s="1190"/>
      <c r="M195" s="1190"/>
      <c r="N195" s="1190"/>
      <c r="O195" s="1190"/>
      <c r="P195" s="1190"/>
      <c r="Q195" s="1190"/>
      <c r="R195" s="1190"/>
      <c r="S195" s="1190"/>
      <c r="U195" s="967"/>
      <c r="X195" s="967"/>
    </row>
    <row r="196" spans="1:27" s="966" customFormat="1" ht="37.9" customHeight="1">
      <c r="A196" s="1169" t="s">
        <v>205</v>
      </c>
      <c r="B196" s="1170"/>
      <c r="C196" s="1170"/>
      <c r="D196" s="1170"/>
      <c r="E196" s="1170"/>
      <c r="F196" s="1170"/>
      <c r="G196" s="1171"/>
      <c r="H196" s="963">
        <f>H197+H220+H232+H241+H245+H248+H251+H254+H260+H265+H268+H270+H272+H282+H287+H293+H295+H304+H317+H325+H331+H333+H336+H341+H343+H345+H347+H351+H354+H356</f>
        <v>229023.16999999995</v>
      </c>
      <c r="I196" s="963">
        <f t="shared" ref="I196:N196" si="42">I197+I220+I232+I241+I245+I248+I251+I254+I260+I265+I268+I270+I272+I282+I287+I295+I304+I317+I325+I331+I333+I336+I343+I347+I351+I356+I293+I345</f>
        <v>206369.36</v>
      </c>
      <c r="J196" s="963">
        <f t="shared" si="42"/>
        <v>191207.52999999994</v>
      </c>
      <c r="K196" s="977">
        <f t="shared" si="42"/>
        <v>8539</v>
      </c>
      <c r="L196" s="965">
        <f>L197+L220+L232+L241+L245+L248+L251+L254+L260+L265+L268+L270+L272+L282+L287+L293+L295+L304+L315+L317+L325+L331+L333+L336+L341+L343+L345+L347+L351+L354+L356</f>
        <v>831995582.1500001</v>
      </c>
      <c r="M196" s="963">
        <f t="shared" si="42"/>
        <v>0</v>
      </c>
      <c r="N196" s="963">
        <f t="shared" si="42"/>
        <v>2129875.21</v>
      </c>
      <c r="O196" s="963">
        <f>O197+O220+O232+O241+O245+O248+O251+O254+O260+O265+O268+O270+O272+O282+O287+O295+O304+O317+O325+O331+O333+O336+O343+O347+O351+O356+O293+O345+O315+O341+O354</f>
        <v>829865706.94000006</v>
      </c>
      <c r="P196" s="963">
        <f>P197+P220+P232+P241+P245+P248+P251+P254+P260+P265+P268+P270+P272+P282+P287+P295+P304+P317+P325+P331+P333+P336+P343+P347+P351+P356</f>
        <v>0</v>
      </c>
      <c r="Q196" s="963">
        <f>Q197+Q220+Q232+Q241+Q245+Q248+Q251+Q254+Q260+Q265+Q268+Q270+Q272+Q282+Q287+Q295+Q304+Q317+Q325+Q331+Q333+Q336+Q343+Q347+Q351+Q356</f>
        <v>0</v>
      </c>
      <c r="R196" s="963" t="s">
        <v>40</v>
      </c>
      <c r="S196" s="963" t="s">
        <v>40</v>
      </c>
      <c r="U196" s="967"/>
      <c r="X196" s="967"/>
      <c r="AA196" s="967"/>
    </row>
    <row r="197" spans="1:27" s="966" customFormat="1" ht="39.6" customHeight="1">
      <c r="A197" s="1172" t="s">
        <v>2271</v>
      </c>
      <c r="B197" s="1173"/>
      <c r="C197" s="1173"/>
      <c r="D197" s="1173"/>
      <c r="E197" s="1173"/>
      <c r="F197" s="1173"/>
      <c r="G197" s="1174"/>
      <c r="H197" s="968">
        <f>SUM(H198:H219)</f>
        <v>42880.700000000012</v>
      </c>
      <c r="I197" s="968">
        <f t="shared" ref="I197:Q197" si="43">SUM(I198:I219)</f>
        <v>36674.100000000006</v>
      </c>
      <c r="J197" s="968">
        <f t="shared" si="43"/>
        <v>34683</v>
      </c>
      <c r="K197" s="958">
        <f t="shared" si="43"/>
        <v>1838</v>
      </c>
      <c r="L197" s="968">
        <f>SUM(L198:L219)</f>
        <v>276127122.75999999</v>
      </c>
      <c r="M197" s="968">
        <f t="shared" si="43"/>
        <v>0</v>
      </c>
      <c r="N197" s="968">
        <f t="shared" si="43"/>
        <v>0</v>
      </c>
      <c r="O197" s="968">
        <f t="shared" si="43"/>
        <v>276127122.75999999</v>
      </c>
      <c r="P197" s="968">
        <f t="shared" si="43"/>
        <v>0</v>
      </c>
      <c r="Q197" s="968">
        <f t="shared" si="43"/>
        <v>0</v>
      </c>
      <c r="R197" s="968" t="s">
        <v>40</v>
      </c>
      <c r="S197" s="968" t="s">
        <v>40</v>
      </c>
      <c r="U197" s="967"/>
      <c r="X197" s="967"/>
    </row>
    <row r="198" spans="1:27" s="981" customFormat="1" ht="42" customHeight="1">
      <c r="A198" s="956">
        <v>1</v>
      </c>
      <c r="B198" s="972" t="s">
        <v>1634</v>
      </c>
      <c r="C198" s="957">
        <v>1980</v>
      </c>
      <c r="D198" s="957"/>
      <c r="E198" s="956" t="s">
        <v>219</v>
      </c>
      <c r="F198" s="957">
        <v>9</v>
      </c>
      <c r="G198" s="957">
        <v>1</v>
      </c>
      <c r="H198" s="973">
        <v>2184.9</v>
      </c>
      <c r="I198" s="973">
        <v>1942.7</v>
      </c>
      <c r="J198" s="973">
        <v>1942.7</v>
      </c>
      <c r="K198" s="957">
        <v>66</v>
      </c>
      <c r="L198" s="971">
        <v>33500342.280000001</v>
      </c>
      <c r="M198" s="974">
        <v>0</v>
      </c>
      <c r="N198" s="974">
        <v>0</v>
      </c>
      <c r="O198" s="975">
        <f>L198</f>
        <v>33500342.280000001</v>
      </c>
      <c r="P198" s="974">
        <v>0</v>
      </c>
      <c r="Q198" s="974">
        <v>0</v>
      </c>
      <c r="R198" s="956">
        <v>2024</v>
      </c>
      <c r="S198" s="1006" t="s">
        <v>1387</v>
      </c>
      <c r="U198" s="967"/>
      <c r="X198" s="967"/>
    </row>
    <row r="199" spans="1:27" s="981" customFormat="1" ht="42" customHeight="1">
      <c r="A199" s="956">
        <v>2</v>
      </c>
      <c r="B199" s="972" t="s">
        <v>1995</v>
      </c>
      <c r="C199" s="957">
        <v>1984</v>
      </c>
      <c r="D199" s="957"/>
      <c r="E199" s="956" t="s">
        <v>219</v>
      </c>
      <c r="F199" s="957">
        <v>12</v>
      </c>
      <c r="G199" s="957">
        <v>1</v>
      </c>
      <c r="H199" s="973">
        <v>4376.1000000000004</v>
      </c>
      <c r="I199" s="973">
        <v>3573.9</v>
      </c>
      <c r="J199" s="973">
        <v>3461.3</v>
      </c>
      <c r="K199" s="957">
        <v>177</v>
      </c>
      <c r="L199" s="971">
        <v>29734760.809999999</v>
      </c>
      <c r="M199" s="974">
        <v>0</v>
      </c>
      <c r="N199" s="974">
        <v>0</v>
      </c>
      <c r="O199" s="975">
        <f t="shared" ref="O199:O219" si="44">L199</f>
        <v>29734760.809999999</v>
      </c>
      <c r="P199" s="974">
        <v>0</v>
      </c>
      <c r="Q199" s="974">
        <v>0</v>
      </c>
      <c r="R199" s="956">
        <v>2024</v>
      </c>
      <c r="S199" s="1006" t="s">
        <v>1387</v>
      </c>
      <c r="U199" s="967"/>
      <c r="X199" s="967"/>
    </row>
    <row r="200" spans="1:27" s="981" customFormat="1" ht="42" customHeight="1">
      <c r="A200" s="956">
        <v>3</v>
      </c>
      <c r="B200" s="976" t="s">
        <v>1996</v>
      </c>
      <c r="C200" s="957">
        <v>1988</v>
      </c>
      <c r="D200" s="957"/>
      <c r="E200" s="956" t="s">
        <v>218</v>
      </c>
      <c r="F200" s="957">
        <v>11</v>
      </c>
      <c r="G200" s="957">
        <v>1</v>
      </c>
      <c r="H200" s="973">
        <v>3508.1</v>
      </c>
      <c r="I200" s="973">
        <v>3508.1</v>
      </c>
      <c r="J200" s="973">
        <v>3441.6</v>
      </c>
      <c r="K200" s="957">
        <v>241</v>
      </c>
      <c r="L200" s="971">
        <v>9239393.4800000004</v>
      </c>
      <c r="M200" s="974">
        <v>0</v>
      </c>
      <c r="N200" s="974">
        <v>0</v>
      </c>
      <c r="O200" s="975">
        <f t="shared" si="44"/>
        <v>9239393.4800000004</v>
      </c>
      <c r="P200" s="974">
        <v>0</v>
      </c>
      <c r="Q200" s="974">
        <v>0</v>
      </c>
      <c r="R200" s="956">
        <v>2024</v>
      </c>
      <c r="S200" s="1006" t="s">
        <v>1387</v>
      </c>
      <c r="U200" s="967"/>
      <c r="X200" s="967"/>
    </row>
    <row r="201" spans="1:27" s="981" customFormat="1" ht="42" customHeight="1">
      <c r="A201" s="956">
        <v>4</v>
      </c>
      <c r="B201" s="972" t="s">
        <v>1997</v>
      </c>
      <c r="C201" s="957">
        <v>1978</v>
      </c>
      <c r="D201" s="957"/>
      <c r="E201" s="956" t="s">
        <v>219</v>
      </c>
      <c r="F201" s="957">
        <v>9</v>
      </c>
      <c r="G201" s="957">
        <v>1</v>
      </c>
      <c r="H201" s="973">
        <v>2165.6</v>
      </c>
      <c r="I201" s="973">
        <v>1940.6</v>
      </c>
      <c r="J201" s="973">
        <v>1874.1</v>
      </c>
      <c r="K201" s="957">
        <v>286</v>
      </c>
      <c r="L201" s="971">
        <v>16145744.640000001</v>
      </c>
      <c r="M201" s="974">
        <v>0</v>
      </c>
      <c r="N201" s="974">
        <v>0</v>
      </c>
      <c r="O201" s="975">
        <f t="shared" si="44"/>
        <v>16145744.640000001</v>
      </c>
      <c r="P201" s="974">
        <v>0</v>
      </c>
      <c r="Q201" s="974">
        <v>0</v>
      </c>
      <c r="R201" s="956">
        <v>2024</v>
      </c>
      <c r="S201" s="1006" t="s">
        <v>1387</v>
      </c>
      <c r="U201" s="967"/>
      <c r="X201" s="967"/>
    </row>
    <row r="202" spans="1:27" s="982" customFormat="1" ht="44.45" customHeight="1">
      <c r="A202" s="956">
        <v>5</v>
      </c>
      <c r="B202" s="972" t="s">
        <v>1637</v>
      </c>
      <c r="C202" s="957">
        <v>1949</v>
      </c>
      <c r="D202" s="957"/>
      <c r="E202" s="956" t="s">
        <v>218</v>
      </c>
      <c r="F202" s="957">
        <v>2</v>
      </c>
      <c r="G202" s="957">
        <v>1</v>
      </c>
      <c r="H202" s="973">
        <v>405.9</v>
      </c>
      <c r="I202" s="973">
        <v>372.9</v>
      </c>
      <c r="J202" s="973">
        <f>I202-132.4</f>
        <v>240.49999999999997</v>
      </c>
      <c r="K202" s="957">
        <v>20</v>
      </c>
      <c r="L202" s="971">
        <v>5536872.379999999</v>
      </c>
      <c r="M202" s="974">
        <v>0</v>
      </c>
      <c r="N202" s="974">
        <v>0</v>
      </c>
      <c r="O202" s="975">
        <f t="shared" si="44"/>
        <v>5536872.379999999</v>
      </c>
      <c r="P202" s="974">
        <v>0</v>
      </c>
      <c r="Q202" s="974">
        <v>0</v>
      </c>
      <c r="R202" s="956">
        <v>2024</v>
      </c>
      <c r="S202" s="1006" t="s">
        <v>1387</v>
      </c>
      <c r="U202" s="967"/>
      <c r="X202" s="967"/>
    </row>
    <row r="203" spans="1:27" s="982" customFormat="1" ht="44.45" customHeight="1">
      <c r="A203" s="956">
        <v>6</v>
      </c>
      <c r="B203" s="972" t="s">
        <v>1635</v>
      </c>
      <c r="C203" s="957">
        <v>1949</v>
      </c>
      <c r="D203" s="957"/>
      <c r="E203" s="956" t="s">
        <v>218</v>
      </c>
      <c r="F203" s="957">
        <v>2</v>
      </c>
      <c r="G203" s="957">
        <v>1</v>
      </c>
      <c r="H203" s="973">
        <v>396.2</v>
      </c>
      <c r="I203" s="973">
        <v>363.9</v>
      </c>
      <c r="J203" s="973">
        <v>363.9</v>
      </c>
      <c r="K203" s="957">
        <v>18</v>
      </c>
      <c r="L203" s="971">
        <v>4957673.88</v>
      </c>
      <c r="M203" s="974">
        <v>0</v>
      </c>
      <c r="N203" s="974">
        <v>0</v>
      </c>
      <c r="O203" s="975">
        <f t="shared" si="44"/>
        <v>4957673.88</v>
      </c>
      <c r="P203" s="974">
        <v>0</v>
      </c>
      <c r="Q203" s="974">
        <v>0</v>
      </c>
      <c r="R203" s="956">
        <v>2024</v>
      </c>
      <c r="S203" s="1006" t="s">
        <v>1387</v>
      </c>
      <c r="U203" s="967"/>
      <c r="X203" s="967"/>
    </row>
    <row r="204" spans="1:27" s="966" customFormat="1" ht="43.9" customHeight="1">
      <c r="A204" s="956">
        <v>7</v>
      </c>
      <c r="B204" s="972" t="s">
        <v>1998</v>
      </c>
      <c r="C204" s="957">
        <v>1958</v>
      </c>
      <c r="D204" s="957"/>
      <c r="E204" s="956" t="s">
        <v>218</v>
      </c>
      <c r="F204" s="957">
        <v>2</v>
      </c>
      <c r="G204" s="957">
        <v>2</v>
      </c>
      <c r="H204" s="973">
        <v>688.3</v>
      </c>
      <c r="I204" s="973">
        <v>639.79999999999995</v>
      </c>
      <c r="J204" s="973">
        <v>541</v>
      </c>
      <c r="K204" s="957">
        <v>37</v>
      </c>
      <c r="L204" s="971">
        <v>2617223.7799999998</v>
      </c>
      <c r="M204" s="1007">
        <v>0</v>
      </c>
      <c r="N204" s="1007">
        <v>0</v>
      </c>
      <c r="O204" s="975">
        <f t="shared" si="44"/>
        <v>2617223.7799999998</v>
      </c>
      <c r="P204" s="974">
        <v>0</v>
      </c>
      <c r="Q204" s="974">
        <v>0</v>
      </c>
      <c r="R204" s="956">
        <v>2024</v>
      </c>
      <c r="S204" s="1006" t="s">
        <v>1387</v>
      </c>
      <c r="U204" s="967"/>
      <c r="X204" s="967"/>
    </row>
    <row r="205" spans="1:27" s="966" customFormat="1" ht="43.9" customHeight="1">
      <c r="A205" s="956">
        <v>8</v>
      </c>
      <c r="B205" s="972" t="s">
        <v>2023</v>
      </c>
      <c r="C205" s="957">
        <v>1955</v>
      </c>
      <c r="D205" s="957"/>
      <c r="E205" s="956" t="s">
        <v>218</v>
      </c>
      <c r="F205" s="957">
        <v>2</v>
      </c>
      <c r="G205" s="957">
        <v>2</v>
      </c>
      <c r="H205" s="973">
        <v>912.6</v>
      </c>
      <c r="I205" s="973">
        <v>875.4</v>
      </c>
      <c r="J205" s="973">
        <v>659</v>
      </c>
      <c r="K205" s="957">
        <v>11</v>
      </c>
      <c r="L205" s="971">
        <v>5790663.3700000001</v>
      </c>
      <c r="M205" s="1007">
        <v>0</v>
      </c>
      <c r="N205" s="1007">
        <v>0</v>
      </c>
      <c r="O205" s="975">
        <f t="shared" si="44"/>
        <v>5790663.3700000001</v>
      </c>
      <c r="P205" s="974">
        <v>0</v>
      </c>
      <c r="Q205" s="974">
        <v>0</v>
      </c>
      <c r="R205" s="956">
        <v>2024</v>
      </c>
      <c r="S205" s="1006" t="s">
        <v>1387</v>
      </c>
      <c r="U205" s="967"/>
      <c r="X205" s="967"/>
    </row>
    <row r="206" spans="1:27" s="966" customFormat="1" ht="43.9" customHeight="1">
      <c r="A206" s="956">
        <v>9</v>
      </c>
      <c r="B206" s="972" t="s">
        <v>1999</v>
      </c>
      <c r="C206" s="957">
        <v>1965</v>
      </c>
      <c r="D206" s="957"/>
      <c r="E206" s="956" t="s">
        <v>219</v>
      </c>
      <c r="F206" s="957">
        <v>5</v>
      </c>
      <c r="G206" s="957">
        <v>4</v>
      </c>
      <c r="H206" s="973">
        <v>4592.8999999999996</v>
      </c>
      <c r="I206" s="973">
        <v>3564.4</v>
      </c>
      <c r="J206" s="973">
        <v>3518.2</v>
      </c>
      <c r="K206" s="957">
        <v>152</v>
      </c>
      <c r="L206" s="971">
        <v>6956571.0499999998</v>
      </c>
      <c r="M206" s="1007">
        <v>0</v>
      </c>
      <c r="N206" s="1007">
        <v>0</v>
      </c>
      <c r="O206" s="975">
        <f t="shared" si="44"/>
        <v>6956571.0499999998</v>
      </c>
      <c r="P206" s="974">
        <v>0</v>
      </c>
      <c r="Q206" s="974">
        <v>0</v>
      </c>
      <c r="R206" s="956">
        <v>2024</v>
      </c>
      <c r="S206" s="1006" t="s">
        <v>1387</v>
      </c>
      <c r="U206" s="967"/>
      <c r="X206" s="967"/>
    </row>
    <row r="207" spans="1:27" s="966" customFormat="1" ht="43.9" customHeight="1">
      <c r="A207" s="956">
        <v>10</v>
      </c>
      <c r="B207" s="972" t="s">
        <v>2000</v>
      </c>
      <c r="C207" s="957">
        <v>1973</v>
      </c>
      <c r="D207" s="957"/>
      <c r="E207" s="956" t="s">
        <v>218</v>
      </c>
      <c r="F207" s="957">
        <v>5</v>
      </c>
      <c r="G207" s="957">
        <v>2</v>
      </c>
      <c r="H207" s="973">
        <v>2371.8000000000002</v>
      </c>
      <c r="I207" s="973">
        <v>1771.2</v>
      </c>
      <c r="J207" s="973">
        <v>1639</v>
      </c>
      <c r="K207" s="957">
        <v>93</v>
      </c>
      <c r="L207" s="971">
        <v>14961522.02</v>
      </c>
      <c r="M207" s="1007">
        <v>0</v>
      </c>
      <c r="N207" s="1007">
        <v>0</v>
      </c>
      <c r="O207" s="975">
        <f t="shared" si="44"/>
        <v>14961522.02</v>
      </c>
      <c r="P207" s="974">
        <v>0</v>
      </c>
      <c r="Q207" s="974">
        <v>0</v>
      </c>
      <c r="R207" s="956">
        <v>2024</v>
      </c>
      <c r="S207" s="1006" t="s">
        <v>1387</v>
      </c>
      <c r="U207" s="967"/>
      <c r="X207" s="967"/>
    </row>
    <row r="208" spans="1:27" s="966" customFormat="1" ht="43.9" customHeight="1">
      <c r="A208" s="956">
        <v>11</v>
      </c>
      <c r="B208" s="972" t="s">
        <v>2001</v>
      </c>
      <c r="C208" s="957">
        <v>1950</v>
      </c>
      <c r="D208" s="957"/>
      <c r="E208" s="956" t="s">
        <v>218</v>
      </c>
      <c r="F208" s="957">
        <v>2</v>
      </c>
      <c r="G208" s="957">
        <v>2</v>
      </c>
      <c r="H208" s="973">
        <v>803.9</v>
      </c>
      <c r="I208" s="973">
        <v>728.7</v>
      </c>
      <c r="J208" s="973">
        <v>681.2</v>
      </c>
      <c r="K208" s="957">
        <v>37</v>
      </c>
      <c r="L208" s="971">
        <v>2832417.74</v>
      </c>
      <c r="M208" s="1007">
        <v>0</v>
      </c>
      <c r="N208" s="1007">
        <v>0</v>
      </c>
      <c r="O208" s="975">
        <f t="shared" si="44"/>
        <v>2832417.74</v>
      </c>
      <c r="P208" s="974">
        <v>0</v>
      </c>
      <c r="Q208" s="974">
        <v>0</v>
      </c>
      <c r="R208" s="956">
        <v>2024</v>
      </c>
      <c r="S208" s="1006" t="s">
        <v>1387</v>
      </c>
      <c r="U208" s="967"/>
      <c r="X208" s="967"/>
    </row>
    <row r="209" spans="1:24" s="966" customFormat="1" ht="43.9" customHeight="1">
      <c r="A209" s="956">
        <v>12</v>
      </c>
      <c r="B209" s="972" t="s">
        <v>2002</v>
      </c>
      <c r="C209" s="957">
        <v>1947</v>
      </c>
      <c r="D209" s="957"/>
      <c r="E209" s="956" t="s">
        <v>218</v>
      </c>
      <c r="F209" s="957">
        <v>2</v>
      </c>
      <c r="G209" s="957">
        <v>2</v>
      </c>
      <c r="H209" s="973">
        <v>784.4</v>
      </c>
      <c r="I209" s="973">
        <v>709.5</v>
      </c>
      <c r="J209" s="973">
        <v>637.79999999999995</v>
      </c>
      <c r="K209" s="957">
        <v>33</v>
      </c>
      <c r="L209" s="971">
        <v>2997056.76</v>
      </c>
      <c r="M209" s="1007">
        <v>0</v>
      </c>
      <c r="N209" s="1007">
        <v>0</v>
      </c>
      <c r="O209" s="975">
        <f t="shared" si="44"/>
        <v>2997056.76</v>
      </c>
      <c r="P209" s="974">
        <v>0</v>
      </c>
      <c r="Q209" s="974">
        <v>0</v>
      </c>
      <c r="R209" s="956">
        <v>2024</v>
      </c>
      <c r="S209" s="1006" t="s">
        <v>1387</v>
      </c>
      <c r="U209" s="967"/>
      <c r="X209" s="967"/>
    </row>
    <row r="210" spans="1:24" s="966" customFormat="1" ht="43.9" customHeight="1">
      <c r="A210" s="956">
        <v>13</v>
      </c>
      <c r="B210" s="972" t="s">
        <v>2003</v>
      </c>
      <c r="C210" s="957">
        <v>1967</v>
      </c>
      <c r="D210" s="957"/>
      <c r="E210" s="956" t="s">
        <v>218</v>
      </c>
      <c r="F210" s="957">
        <v>5</v>
      </c>
      <c r="G210" s="957">
        <v>2</v>
      </c>
      <c r="H210" s="973">
        <v>1958.2</v>
      </c>
      <c r="I210" s="973">
        <v>1805.9</v>
      </c>
      <c r="J210" s="973">
        <v>1765</v>
      </c>
      <c r="K210" s="957">
        <v>97</v>
      </c>
      <c r="L210" s="971">
        <v>13738096.710000001</v>
      </c>
      <c r="M210" s="1007">
        <v>0</v>
      </c>
      <c r="N210" s="1007">
        <v>0</v>
      </c>
      <c r="O210" s="975">
        <f t="shared" si="44"/>
        <v>13738096.710000001</v>
      </c>
      <c r="P210" s="974">
        <v>0</v>
      </c>
      <c r="Q210" s="974">
        <v>0</v>
      </c>
      <c r="R210" s="956">
        <v>2024</v>
      </c>
      <c r="S210" s="1006" t="s">
        <v>1387</v>
      </c>
      <c r="U210" s="967"/>
      <c r="X210" s="967"/>
    </row>
    <row r="211" spans="1:24" s="966" customFormat="1" ht="43.9" customHeight="1">
      <c r="A211" s="956">
        <v>14</v>
      </c>
      <c r="B211" s="972" t="s">
        <v>2004</v>
      </c>
      <c r="C211" s="957">
        <v>1957</v>
      </c>
      <c r="D211" s="957"/>
      <c r="E211" s="956" t="s">
        <v>220</v>
      </c>
      <c r="F211" s="957">
        <v>3</v>
      </c>
      <c r="G211" s="957">
        <v>3</v>
      </c>
      <c r="H211" s="973">
        <v>1566.9</v>
      </c>
      <c r="I211" s="973">
        <v>1348.8</v>
      </c>
      <c r="J211" s="973">
        <v>1301.5</v>
      </c>
      <c r="K211" s="957">
        <v>51</v>
      </c>
      <c r="L211" s="971">
        <v>11882228.34</v>
      </c>
      <c r="M211" s="1007">
        <v>0</v>
      </c>
      <c r="N211" s="1007">
        <v>0</v>
      </c>
      <c r="O211" s="975">
        <f>L211</f>
        <v>11882228.34</v>
      </c>
      <c r="P211" s="974">
        <v>0</v>
      </c>
      <c r="Q211" s="974">
        <v>0</v>
      </c>
      <c r="R211" s="956">
        <v>2024</v>
      </c>
      <c r="S211" s="1006" t="s">
        <v>1387</v>
      </c>
      <c r="U211" s="967"/>
      <c r="X211" s="967"/>
    </row>
    <row r="212" spans="1:24" s="966" customFormat="1" ht="43.9" customHeight="1">
      <c r="A212" s="956">
        <v>15</v>
      </c>
      <c r="B212" s="972" t="s">
        <v>2005</v>
      </c>
      <c r="C212" s="957">
        <v>1953</v>
      </c>
      <c r="D212" s="957"/>
      <c r="E212" s="956" t="s">
        <v>218</v>
      </c>
      <c r="F212" s="957">
        <v>2</v>
      </c>
      <c r="G212" s="957">
        <v>2</v>
      </c>
      <c r="H212" s="973">
        <v>903</v>
      </c>
      <c r="I212" s="973">
        <v>835.2</v>
      </c>
      <c r="J212" s="973">
        <v>798.6</v>
      </c>
      <c r="K212" s="957">
        <v>41</v>
      </c>
      <c r="L212" s="971">
        <v>3407491.14</v>
      </c>
      <c r="M212" s="1007">
        <v>0</v>
      </c>
      <c r="N212" s="1007">
        <v>0</v>
      </c>
      <c r="O212" s="975">
        <f t="shared" si="44"/>
        <v>3407491.14</v>
      </c>
      <c r="P212" s="974">
        <v>0</v>
      </c>
      <c r="Q212" s="974">
        <v>0</v>
      </c>
      <c r="R212" s="956">
        <v>2024</v>
      </c>
      <c r="S212" s="1006" t="s">
        <v>1387</v>
      </c>
      <c r="U212" s="967"/>
      <c r="X212" s="967"/>
    </row>
    <row r="213" spans="1:24" s="966" customFormat="1" ht="43.9" customHeight="1">
      <c r="A213" s="956">
        <v>16</v>
      </c>
      <c r="B213" s="972" t="s">
        <v>2006</v>
      </c>
      <c r="C213" s="957">
        <v>1952</v>
      </c>
      <c r="D213" s="957"/>
      <c r="E213" s="956" t="s">
        <v>218</v>
      </c>
      <c r="F213" s="957">
        <v>2</v>
      </c>
      <c r="G213" s="957">
        <v>1</v>
      </c>
      <c r="H213" s="973">
        <v>409.7</v>
      </c>
      <c r="I213" s="973">
        <v>381.1</v>
      </c>
      <c r="J213" s="973">
        <v>381.1</v>
      </c>
      <c r="K213" s="957">
        <v>27</v>
      </c>
      <c r="L213" s="971">
        <v>2264681.5</v>
      </c>
      <c r="M213" s="1007">
        <v>0</v>
      </c>
      <c r="N213" s="1007">
        <v>0</v>
      </c>
      <c r="O213" s="975">
        <f t="shared" si="44"/>
        <v>2264681.5</v>
      </c>
      <c r="P213" s="974">
        <v>0</v>
      </c>
      <c r="Q213" s="974">
        <v>0</v>
      </c>
      <c r="R213" s="956">
        <v>2024</v>
      </c>
      <c r="S213" s="1006" t="s">
        <v>1387</v>
      </c>
      <c r="U213" s="967"/>
      <c r="X213" s="967"/>
    </row>
    <row r="214" spans="1:24" s="966" customFormat="1" ht="43.9" customHeight="1">
      <c r="A214" s="956">
        <v>17</v>
      </c>
      <c r="B214" s="972" t="s">
        <v>1636</v>
      </c>
      <c r="C214" s="957">
        <v>1948</v>
      </c>
      <c r="D214" s="957"/>
      <c r="E214" s="956" t="s">
        <v>218</v>
      </c>
      <c r="F214" s="957">
        <v>2</v>
      </c>
      <c r="G214" s="957">
        <v>3</v>
      </c>
      <c r="H214" s="973">
        <v>1329.8</v>
      </c>
      <c r="I214" s="973">
        <v>1212.2</v>
      </c>
      <c r="J214" s="973">
        <v>1010.5</v>
      </c>
      <c r="K214" s="957">
        <v>55</v>
      </c>
      <c r="L214" s="971">
        <v>4457333.42</v>
      </c>
      <c r="M214" s="1007">
        <v>0</v>
      </c>
      <c r="N214" s="1007">
        <v>0</v>
      </c>
      <c r="O214" s="975">
        <f t="shared" si="44"/>
        <v>4457333.42</v>
      </c>
      <c r="P214" s="974">
        <v>0</v>
      </c>
      <c r="Q214" s="974">
        <v>0</v>
      </c>
      <c r="R214" s="956">
        <v>2024</v>
      </c>
      <c r="S214" s="1006" t="s">
        <v>1387</v>
      </c>
      <c r="U214" s="967"/>
      <c r="X214" s="967"/>
    </row>
    <row r="215" spans="1:24" s="966" customFormat="1" ht="43.9" customHeight="1">
      <c r="A215" s="956">
        <v>18</v>
      </c>
      <c r="B215" s="972" t="s">
        <v>2007</v>
      </c>
      <c r="C215" s="957">
        <v>1955</v>
      </c>
      <c r="D215" s="957"/>
      <c r="E215" s="956" t="s">
        <v>218</v>
      </c>
      <c r="F215" s="957">
        <v>2</v>
      </c>
      <c r="G215" s="957">
        <v>1</v>
      </c>
      <c r="H215" s="973">
        <v>560</v>
      </c>
      <c r="I215" s="973">
        <v>537.9</v>
      </c>
      <c r="J215" s="973">
        <v>537.9</v>
      </c>
      <c r="K215" s="957">
        <v>21</v>
      </c>
      <c r="L215" s="971">
        <v>2287945.71</v>
      </c>
      <c r="M215" s="1007">
        <v>0</v>
      </c>
      <c r="N215" s="1007">
        <v>0</v>
      </c>
      <c r="O215" s="975">
        <f t="shared" si="44"/>
        <v>2287945.71</v>
      </c>
      <c r="P215" s="974">
        <v>0</v>
      </c>
      <c r="Q215" s="974">
        <v>0</v>
      </c>
      <c r="R215" s="956">
        <v>2024</v>
      </c>
      <c r="S215" s="1006" t="s">
        <v>1387</v>
      </c>
      <c r="U215" s="967"/>
      <c r="X215" s="967"/>
    </row>
    <row r="216" spans="1:24" s="966" customFormat="1" ht="43.9" customHeight="1">
      <c r="A216" s="956">
        <v>19</v>
      </c>
      <c r="B216" s="972" t="s">
        <v>2008</v>
      </c>
      <c r="C216" s="957">
        <v>1954</v>
      </c>
      <c r="D216" s="957"/>
      <c r="E216" s="956" t="s">
        <v>218</v>
      </c>
      <c r="F216" s="957">
        <v>3</v>
      </c>
      <c r="G216" s="957">
        <v>3</v>
      </c>
      <c r="H216" s="973">
        <v>2071</v>
      </c>
      <c r="I216" s="973">
        <v>1876.6</v>
      </c>
      <c r="J216" s="973">
        <v>1847</v>
      </c>
      <c r="K216" s="957">
        <v>87</v>
      </c>
      <c r="L216" s="971">
        <v>16311359.199999999</v>
      </c>
      <c r="M216" s="1007">
        <v>0</v>
      </c>
      <c r="N216" s="1007">
        <v>0</v>
      </c>
      <c r="O216" s="975">
        <f t="shared" si="44"/>
        <v>16311359.199999999</v>
      </c>
      <c r="P216" s="974">
        <v>0</v>
      </c>
      <c r="Q216" s="974">
        <v>0</v>
      </c>
      <c r="R216" s="956">
        <v>2024</v>
      </c>
      <c r="S216" s="1006" t="s">
        <v>1387</v>
      </c>
      <c r="U216" s="967"/>
      <c r="X216" s="967"/>
    </row>
    <row r="217" spans="1:24" s="966" customFormat="1" ht="43.9" customHeight="1">
      <c r="A217" s="956">
        <v>20</v>
      </c>
      <c r="B217" s="972" t="s">
        <v>2009</v>
      </c>
      <c r="C217" s="957">
        <v>1946</v>
      </c>
      <c r="D217" s="957"/>
      <c r="E217" s="956" t="s">
        <v>218</v>
      </c>
      <c r="F217" s="957">
        <v>3</v>
      </c>
      <c r="G217" s="957">
        <v>3</v>
      </c>
      <c r="H217" s="973">
        <v>2002.8</v>
      </c>
      <c r="I217" s="973">
        <v>1847.4</v>
      </c>
      <c r="J217" s="973">
        <v>1294.5999999999999</v>
      </c>
      <c r="K217" s="957">
        <v>34</v>
      </c>
      <c r="L217" s="971">
        <v>15370322.92</v>
      </c>
      <c r="M217" s="1007">
        <v>0</v>
      </c>
      <c r="N217" s="1007">
        <v>0</v>
      </c>
      <c r="O217" s="975">
        <f t="shared" si="44"/>
        <v>15370322.92</v>
      </c>
      <c r="P217" s="974">
        <v>0</v>
      </c>
      <c r="Q217" s="974">
        <v>0</v>
      </c>
      <c r="R217" s="956">
        <v>2024</v>
      </c>
      <c r="S217" s="1006" t="s">
        <v>1387</v>
      </c>
      <c r="U217" s="967"/>
      <c r="X217" s="967"/>
    </row>
    <row r="218" spans="1:24" s="966" customFormat="1" ht="43.9" customHeight="1">
      <c r="A218" s="956">
        <v>21</v>
      </c>
      <c r="B218" s="972" t="s">
        <v>2010</v>
      </c>
      <c r="C218" s="957">
        <v>1954</v>
      </c>
      <c r="D218" s="957"/>
      <c r="E218" s="956" t="s">
        <v>218</v>
      </c>
      <c r="F218" s="957">
        <v>3</v>
      </c>
      <c r="G218" s="957">
        <v>3</v>
      </c>
      <c r="H218" s="973">
        <v>2026.8</v>
      </c>
      <c r="I218" s="973">
        <v>1856.4</v>
      </c>
      <c r="J218" s="973">
        <v>1765</v>
      </c>
      <c r="K218" s="957">
        <v>47</v>
      </c>
      <c r="L218" s="971">
        <v>18188271.960000001</v>
      </c>
      <c r="M218" s="1007">
        <v>0</v>
      </c>
      <c r="N218" s="1007">
        <v>0</v>
      </c>
      <c r="O218" s="975">
        <f t="shared" si="44"/>
        <v>18188271.960000001</v>
      </c>
      <c r="P218" s="974">
        <v>0</v>
      </c>
      <c r="Q218" s="974">
        <v>0</v>
      </c>
      <c r="R218" s="956">
        <v>2024</v>
      </c>
      <c r="S218" s="1006" t="s">
        <v>1387</v>
      </c>
      <c r="U218" s="967"/>
      <c r="X218" s="967"/>
    </row>
    <row r="219" spans="1:24" s="966" customFormat="1" ht="43.9" customHeight="1">
      <c r="A219" s="956">
        <v>22</v>
      </c>
      <c r="B219" s="972" t="s">
        <v>2078</v>
      </c>
      <c r="C219" s="957">
        <v>1955</v>
      </c>
      <c r="D219" s="957"/>
      <c r="E219" s="956" t="s">
        <v>218</v>
      </c>
      <c r="F219" s="957">
        <v>5</v>
      </c>
      <c r="G219" s="957">
        <v>7</v>
      </c>
      <c r="H219" s="973">
        <v>6861.8</v>
      </c>
      <c r="I219" s="973">
        <v>4981.5</v>
      </c>
      <c r="J219" s="973">
        <v>4981.5</v>
      </c>
      <c r="K219" s="957">
        <v>207</v>
      </c>
      <c r="L219" s="971">
        <v>52949149.670000002</v>
      </c>
      <c r="M219" s="1007">
        <v>0</v>
      </c>
      <c r="N219" s="1007">
        <v>0</v>
      </c>
      <c r="O219" s="975">
        <f t="shared" si="44"/>
        <v>52949149.670000002</v>
      </c>
      <c r="P219" s="974">
        <v>0</v>
      </c>
      <c r="Q219" s="974">
        <v>0</v>
      </c>
      <c r="R219" s="956">
        <v>2024</v>
      </c>
      <c r="S219" s="1006" t="s">
        <v>1387</v>
      </c>
      <c r="U219" s="967"/>
      <c r="X219" s="967"/>
    </row>
    <row r="220" spans="1:24" s="982" customFormat="1" ht="40.15" customHeight="1">
      <c r="A220" s="1172" t="s">
        <v>2053</v>
      </c>
      <c r="B220" s="1173"/>
      <c r="C220" s="1173"/>
      <c r="D220" s="1173"/>
      <c r="E220" s="1173"/>
      <c r="F220" s="1173"/>
      <c r="G220" s="1174"/>
      <c r="H220" s="968">
        <f>SUM(H221:H231)</f>
        <v>8039</v>
      </c>
      <c r="I220" s="968">
        <f t="shared" ref="I220:Q220" si="45">SUM(I221:I231)</f>
        <v>7685</v>
      </c>
      <c r="J220" s="968">
        <f t="shared" si="45"/>
        <v>7264.2</v>
      </c>
      <c r="K220" s="958">
        <f t="shared" si="45"/>
        <v>294</v>
      </c>
      <c r="L220" s="968">
        <f t="shared" si="45"/>
        <v>56818674.5</v>
      </c>
      <c r="M220" s="968">
        <f t="shared" si="45"/>
        <v>0</v>
      </c>
      <c r="N220" s="968">
        <f t="shared" si="45"/>
        <v>0</v>
      </c>
      <c r="O220" s="968">
        <f t="shared" si="45"/>
        <v>56818674.5</v>
      </c>
      <c r="P220" s="968">
        <f t="shared" si="45"/>
        <v>0</v>
      </c>
      <c r="Q220" s="968">
        <f t="shared" si="45"/>
        <v>0</v>
      </c>
      <c r="R220" s="968" t="s">
        <v>40</v>
      </c>
      <c r="S220" s="968" t="s">
        <v>40</v>
      </c>
      <c r="U220" s="967"/>
      <c r="X220" s="967"/>
    </row>
    <row r="221" spans="1:24" s="982" customFormat="1" ht="40.15" customHeight="1">
      <c r="A221" s="956">
        <v>23</v>
      </c>
      <c r="B221" s="976" t="s">
        <v>1970</v>
      </c>
      <c r="C221" s="956">
        <v>1917</v>
      </c>
      <c r="D221" s="956"/>
      <c r="E221" s="978" t="s">
        <v>218</v>
      </c>
      <c r="F221" s="956">
        <v>2</v>
      </c>
      <c r="G221" s="956">
        <v>2</v>
      </c>
      <c r="H221" s="963">
        <v>561.6</v>
      </c>
      <c r="I221" s="963">
        <v>561.6</v>
      </c>
      <c r="J221" s="963">
        <v>561.6</v>
      </c>
      <c r="K221" s="977">
        <v>14</v>
      </c>
      <c r="L221" s="965">
        <v>5636702.71</v>
      </c>
      <c r="M221" s="968">
        <v>0</v>
      </c>
      <c r="N221" s="963">
        <v>0</v>
      </c>
      <c r="O221" s="963">
        <v>5636702.71</v>
      </c>
      <c r="P221" s="968">
        <v>0</v>
      </c>
      <c r="Q221" s="963">
        <v>0</v>
      </c>
      <c r="R221" s="956">
        <v>2024</v>
      </c>
      <c r="S221" s="956">
        <v>2024</v>
      </c>
      <c r="U221" s="967"/>
      <c r="X221" s="967"/>
    </row>
    <row r="222" spans="1:24" s="982" customFormat="1" ht="40.15" customHeight="1">
      <c r="A222" s="956">
        <v>24</v>
      </c>
      <c r="B222" s="976" t="s">
        <v>1599</v>
      </c>
      <c r="C222" s="956">
        <v>1941</v>
      </c>
      <c r="D222" s="956"/>
      <c r="E222" s="956" t="s">
        <v>221</v>
      </c>
      <c r="F222" s="956">
        <v>2</v>
      </c>
      <c r="G222" s="956">
        <v>2</v>
      </c>
      <c r="H222" s="963">
        <v>637.9</v>
      </c>
      <c r="I222" s="963">
        <v>591.6</v>
      </c>
      <c r="J222" s="963">
        <v>591.6</v>
      </c>
      <c r="K222" s="977">
        <v>19</v>
      </c>
      <c r="L222" s="965">
        <v>3613142.7</v>
      </c>
      <c r="M222" s="974">
        <v>0</v>
      </c>
      <c r="N222" s="974">
        <v>0</v>
      </c>
      <c r="O222" s="963">
        <v>3613142.7</v>
      </c>
      <c r="P222" s="974">
        <v>0</v>
      </c>
      <c r="Q222" s="974">
        <v>0</v>
      </c>
      <c r="R222" s="956">
        <v>2024</v>
      </c>
      <c r="S222" s="956">
        <v>2024</v>
      </c>
      <c r="U222" s="967"/>
      <c r="X222" s="967"/>
    </row>
    <row r="223" spans="1:24" s="982" customFormat="1" ht="40.15" customHeight="1">
      <c r="A223" s="956">
        <v>25</v>
      </c>
      <c r="B223" s="976" t="s">
        <v>1969</v>
      </c>
      <c r="C223" s="956">
        <v>1958</v>
      </c>
      <c r="D223" s="956"/>
      <c r="E223" s="978" t="s">
        <v>221</v>
      </c>
      <c r="F223" s="956">
        <v>2</v>
      </c>
      <c r="G223" s="956">
        <v>1</v>
      </c>
      <c r="H223" s="963">
        <v>492.6</v>
      </c>
      <c r="I223" s="963">
        <v>492.6</v>
      </c>
      <c r="J223" s="963">
        <v>492.6</v>
      </c>
      <c r="K223" s="977">
        <v>18</v>
      </c>
      <c r="L223" s="965">
        <v>6261413.8799999999</v>
      </c>
      <c r="M223" s="968">
        <v>0</v>
      </c>
      <c r="N223" s="963">
        <v>0</v>
      </c>
      <c r="O223" s="963">
        <v>6261413.8799999999</v>
      </c>
      <c r="P223" s="968">
        <v>0</v>
      </c>
      <c r="Q223" s="963">
        <v>0</v>
      </c>
      <c r="R223" s="956">
        <v>2024</v>
      </c>
      <c r="S223" s="956">
        <v>2024</v>
      </c>
      <c r="U223" s="967"/>
      <c r="X223" s="967"/>
    </row>
    <row r="224" spans="1:24" s="982" customFormat="1" ht="40.15" customHeight="1">
      <c r="A224" s="956">
        <v>26</v>
      </c>
      <c r="B224" s="976" t="s">
        <v>2030</v>
      </c>
      <c r="C224" s="956">
        <v>1990</v>
      </c>
      <c r="D224" s="956"/>
      <c r="E224" s="978" t="s">
        <v>218</v>
      </c>
      <c r="F224" s="956">
        <v>2</v>
      </c>
      <c r="G224" s="956">
        <v>2</v>
      </c>
      <c r="H224" s="963">
        <v>966.6</v>
      </c>
      <c r="I224" s="963">
        <v>866.8</v>
      </c>
      <c r="J224" s="963">
        <v>866.8</v>
      </c>
      <c r="K224" s="977">
        <v>34</v>
      </c>
      <c r="L224" s="965">
        <v>4001070.65</v>
      </c>
      <c r="M224" s="968">
        <v>0</v>
      </c>
      <c r="N224" s="963">
        <v>0</v>
      </c>
      <c r="O224" s="963">
        <v>4001070.65</v>
      </c>
      <c r="P224" s="968">
        <v>0</v>
      </c>
      <c r="Q224" s="963">
        <v>0</v>
      </c>
      <c r="R224" s="956">
        <v>2024</v>
      </c>
      <c r="S224" s="956">
        <v>2024</v>
      </c>
      <c r="U224" s="967"/>
      <c r="X224" s="967"/>
    </row>
    <row r="225" spans="1:24" s="982" customFormat="1" ht="40.15" customHeight="1">
      <c r="A225" s="956">
        <v>27</v>
      </c>
      <c r="B225" s="976" t="s">
        <v>1603</v>
      </c>
      <c r="C225" s="956">
        <v>1985</v>
      </c>
      <c r="D225" s="956"/>
      <c r="E225" s="956" t="s">
        <v>1023</v>
      </c>
      <c r="F225" s="956">
        <v>2</v>
      </c>
      <c r="G225" s="956">
        <v>3</v>
      </c>
      <c r="H225" s="963">
        <v>967.6</v>
      </c>
      <c r="I225" s="963">
        <v>967.6</v>
      </c>
      <c r="J225" s="963">
        <v>863.7</v>
      </c>
      <c r="K225" s="977">
        <v>38</v>
      </c>
      <c r="L225" s="965">
        <v>1063583.21</v>
      </c>
      <c r="M225" s="974">
        <v>0</v>
      </c>
      <c r="N225" s="974">
        <v>0</v>
      </c>
      <c r="O225" s="963">
        <v>1063583.21</v>
      </c>
      <c r="P225" s="974">
        <v>0</v>
      </c>
      <c r="Q225" s="974">
        <v>0</v>
      </c>
      <c r="R225" s="956">
        <v>2024</v>
      </c>
      <c r="S225" s="956">
        <v>2024</v>
      </c>
      <c r="U225" s="967"/>
      <c r="X225" s="967"/>
    </row>
    <row r="226" spans="1:24" s="982" customFormat="1" ht="40.15" customHeight="1">
      <c r="A226" s="956">
        <v>28</v>
      </c>
      <c r="B226" s="976" t="s">
        <v>1600</v>
      </c>
      <c r="C226" s="956">
        <v>1955</v>
      </c>
      <c r="D226" s="956"/>
      <c r="E226" s="956" t="s">
        <v>218</v>
      </c>
      <c r="F226" s="956">
        <v>2</v>
      </c>
      <c r="G226" s="956">
        <v>2</v>
      </c>
      <c r="H226" s="963">
        <v>685.1</v>
      </c>
      <c r="I226" s="963">
        <v>685.1</v>
      </c>
      <c r="J226" s="963">
        <v>685.1</v>
      </c>
      <c r="K226" s="977">
        <v>21</v>
      </c>
      <c r="L226" s="965">
        <v>8113769.5999999996</v>
      </c>
      <c r="M226" s="974">
        <v>0</v>
      </c>
      <c r="N226" s="974">
        <v>0</v>
      </c>
      <c r="O226" s="963">
        <v>8113769.5999999996</v>
      </c>
      <c r="P226" s="974">
        <v>0</v>
      </c>
      <c r="Q226" s="974">
        <v>0</v>
      </c>
      <c r="R226" s="956">
        <v>2024</v>
      </c>
      <c r="S226" s="956">
        <v>2024</v>
      </c>
      <c r="U226" s="967"/>
      <c r="X226" s="967"/>
    </row>
    <row r="227" spans="1:24" s="982" customFormat="1" ht="40.15" customHeight="1">
      <c r="A227" s="956">
        <v>29</v>
      </c>
      <c r="B227" s="976" t="s">
        <v>2270</v>
      </c>
      <c r="C227" s="956">
        <v>1983</v>
      </c>
      <c r="D227" s="956"/>
      <c r="E227" s="956" t="s">
        <v>221</v>
      </c>
      <c r="F227" s="956">
        <v>2</v>
      </c>
      <c r="G227" s="956">
        <v>2</v>
      </c>
      <c r="H227" s="963">
        <v>644.4</v>
      </c>
      <c r="I227" s="963">
        <v>588.4</v>
      </c>
      <c r="J227" s="963">
        <v>555.5</v>
      </c>
      <c r="K227" s="977">
        <v>28</v>
      </c>
      <c r="L227" s="965">
        <v>5039129.6900000004</v>
      </c>
      <c r="M227" s="974">
        <v>0</v>
      </c>
      <c r="N227" s="974">
        <v>0</v>
      </c>
      <c r="O227" s="963">
        <v>5039129.6900000004</v>
      </c>
      <c r="P227" s="974">
        <v>0</v>
      </c>
      <c r="Q227" s="974">
        <v>0</v>
      </c>
      <c r="R227" s="956">
        <v>2024</v>
      </c>
      <c r="S227" s="956">
        <v>2024</v>
      </c>
      <c r="U227" s="967"/>
      <c r="X227" s="967"/>
    </row>
    <row r="228" spans="1:24" s="982" customFormat="1" ht="55.5" customHeight="1">
      <c r="A228" s="956">
        <v>30</v>
      </c>
      <c r="B228" s="976" t="s">
        <v>1602</v>
      </c>
      <c r="C228" s="956">
        <v>1956</v>
      </c>
      <c r="D228" s="956"/>
      <c r="E228" s="956" t="s">
        <v>218</v>
      </c>
      <c r="F228" s="956">
        <v>2</v>
      </c>
      <c r="G228" s="956">
        <v>2</v>
      </c>
      <c r="H228" s="963">
        <v>425.3</v>
      </c>
      <c r="I228" s="963">
        <v>402.8</v>
      </c>
      <c r="J228" s="963">
        <v>402.8</v>
      </c>
      <c r="K228" s="977">
        <v>25</v>
      </c>
      <c r="L228" s="965">
        <v>5923819.7199999997</v>
      </c>
      <c r="M228" s="974">
        <v>0</v>
      </c>
      <c r="N228" s="974">
        <v>0</v>
      </c>
      <c r="O228" s="963">
        <v>5923819.7199999997</v>
      </c>
      <c r="P228" s="974">
        <v>0</v>
      </c>
      <c r="Q228" s="974">
        <v>0</v>
      </c>
      <c r="R228" s="956">
        <v>2024</v>
      </c>
      <c r="S228" s="956">
        <v>2024</v>
      </c>
      <c r="U228" s="967"/>
      <c r="X228" s="967"/>
    </row>
    <row r="229" spans="1:24" s="1008" customFormat="1" ht="57" customHeight="1">
      <c r="A229" s="956">
        <v>31</v>
      </c>
      <c r="B229" s="976" t="s">
        <v>1604</v>
      </c>
      <c r="C229" s="956">
        <v>1973</v>
      </c>
      <c r="D229" s="956"/>
      <c r="E229" s="956" t="s">
        <v>218</v>
      </c>
      <c r="F229" s="956">
        <v>2</v>
      </c>
      <c r="G229" s="956">
        <v>4</v>
      </c>
      <c r="H229" s="963">
        <v>868.8</v>
      </c>
      <c r="I229" s="963">
        <v>868.8</v>
      </c>
      <c r="J229" s="963">
        <v>584.9</v>
      </c>
      <c r="K229" s="977">
        <v>32</v>
      </c>
      <c r="L229" s="965">
        <v>5156749.29</v>
      </c>
      <c r="M229" s="974">
        <v>0</v>
      </c>
      <c r="N229" s="974">
        <v>0</v>
      </c>
      <c r="O229" s="963">
        <v>5156749.29</v>
      </c>
      <c r="P229" s="974">
        <v>0</v>
      </c>
      <c r="Q229" s="974">
        <v>0</v>
      </c>
      <c r="R229" s="956">
        <v>2024</v>
      </c>
      <c r="S229" s="956">
        <v>2024</v>
      </c>
      <c r="U229" s="967"/>
      <c r="X229" s="967"/>
    </row>
    <row r="230" spans="1:24" s="1008" customFormat="1" ht="40.15" customHeight="1">
      <c r="A230" s="956">
        <v>32</v>
      </c>
      <c r="B230" s="976" t="s">
        <v>1605</v>
      </c>
      <c r="C230" s="956">
        <v>1975</v>
      </c>
      <c r="D230" s="956"/>
      <c r="E230" s="956" t="s">
        <v>218</v>
      </c>
      <c r="F230" s="956">
        <v>2</v>
      </c>
      <c r="G230" s="956">
        <v>3</v>
      </c>
      <c r="H230" s="963">
        <v>916.3</v>
      </c>
      <c r="I230" s="963">
        <v>786.9</v>
      </c>
      <c r="J230" s="963">
        <v>786.8</v>
      </c>
      <c r="K230" s="977">
        <v>34</v>
      </c>
      <c r="L230" s="965">
        <v>3385925.81</v>
      </c>
      <c r="M230" s="974">
        <v>0</v>
      </c>
      <c r="N230" s="974">
        <v>0</v>
      </c>
      <c r="O230" s="963">
        <v>3385925.81</v>
      </c>
      <c r="P230" s="974">
        <v>0</v>
      </c>
      <c r="Q230" s="974">
        <v>0</v>
      </c>
      <c r="R230" s="956">
        <v>2024</v>
      </c>
      <c r="S230" s="956">
        <v>2024</v>
      </c>
      <c r="U230" s="967"/>
      <c r="X230" s="967"/>
    </row>
    <row r="231" spans="1:24" s="1008" customFormat="1" ht="40.15" customHeight="1">
      <c r="A231" s="956">
        <v>33</v>
      </c>
      <c r="B231" s="976" t="s">
        <v>1606</v>
      </c>
      <c r="C231" s="956">
        <v>1978</v>
      </c>
      <c r="D231" s="956"/>
      <c r="E231" s="956" t="s">
        <v>218</v>
      </c>
      <c r="F231" s="956">
        <v>2</v>
      </c>
      <c r="G231" s="956">
        <v>3</v>
      </c>
      <c r="H231" s="963">
        <v>872.8</v>
      </c>
      <c r="I231" s="963">
        <v>872.8</v>
      </c>
      <c r="J231" s="963">
        <v>872.8</v>
      </c>
      <c r="K231" s="977">
        <v>31</v>
      </c>
      <c r="L231" s="965">
        <v>8623367.2400000002</v>
      </c>
      <c r="M231" s="974">
        <v>0</v>
      </c>
      <c r="N231" s="974">
        <v>0</v>
      </c>
      <c r="O231" s="963">
        <v>8623367.2400000002</v>
      </c>
      <c r="P231" s="974">
        <v>0</v>
      </c>
      <c r="Q231" s="974">
        <v>0</v>
      </c>
      <c r="R231" s="956">
        <v>2024</v>
      </c>
      <c r="S231" s="956">
        <v>2024</v>
      </c>
      <c r="U231" s="967"/>
      <c r="X231" s="967"/>
    </row>
    <row r="232" spans="1:24" s="966" customFormat="1" ht="44.45" customHeight="1">
      <c r="A232" s="1193" t="s">
        <v>1186</v>
      </c>
      <c r="B232" s="1194"/>
      <c r="C232" s="1194"/>
      <c r="D232" s="1194"/>
      <c r="E232" s="1194"/>
      <c r="F232" s="1194"/>
      <c r="G232" s="1195"/>
      <c r="H232" s="963">
        <f t="shared" ref="H232:Q232" si="46">SUM(H233:H240)</f>
        <v>21029.8</v>
      </c>
      <c r="I232" s="963">
        <f t="shared" si="46"/>
        <v>18949.899999999998</v>
      </c>
      <c r="J232" s="963">
        <f t="shared" si="46"/>
        <v>16539.7</v>
      </c>
      <c r="K232" s="977">
        <f t="shared" si="46"/>
        <v>767</v>
      </c>
      <c r="L232" s="963">
        <f t="shared" si="46"/>
        <v>57282217.330000006</v>
      </c>
      <c r="M232" s="963">
        <f t="shared" si="46"/>
        <v>0</v>
      </c>
      <c r="N232" s="963">
        <f t="shared" si="46"/>
        <v>0</v>
      </c>
      <c r="O232" s="963">
        <f t="shared" si="46"/>
        <v>57282217.330000006</v>
      </c>
      <c r="P232" s="963">
        <f t="shared" si="46"/>
        <v>0</v>
      </c>
      <c r="Q232" s="963">
        <f t="shared" si="46"/>
        <v>0</v>
      </c>
      <c r="R232" s="973" t="s">
        <v>40</v>
      </c>
      <c r="S232" s="973" t="s">
        <v>40</v>
      </c>
      <c r="U232" s="967"/>
      <c r="X232" s="967"/>
    </row>
    <row r="233" spans="1:24" s="966" customFormat="1" ht="47.45" customHeight="1">
      <c r="A233" s="956">
        <v>34</v>
      </c>
      <c r="B233" s="989" t="s">
        <v>1916</v>
      </c>
      <c r="C233" s="956">
        <v>1988</v>
      </c>
      <c r="D233" s="956"/>
      <c r="E233" s="956" t="s">
        <v>218</v>
      </c>
      <c r="F233" s="956">
        <v>5</v>
      </c>
      <c r="G233" s="956">
        <v>6</v>
      </c>
      <c r="H233" s="963">
        <v>4659.1000000000004</v>
      </c>
      <c r="I233" s="963">
        <v>4659.1000000000004</v>
      </c>
      <c r="J233" s="963">
        <v>3578.1</v>
      </c>
      <c r="K233" s="956">
        <v>204</v>
      </c>
      <c r="L233" s="965">
        <v>11268753.82</v>
      </c>
      <c r="M233" s="974">
        <v>0</v>
      </c>
      <c r="N233" s="974">
        <v>0</v>
      </c>
      <c r="O233" s="963">
        <v>11268753.82</v>
      </c>
      <c r="P233" s="974">
        <v>0</v>
      </c>
      <c r="Q233" s="974">
        <v>0</v>
      </c>
      <c r="R233" s="956">
        <v>2024</v>
      </c>
      <c r="S233" s="956">
        <v>2024</v>
      </c>
      <c r="U233" s="967"/>
      <c r="X233" s="967"/>
    </row>
    <row r="234" spans="1:24" s="966" customFormat="1" ht="44.45" customHeight="1">
      <c r="A234" s="956">
        <v>35</v>
      </c>
      <c r="B234" s="989" t="s">
        <v>1917</v>
      </c>
      <c r="C234" s="956">
        <v>1990</v>
      </c>
      <c r="D234" s="956"/>
      <c r="E234" s="956" t="s">
        <v>220</v>
      </c>
      <c r="F234" s="956">
        <v>5</v>
      </c>
      <c r="G234" s="956">
        <v>7</v>
      </c>
      <c r="H234" s="963">
        <v>4608.2</v>
      </c>
      <c r="I234" s="963">
        <v>4608.2</v>
      </c>
      <c r="J234" s="963">
        <v>4521.2</v>
      </c>
      <c r="K234" s="956">
        <v>221</v>
      </c>
      <c r="L234" s="965">
        <v>6906295.6600000001</v>
      </c>
      <c r="M234" s="974">
        <v>0</v>
      </c>
      <c r="N234" s="974">
        <v>0</v>
      </c>
      <c r="O234" s="963">
        <v>6906295.6600000001</v>
      </c>
      <c r="P234" s="974">
        <v>0</v>
      </c>
      <c r="Q234" s="974">
        <v>0</v>
      </c>
      <c r="R234" s="956">
        <v>2024</v>
      </c>
      <c r="S234" s="956">
        <v>2024</v>
      </c>
      <c r="U234" s="967"/>
      <c r="X234" s="967"/>
    </row>
    <row r="235" spans="1:24" s="982" customFormat="1" ht="37.9" customHeight="1">
      <c r="A235" s="956">
        <v>36</v>
      </c>
      <c r="B235" s="989" t="s">
        <v>1918</v>
      </c>
      <c r="C235" s="956">
        <v>1971</v>
      </c>
      <c r="D235" s="956"/>
      <c r="E235" s="956" t="s">
        <v>218</v>
      </c>
      <c r="F235" s="956">
        <v>2</v>
      </c>
      <c r="G235" s="956">
        <v>2</v>
      </c>
      <c r="H235" s="963">
        <v>466.3</v>
      </c>
      <c r="I235" s="963">
        <v>214.4</v>
      </c>
      <c r="J235" s="963">
        <v>214.4</v>
      </c>
      <c r="K235" s="956">
        <v>6</v>
      </c>
      <c r="L235" s="965">
        <v>3564967.46</v>
      </c>
      <c r="M235" s="974">
        <v>0</v>
      </c>
      <c r="N235" s="974">
        <v>0</v>
      </c>
      <c r="O235" s="963">
        <v>3564967.46</v>
      </c>
      <c r="P235" s="974">
        <v>0</v>
      </c>
      <c r="Q235" s="974">
        <v>0</v>
      </c>
      <c r="R235" s="956">
        <v>2024</v>
      </c>
      <c r="S235" s="956">
        <v>2024</v>
      </c>
      <c r="U235" s="967"/>
      <c r="X235" s="967"/>
    </row>
    <row r="236" spans="1:24" s="982" customFormat="1" ht="43.9" customHeight="1">
      <c r="A236" s="956">
        <v>37</v>
      </c>
      <c r="B236" s="989" t="s">
        <v>1919</v>
      </c>
      <c r="C236" s="956">
        <v>1959</v>
      </c>
      <c r="D236" s="956"/>
      <c r="E236" s="956" t="s">
        <v>218</v>
      </c>
      <c r="F236" s="956">
        <v>2</v>
      </c>
      <c r="G236" s="956">
        <v>2</v>
      </c>
      <c r="H236" s="963">
        <v>749.2</v>
      </c>
      <c r="I236" s="963">
        <v>476.1</v>
      </c>
      <c r="J236" s="963">
        <v>476.1</v>
      </c>
      <c r="K236" s="956">
        <v>11</v>
      </c>
      <c r="L236" s="965">
        <v>4297231.05</v>
      </c>
      <c r="M236" s="974">
        <v>0</v>
      </c>
      <c r="N236" s="974">
        <v>0</v>
      </c>
      <c r="O236" s="963">
        <v>4297231.05</v>
      </c>
      <c r="P236" s="974">
        <v>0</v>
      </c>
      <c r="Q236" s="974">
        <v>0</v>
      </c>
      <c r="R236" s="956">
        <v>2024</v>
      </c>
      <c r="S236" s="956">
        <v>2024</v>
      </c>
      <c r="U236" s="967"/>
      <c r="X236" s="967"/>
    </row>
    <row r="237" spans="1:24" s="982" customFormat="1" ht="40.15" customHeight="1">
      <c r="A237" s="956">
        <v>38</v>
      </c>
      <c r="B237" s="989" t="s">
        <v>1920</v>
      </c>
      <c r="C237" s="956">
        <v>1988</v>
      </c>
      <c r="D237" s="956"/>
      <c r="E237" s="956" t="s">
        <v>218</v>
      </c>
      <c r="F237" s="956">
        <v>5</v>
      </c>
      <c r="G237" s="956">
        <v>6</v>
      </c>
      <c r="H237" s="963">
        <v>4628</v>
      </c>
      <c r="I237" s="963">
        <v>4628</v>
      </c>
      <c r="J237" s="963">
        <v>3803</v>
      </c>
      <c r="K237" s="956">
        <v>204</v>
      </c>
      <c r="L237" s="965">
        <v>10007992.25</v>
      </c>
      <c r="M237" s="974">
        <v>0</v>
      </c>
      <c r="N237" s="974">
        <v>0</v>
      </c>
      <c r="O237" s="963">
        <v>10007992.25</v>
      </c>
      <c r="P237" s="974">
        <v>0</v>
      </c>
      <c r="Q237" s="974">
        <v>0</v>
      </c>
      <c r="R237" s="956">
        <v>2024</v>
      </c>
      <c r="S237" s="956">
        <v>2024</v>
      </c>
      <c r="U237" s="967"/>
      <c r="X237" s="967"/>
    </row>
    <row r="238" spans="1:24" s="982" customFormat="1" ht="40.15" customHeight="1">
      <c r="A238" s="956">
        <v>39</v>
      </c>
      <c r="B238" s="989" t="s">
        <v>1991</v>
      </c>
      <c r="C238" s="956">
        <v>1970</v>
      </c>
      <c r="D238" s="956"/>
      <c r="E238" s="956" t="s">
        <v>218</v>
      </c>
      <c r="F238" s="956">
        <v>5</v>
      </c>
      <c r="G238" s="956">
        <v>4</v>
      </c>
      <c r="H238" s="963">
        <v>4167.2</v>
      </c>
      <c r="I238" s="963">
        <v>3365.3</v>
      </c>
      <c r="J238" s="963">
        <v>2948.1</v>
      </c>
      <c r="K238" s="956">
        <v>91</v>
      </c>
      <c r="L238" s="965">
        <v>4139964.35</v>
      </c>
      <c r="M238" s="968">
        <v>0</v>
      </c>
      <c r="N238" s="968">
        <v>0</v>
      </c>
      <c r="O238" s="963">
        <v>4139964.35</v>
      </c>
      <c r="P238" s="968">
        <v>0</v>
      </c>
      <c r="Q238" s="968">
        <v>0</v>
      </c>
      <c r="R238" s="957">
        <v>2024</v>
      </c>
      <c r="S238" s="957">
        <v>2024</v>
      </c>
      <c r="U238" s="967"/>
      <c r="X238" s="967"/>
    </row>
    <row r="239" spans="1:24" s="982" customFormat="1" ht="39.6" customHeight="1">
      <c r="A239" s="956">
        <v>40</v>
      </c>
      <c r="B239" s="989" t="s">
        <v>1921</v>
      </c>
      <c r="C239" s="956">
        <v>1953</v>
      </c>
      <c r="D239" s="956"/>
      <c r="E239" s="956" t="s">
        <v>218</v>
      </c>
      <c r="F239" s="956">
        <v>2</v>
      </c>
      <c r="G239" s="956">
        <v>1</v>
      </c>
      <c r="H239" s="963">
        <v>1162.3</v>
      </c>
      <c r="I239" s="963">
        <v>579.1</v>
      </c>
      <c r="J239" s="963">
        <v>579.1</v>
      </c>
      <c r="K239" s="956">
        <v>15</v>
      </c>
      <c r="L239" s="965">
        <v>14807366.949999999</v>
      </c>
      <c r="M239" s="974">
        <v>0</v>
      </c>
      <c r="N239" s="974">
        <v>0</v>
      </c>
      <c r="O239" s="963">
        <v>14807366.949999999</v>
      </c>
      <c r="P239" s="974">
        <v>0</v>
      </c>
      <c r="Q239" s="974">
        <v>0</v>
      </c>
      <c r="R239" s="956">
        <v>2024</v>
      </c>
      <c r="S239" s="956">
        <v>2024</v>
      </c>
      <c r="U239" s="967"/>
      <c r="X239" s="967"/>
    </row>
    <row r="240" spans="1:24" s="966" customFormat="1" ht="43.9" customHeight="1">
      <c r="A240" s="956">
        <v>41</v>
      </c>
      <c r="B240" s="989" t="s">
        <v>1910</v>
      </c>
      <c r="C240" s="956">
        <v>1955</v>
      </c>
      <c r="D240" s="956"/>
      <c r="E240" s="956" t="s">
        <v>218</v>
      </c>
      <c r="F240" s="956">
        <v>2</v>
      </c>
      <c r="G240" s="956">
        <v>1</v>
      </c>
      <c r="H240" s="963">
        <v>589.5</v>
      </c>
      <c r="I240" s="963">
        <v>419.7</v>
      </c>
      <c r="J240" s="963">
        <v>419.7</v>
      </c>
      <c r="K240" s="956">
        <v>15</v>
      </c>
      <c r="L240" s="965">
        <v>2289645.79</v>
      </c>
      <c r="M240" s="974">
        <v>0</v>
      </c>
      <c r="N240" s="974">
        <v>0</v>
      </c>
      <c r="O240" s="963">
        <v>2289645.79</v>
      </c>
      <c r="P240" s="974">
        <v>0</v>
      </c>
      <c r="Q240" s="974">
        <v>0</v>
      </c>
      <c r="R240" s="956">
        <v>2024</v>
      </c>
      <c r="S240" s="956">
        <v>2024</v>
      </c>
      <c r="U240" s="967"/>
      <c r="X240" s="967"/>
    </row>
    <row r="241" spans="1:24" s="966" customFormat="1" ht="43.9" customHeight="1">
      <c r="A241" s="1163" t="s">
        <v>2272</v>
      </c>
      <c r="B241" s="1164"/>
      <c r="C241" s="1164"/>
      <c r="D241" s="1164"/>
      <c r="E241" s="1164"/>
      <c r="F241" s="1164"/>
      <c r="G241" s="1165"/>
      <c r="H241" s="968">
        <f>SUM(H242:H244)</f>
        <v>3115.4</v>
      </c>
      <c r="I241" s="968">
        <f t="shared" ref="I241:Q241" si="47">SUM(I242:I244)</f>
        <v>2635.3</v>
      </c>
      <c r="J241" s="968">
        <f t="shared" si="47"/>
        <v>2635.3</v>
      </c>
      <c r="K241" s="958">
        <f t="shared" si="47"/>
        <v>91</v>
      </c>
      <c r="L241" s="971">
        <f t="shared" si="47"/>
        <v>18529277.420000002</v>
      </c>
      <c r="M241" s="968">
        <f t="shared" si="47"/>
        <v>0</v>
      </c>
      <c r="N241" s="968">
        <f t="shared" si="47"/>
        <v>0</v>
      </c>
      <c r="O241" s="968">
        <f t="shared" si="47"/>
        <v>18529277.420000002</v>
      </c>
      <c r="P241" s="968">
        <f t="shared" si="47"/>
        <v>0</v>
      </c>
      <c r="Q241" s="968">
        <f t="shared" si="47"/>
        <v>0</v>
      </c>
      <c r="R241" s="968" t="s">
        <v>40</v>
      </c>
      <c r="S241" s="968" t="s">
        <v>40</v>
      </c>
      <c r="U241" s="967"/>
      <c r="X241" s="967"/>
    </row>
    <row r="242" spans="1:24" s="966" customFormat="1" ht="43.15" customHeight="1">
      <c r="A242" s="957">
        <v>42</v>
      </c>
      <c r="B242" s="972" t="s">
        <v>1311</v>
      </c>
      <c r="C242" s="957">
        <v>1917</v>
      </c>
      <c r="D242" s="957"/>
      <c r="E242" s="956" t="s">
        <v>218</v>
      </c>
      <c r="F242" s="957">
        <v>2</v>
      </c>
      <c r="G242" s="957">
        <v>3</v>
      </c>
      <c r="H242" s="968">
        <v>432.4</v>
      </c>
      <c r="I242" s="968">
        <v>405.4</v>
      </c>
      <c r="J242" s="968">
        <v>405.4</v>
      </c>
      <c r="K242" s="959">
        <v>12</v>
      </c>
      <c r="L242" s="971">
        <v>4913874.07</v>
      </c>
      <c r="M242" s="968">
        <v>0</v>
      </c>
      <c r="N242" s="968">
        <v>0</v>
      </c>
      <c r="O242" s="968">
        <f>L242</f>
        <v>4913874.07</v>
      </c>
      <c r="P242" s="968">
        <v>0</v>
      </c>
      <c r="Q242" s="968">
        <v>0</v>
      </c>
      <c r="R242" s="957">
        <v>2024</v>
      </c>
      <c r="S242" s="957">
        <v>2024</v>
      </c>
      <c r="U242" s="967"/>
      <c r="X242" s="967"/>
    </row>
    <row r="243" spans="1:24" s="966" customFormat="1" ht="43.15" customHeight="1">
      <c r="A243" s="957">
        <v>43</v>
      </c>
      <c r="B243" s="972" t="s">
        <v>1312</v>
      </c>
      <c r="C243" s="957">
        <v>1933</v>
      </c>
      <c r="D243" s="957"/>
      <c r="E243" s="956" t="s">
        <v>218</v>
      </c>
      <c r="F243" s="957">
        <v>3</v>
      </c>
      <c r="G243" s="957">
        <v>4</v>
      </c>
      <c r="H243" s="968">
        <v>2299.3000000000002</v>
      </c>
      <c r="I243" s="968">
        <v>1994.6</v>
      </c>
      <c r="J243" s="968">
        <v>1994.6</v>
      </c>
      <c r="K243" s="959">
        <v>66</v>
      </c>
      <c r="L243" s="971">
        <v>11610231.880000001</v>
      </c>
      <c r="M243" s="968">
        <v>0</v>
      </c>
      <c r="N243" s="968">
        <v>0</v>
      </c>
      <c r="O243" s="968">
        <f>L243</f>
        <v>11610231.880000001</v>
      </c>
      <c r="P243" s="968">
        <v>0</v>
      </c>
      <c r="Q243" s="968">
        <v>0</v>
      </c>
      <c r="R243" s="957">
        <v>2024</v>
      </c>
      <c r="S243" s="957">
        <v>2024</v>
      </c>
      <c r="U243" s="967"/>
      <c r="X243" s="967"/>
    </row>
    <row r="244" spans="1:24" s="966" customFormat="1" ht="43.15" customHeight="1">
      <c r="A244" s="957">
        <v>44</v>
      </c>
      <c r="B244" s="980" t="s">
        <v>1323</v>
      </c>
      <c r="C244" s="1009">
        <v>1959</v>
      </c>
      <c r="D244" s="1009"/>
      <c r="E244" s="961" t="s">
        <v>218</v>
      </c>
      <c r="F244" s="1009">
        <v>2</v>
      </c>
      <c r="G244" s="1010">
        <v>1</v>
      </c>
      <c r="H244" s="968">
        <v>383.7</v>
      </c>
      <c r="I244" s="968">
        <v>235.3</v>
      </c>
      <c r="J244" s="968">
        <v>235.3</v>
      </c>
      <c r="K244" s="959">
        <v>13</v>
      </c>
      <c r="L244" s="971">
        <v>2005171.47</v>
      </c>
      <c r="M244" s="968">
        <v>0</v>
      </c>
      <c r="N244" s="968">
        <v>0</v>
      </c>
      <c r="O244" s="968">
        <v>2005171.47</v>
      </c>
      <c r="P244" s="968">
        <v>0</v>
      </c>
      <c r="Q244" s="968">
        <v>0</v>
      </c>
      <c r="R244" s="957">
        <v>2024</v>
      </c>
      <c r="S244" s="957">
        <v>2024</v>
      </c>
      <c r="U244" s="967"/>
      <c r="X244" s="967"/>
    </row>
    <row r="245" spans="1:24" s="966" customFormat="1" ht="43.15" customHeight="1">
      <c r="A245" s="1163" t="s">
        <v>2054</v>
      </c>
      <c r="B245" s="1164"/>
      <c r="C245" s="1164"/>
      <c r="D245" s="1164"/>
      <c r="E245" s="1164"/>
      <c r="F245" s="1164"/>
      <c r="G245" s="1165"/>
      <c r="H245" s="968">
        <f t="shared" ref="H245:Q245" si="48">SUM(H246:H247)</f>
        <v>2842.7</v>
      </c>
      <c r="I245" s="968">
        <f t="shared" si="48"/>
        <v>2496.5</v>
      </c>
      <c r="J245" s="968">
        <f t="shared" si="48"/>
        <v>1944.13</v>
      </c>
      <c r="K245" s="958">
        <f t="shared" si="48"/>
        <v>126</v>
      </c>
      <c r="L245" s="971">
        <f t="shared" si="48"/>
        <v>10868333.24</v>
      </c>
      <c r="M245" s="968">
        <f t="shared" si="48"/>
        <v>0</v>
      </c>
      <c r="N245" s="968">
        <f t="shared" si="48"/>
        <v>0</v>
      </c>
      <c r="O245" s="968">
        <f t="shared" si="48"/>
        <v>10868333.24</v>
      </c>
      <c r="P245" s="968">
        <f t="shared" si="48"/>
        <v>0</v>
      </c>
      <c r="Q245" s="968">
        <f t="shared" si="48"/>
        <v>0</v>
      </c>
      <c r="R245" s="968" t="s">
        <v>40</v>
      </c>
      <c r="S245" s="968" t="s">
        <v>40</v>
      </c>
      <c r="U245" s="967"/>
      <c r="X245" s="967"/>
    </row>
    <row r="246" spans="1:24" s="966" customFormat="1" ht="43.15" customHeight="1">
      <c r="A246" s="957">
        <v>45</v>
      </c>
      <c r="B246" s="984" t="s">
        <v>1458</v>
      </c>
      <c r="C246" s="957">
        <v>1962</v>
      </c>
      <c r="D246" s="957"/>
      <c r="E246" s="956" t="s">
        <v>218</v>
      </c>
      <c r="F246" s="957">
        <v>3</v>
      </c>
      <c r="G246" s="957">
        <v>2</v>
      </c>
      <c r="H246" s="973">
        <v>1075.8</v>
      </c>
      <c r="I246" s="973">
        <v>958.4</v>
      </c>
      <c r="J246" s="973">
        <v>767.4</v>
      </c>
      <c r="K246" s="959">
        <v>45</v>
      </c>
      <c r="L246" s="971">
        <v>5434166.6200000001</v>
      </c>
      <c r="M246" s="968">
        <v>0</v>
      </c>
      <c r="N246" s="968">
        <v>0</v>
      </c>
      <c r="O246" s="968">
        <f>L246</f>
        <v>5434166.6200000001</v>
      </c>
      <c r="P246" s="968">
        <v>0</v>
      </c>
      <c r="Q246" s="968">
        <v>0</v>
      </c>
      <c r="R246" s="957">
        <v>2024</v>
      </c>
      <c r="S246" s="957">
        <v>2024</v>
      </c>
      <c r="U246" s="967"/>
      <c r="X246" s="967"/>
    </row>
    <row r="247" spans="1:24" s="966" customFormat="1" ht="36" customHeight="1">
      <c r="A247" s="957">
        <v>46</v>
      </c>
      <c r="B247" s="984" t="s">
        <v>1459</v>
      </c>
      <c r="C247" s="957">
        <v>1964</v>
      </c>
      <c r="D247" s="957"/>
      <c r="E247" s="956" t="s">
        <v>218</v>
      </c>
      <c r="F247" s="957">
        <v>5</v>
      </c>
      <c r="G247" s="957">
        <v>2</v>
      </c>
      <c r="H247" s="973">
        <v>1766.9</v>
      </c>
      <c r="I247" s="973">
        <v>1538.1</v>
      </c>
      <c r="J247" s="973">
        <v>1176.73</v>
      </c>
      <c r="K247" s="959">
        <v>81</v>
      </c>
      <c r="L247" s="971">
        <v>5434166.6200000001</v>
      </c>
      <c r="M247" s="968">
        <v>0</v>
      </c>
      <c r="N247" s="968">
        <v>0</v>
      </c>
      <c r="O247" s="968">
        <f>L247</f>
        <v>5434166.6200000001</v>
      </c>
      <c r="P247" s="968">
        <v>0</v>
      </c>
      <c r="Q247" s="968">
        <v>0</v>
      </c>
      <c r="R247" s="957">
        <v>2024</v>
      </c>
      <c r="S247" s="957">
        <v>2024</v>
      </c>
      <c r="U247" s="967"/>
      <c r="X247" s="967"/>
    </row>
    <row r="248" spans="1:24" s="966" customFormat="1" ht="43.9" customHeight="1">
      <c r="A248" s="1163" t="s">
        <v>2055</v>
      </c>
      <c r="B248" s="1164"/>
      <c r="C248" s="1164"/>
      <c r="D248" s="1164"/>
      <c r="E248" s="1164"/>
      <c r="F248" s="1164"/>
      <c r="G248" s="1165"/>
      <c r="H248" s="968">
        <f>SUM(H249:H250)</f>
        <v>5399.4</v>
      </c>
      <c r="I248" s="968">
        <f t="shared" ref="I248:Q248" si="49">SUM(I249:I250)</f>
        <v>4325.6000000000004</v>
      </c>
      <c r="J248" s="968">
        <f t="shared" si="49"/>
        <v>4037.1</v>
      </c>
      <c r="K248" s="958">
        <f t="shared" si="49"/>
        <v>162</v>
      </c>
      <c r="L248" s="971">
        <f t="shared" si="49"/>
        <v>4437569.01</v>
      </c>
      <c r="M248" s="968">
        <f t="shared" si="49"/>
        <v>0</v>
      </c>
      <c r="N248" s="968">
        <f t="shared" si="49"/>
        <v>0</v>
      </c>
      <c r="O248" s="968">
        <f t="shared" si="49"/>
        <v>4437569.01</v>
      </c>
      <c r="P248" s="968">
        <f t="shared" si="49"/>
        <v>0</v>
      </c>
      <c r="Q248" s="968">
        <f t="shared" si="49"/>
        <v>0</v>
      </c>
      <c r="R248" s="968" t="s">
        <v>40</v>
      </c>
      <c r="S248" s="968" t="s">
        <v>40</v>
      </c>
      <c r="U248" s="967"/>
      <c r="X248" s="967"/>
    </row>
    <row r="249" spans="1:24" s="966" customFormat="1" ht="40.15" customHeight="1">
      <c r="A249" s="957">
        <v>47</v>
      </c>
      <c r="B249" s="984" t="s">
        <v>1380</v>
      </c>
      <c r="C249" s="957">
        <v>1962</v>
      </c>
      <c r="D249" s="957">
        <v>2012</v>
      </c>
      <c r="E249" s="956" t="s">
        <v>218</v>
      </c>
      <c r="F249" s="957">
        <v>4</v>
      </c>
      <c r="G249" s="957">
        <v>3</v>
      </c>
      <c r="H249" s="973">
        <v>2739.4</v>
      </c>
      <c r="I249" s="973">
        <v>2186</v>
      </c>
      <c r="J249" s="973">
        <v>2042</v>
      </c>
      <c r="K249" s="959">
        <v>79</v>
      </c>
      <c r="L249" s="971">
        <v>2244560.6800000002</v>
      </c>
      <c r="M249" s="968">
        <v>0</v>
      </c>
      <c r="N249" s="968">
        <v>0</v>
      </c>
      <c r="O249" s="968">
        <f>L249</f>
        <v>2244560.6800000002</v>
      </c>
      <c r="P249" s="968">
        <v>0</v>
      </c>
      <c r="Q249" s="968">
        <v>0</v>
      </c>
      <c r="R249" s="957">
        <v>2024</v>
      </c>
      <c r="S249" s="957">
        <v>2024</v>
      </c>
      <c r="U249" s="967"/>
      <c r="X249" s="967"/>
    </row>
    <row r="250" spans="1:24" s="966" customFormat="1" ht="48" customHeight="1">
      <c r="A250" s="957">
        <v>48</v>
      </c>
      <c r="B250" s="984" t="s">
        <v>1381</v>
      </c>
      <c r="C250" s="957">
        <v>1964</v>
      </c>
      <c r="D250" s="957">
        <v>2012</v>
      </c>
      <c r="E250" s="956" t="s">
        <v>218</v>
      </c>
      <c r="F250" s="957">
        <v>4</v>
      </c>
      <c r="G250" s="957">
        <v>3</v>
      </c>
      <c r="H250" s="973">
        <v>2660</v>
      </c>
      <c r="I250" s="973">
        <v>2139.6</v>
      </c>
      <c r="J250" s="973">
        <v>1995.1</v>
      </c>
      <c r="K250" s="959">
        <v>83</v>
      </c>
      <c r="L250" s="971">
        <v>2193008.33</v>
      </c>
      <c r="M250" s="968">
        <v>0</v>
      </c>
      <c r="N250" s="968">
        <v>0</v>
      </c>
      <c r="O250" s="968">
        <f>L250</f>
        <v>2193008.33</v>
      </c>
      <c r="P250" s="968">
        <v>0</v>
      </c>
      <c r="Q250" s="968">
        <v>0</v>
      </c>
      <c r="R250" s="957">
        <v>2024</v>
      </c>
      <c r="S250" s="957">
        <v>2024</v>
      </c>
      <c r="U250" s="967"/>
      <c r="X250" s="967"/>
    </row>
    <row r="251" spans="1:24" s="1011" customFormat="1" ht="45.6" customHeight="1">
      <c r="A251" s="1163" t="s">
        <v>1053</v>
      </c>
      <c r="B251" s="1164"/>
      <c r="C251" s="1164"/>
      <c r="D251" s="1164"/>
      <c r="E251" s="1164"/>
      <c r="F251" s="1164"/>
      <c r="G251" s="1165"/>
      <c r="H251" s="973">
        <f>SUM(H252:H253)</f>
        <v>1451.8</v>
      </c>
      <c r="I251" s="973">
        <f t="shared" ref="I251:Q251" si="50">SUM(I252:I253)</f>
        <v>1278.9000000000001</v>
      </c>
      <c r="J251" s="973">
        <f t="shared" si="50"/>
        <v>1234.5</v>
      </c>
      <c r="K251" s="959">
        <f t="shared" si="50"/>
        <v>41</v>
      </c>
      <c r="L251" s="971">
        <f t="shared" si="50"/>
        <v>6808572.7199999997</v>
      </c>
      <c r="M251" s="973">
        <f t="shared" si="50"/>
        <v>0</v>
      </c>
      <c r="N251" s="973">
        <f t="shared" si="50"/>
        <v>0</v>
      </c>
      <c r="O251" s="973">
        <f t="shared" si="50"/>
        <v>6808572.7199999997</v>
      </c>
      <c r="P251" s="973">
        <f t="shared" si="50"/>
        <v>0</v>
      </c>
      <c r="Q251" s="973">
        <f t="shared" si="50"/>
        <v>0</v>
      </c>
      <c r="R251" s="968" t="s">
        <v>40</v>
      </c>
      <c r="S251" s="968" t="s">
        <v>40</v>
      </c>
      <c r="U251" s="967"/>
      <c r="X251" s="967"/>
    </row>
    <row r="252" spans="1:24" s="1011" customFormat="1" ht="42.6" customHeight="1">
      <c r="A252" s="956">
        <v>49</v>
      </c>
      <c r="B252" s="984" t="s">
        <v>1430</v>
      </c>
      <c r="C252" s="957">
        <v>1984</v>
      </c>
      <c r="D252" s="957"/>
      <c r="E252" s="956" t="s">
        <v>218</v>
      </c>
      <c r="F252" s="957">
        <v>2</v>
      </c>
      <c r="G252" s="957">
        <v>3</v>
      </c>
      <c r="H252" s="973">
        <v>948.9</v>
      </c>
      <c r="I252" s="973">
        <v>825.6</v>
      </c>
      <c r="J252" s="973">
        <v>825.6</v>
      </c>
      <c r="K252" s="959">
        <v>26</v>
      </c>
      <c r="L252" s="971">
        <v>6667741.7199999997</v>
      </c>
      <c r="M252" s="968">
        <v>0</v>
      </c>
      <c r="N252" s="968">
        <v>0</v>
      </c>
      <c r="O252" s="968">
        <v>6667741.7199999997</v>
      </c>
      <c r="P252" s="968">
        <v>0</v>
      </c>
      <c r="Q252" s="968">
        <v>0</v>
      </c>
      <c r="R252" s="957">
        <v>2024</v>
      </c>
      <c r="S252" s="957">
        <v>2024</v>
      </c>
      <c r="U252" s="967"/>
      <c r="X252" s="967"/>
    </row>
    <row r="253" spans="1:24" s="1011" customFormat="1" ht="42.6" customHeight="1">
      <c r="A253" s="956">
        <v>50</v>
      </c>
      <c r="B253" s="984" t="s">
        <v>2064</v>
      </c>
      <c r="C253" s="957">
        <v>1967</v>
      </c>
      <c r="D253" s="957"/>
      <c r="E253" s="956" t="s">
        <v>473</v>
      </c>
      <c r="F253" s="957">
        <v>2</v>
      </c>
      <c r="G253" s="957">
        <v>2</v>
      </c>
      <c r="H253" s="973">
        <v>502.9</v>
      </c>
      <c r="I253" s="973">
        <v>453.3</v>
      </c>
      <c r="J253" s="973">
        <v>408.9</v>
      </c>
      <c r="K253" s="959">
        <v>15</v>
      </c>
      <c r="L253" s="971">
        <v>140831</v>
      </c>
      <c r="M253" s="968">
        <v>0</v>
      </c>
      <c r="N253" s="968">
        <v>0</v>
      </c>
      <c r="O253" s="968">
        <v>140831</v>
      </c>
      <c r="P253" s="968">
        <v>0</v>
      </c>
      <c r="Q253" s="968">
        <v>0</v>
      </c>
      <c r="R253" s="957">
        <v>2024</v>
      </c>
      <c r="S253" s="957">
        <v>2024</v>
      </c>
      <c r="U253" s="967"/>
      <c r="X253" s="967"/>
    </row>
    <row r="254" spans="1:24" s="1011" customFormat="1" ht="38.450000000000003" customHeight="1">
      <c r="A254" s="1172" t="s">
        <v>1973</v>
      </c>
      <c r="B254" s="1173"/>
      <c r="C254" s="1173"/>
      <c r="D254" s="1173"/>
      <c r="E254" s="1173"/>
      <c r="F254" s="1173"/>
      <c r="G254" s="1174"/>
      <c r="H254" s="968">
        <f>SUM(H255:H259)</f>
        <v>7747.9000000000005</v>
      </c>
      <c r="I254" s="968">
        <f t="shared" ref="I254:Q254" si="51">SUM(I255:I259)</f>
        <v>7351.16</v>
      </c>
      <c r="J254" s="968">
        <f t="shared" si="51"/>
        <v>7351.2</v>
      </c>
      <c r="K254" s="958">
        <f t="shared" si="51"/>
        <v>273</v>
      </c>
      <c r="L254" s="968">
        <f t="shared" si="51"/>
        <v>25493238.480000004</v>
      </c>
      <c r="M254" s="968">
        <f t="shared" si="51"/>
        <v>0</v>
      </c>
      <c r="N254" s="968">
        <f t="shared" si="51"/>
        <v>0</v>
      </c>
      <c r="O254" s="968">
        <f t="shared" si="51"/>
        <v>25493238.480000004</v>
      </c>
      <c r="P254" s="968">
        <f t="shared" si="51"/>
        <v>0</v>
      </c>
      <c r="Q254" s="968">
        <f t="shared" si="51"/>
        <v>0</v>
      </c>
      <c r="R254" s="968" t="s">
        <v>40</v>
      </c>
      <c r="S254" s="968" t="s">
        <v>40</v>
      </c>
      <c r="U254" s="967"/>
      <c r="X254" s="967"/>
    </row>
    <row r="255" spans="1:24" s="966" customFormat="1" ht="38.450000000000003" customHeight="1">
      <c r="A255" s="956">
        <v>51</v>
      </c>
      <c r="B255" s="984" t="s">
        <v>1350</v>
      </c>
      <c r="C255" s="957">
        <v>1968</v>
      </c>
      <c r="D255" s="957"/>
      <c r="E255" s="956" t="s">
        <v>218</v>
      </c>
      <c r="F255" s="957">
        <v>4</v>
      </c>
      <c r="G255" s="957">
        <v>3</v>
      </c>
      <c r="H255" s="968">
        <v>1992.1</v>
      </c>
      <c r="I255" s="968">
        <v>1992.1</v>
      </c>
      <c r="J255" s="968">
        <v>1992.1</v>
      </c>
      <c r="K255" s="959">
        <v>80</v>
      </c>
      <c r="L255" s="971">
        <v>6179714.1900000004</v>
      </c>
      <c r="M255" s="968">
        <v>0</v>
      </c>
      <c r="N255" s="968">
        <v>0</v>
      </c>
      <c r="O255" s="968">
        <v>6179714.1900000004</v>
      </c>
      <c r="P255" s="968">
        <v>0</v>
      </c>
      <c r="Q255" s="968">
        <v>0</v>
      </c>
      <c r="R255" s="957">
        <v>2024</v>
      </c>
      <c r="S255" s="957">
        <v>2024</v>
      </c>
      <c r="U255" s="967"/>
      <c r="X255" s="967"/>
    </row>
    <row r="256" spans="1:24" s="966" customFormat="1" ht="45.6" customHeight="1">
      <c r="A256" s="956">
        <v>52</v>
      </c>
      <c r="B256" s="984" t="s">
        <v>1351</v>
      </c>
      <c r="C256" s="957">
        <v>1958</v>
      </c>
      <c r="D256" s="957"/>
      <c r="E256" s="956" t="s">
        <v>218</v>
      </c>
      <c r="F256" s="998">
        <v>2</v>
      </c>
      <c r="G256" s="998">
        <v>2</v>
      </c>
      <c r="H256" s="968">
        <v>686.2</v>
      </c>
      <c r="I256" s="968">
        <v>633.79999999999995</v>
      </c>
      <c r="J256" s="968">
        <v>633.79999999999995</v>
      </c>
      <c r="K256" s="959">
        <v>30</v>
      </c>
      <c r="L256" s="971">
        <v>6262780.6799999997</v>
      </c>
      <c r="M256" s="968">
        <v>0</v>
      </c>
      <c r="N256" s="968">
        <v>0</v>
      </c>
      <c r="O256" s="968">
        <v>6262780.6799999997</v>
      </c>
      <c r="P256" s="968">
        <v>0</v>
      </c>
      <c r="Q256" s="968">
        <v>0</v>
      </c>
      <c r="R256" s="957">
        <v>2024</v>
      </c>
      <c r="S256" s="957">
        <v>2024</v>
      </c>
      <c r="U256" s="967"/>
      <c r="X256" s="967"/>
    </row>
    <row r="257" spans="1:24" s="966" customFormat="1" ht="45.6" customHeight="1">
      <c r="A257" s="956">
        <v>53</v>
      </c>
      <c r="B257" s="984" t="s">
        <v>2072</v>
      </c>
      <c r="C257" s="957">
        <v>1959</v>
      </c>
      <c r="D257" s="957"/>
      <c r="E257" s="956" t="s">
        <v>218</v>
      </c>
      <c r="F257" s="998">
        <v>2</v>
      </c>
      <c r="G257" s="998">
        <v>2</v>
      </c>
      <c r="H257" s="968">
        <v>637.29999999999995</v>
      </c>
      <c r="I257" s="968">
        <v>637.29999999999995</v>
      </c>
      <c r="J257" s="968">
        <v>637.29999999999995</v>
      </c>
      <c r="K257" s="959">
        <v>16</v>
      </c>
      <c r="L257" s="971">
        <v>6089349.8300000001</v>
      </c>
      <c r="M257" s="968">
        <v>0</v>
      </c>
      <c r="N257" s="968">
        <v>0</v>
      </c>
      <c r="O257" s="971">
        <v>6089349.8300000001</v>
      </c>
      <c r="P257" s="968">
        <v>0</v>
      </c>
      <c r="Q257" s="968">
        <v>0</v>
      </c>
      <c r="R257" s="957">
        <v>2024</v>
      </c>
      <c r="S257" s="957">
        <v>2024</v>
      </c>
      <c r="U257" s="967"/>
      <c r="X257" s="967"/>
    </row>
    <row r="258" spans="1:24" s="966" customFormat="1" ht="38.450000000000003" customHeight="1">
      <c r="A258" s="956">
        <v>54</v>
      </c>
      <c r="B258" s="984" t="s">
        <v>1352</v>
      </c>
      <c r="C258" s="957">
        <v>1990</v>
      </c>
      <c r="D258" s="957"/>
      <c r="E258" s="956" t="s">
        <v>219</v>
      </c>
      <c r="F258" s="957">
        <v>5</v>
      </c>
      <c r="G258" s="957">
        <v>4</v>
      </c>
      <c r="H258" s="968">
        <v>2817</v>
      </c>
      <c r="I258" s="968">
        <v>2810.3</v>
      </c>
      <c r="J258" s="968">
        <v>2810.3</v>
      </c>
      <c r="K258" s="959">
        <v>117</v>
      </c>
      <c r="L258" s="971">
        <v>6278489</v>
      </c>
      <c r="M258" s="968">
        <v>0</v>
      </c>
      <c r="N258" s="968">
        <v>0</v>
      </c>
      <c r="O258" s="968">
        <v>6278489</v>
      </c>
      <c r="P258" s="968">
        <v>0</v>
      </c>
      <c r="Q258" s="968">
        <v>0</v>
      </c>
      <c r="R258" s="957">
        <v>2024</v>
      </c>
      <c r="S258" s="957">
        <v>2024</v>
      </c>
      <c r="U258" s="967"/>
      <c r="X258" s="967"/>
    </row>
    <row r="259" spans="1:24" s="1011" customFormat="1" ht="38.450000000000003" customHeight="1">
      <c r="A259" s="956">
        <v>55</v>
      </c>
      <c r="B259" s="980" t="s">
        <v>1348</v>
      </c>
      <c r="C259" s="957">
        <v>1964</v>
      </c>
      <c r="D259" s="957"/>
      <c r="E259" s="956" t="s">
        <v>218</v>
      </c>
      <c r="F259" s="957">
        <v>4</v>
      </c>
      <c r="G259" s="957">
        <v>2</v>
      </c>
      <c r="H259" s="968">
        <v>1615.3</v>
      </c>
      <c r="I259" s="968">
        <v>1277.6600000000001</v>
      </c>
      <c r="J259" s="968">
        <v>1277.7</v>
      </c>
      <c r="K259" s="959">
        <v>30</v>
      </c>
      <c r="L259" s="965">
        <v>682904.78</v>
      </c>
      <c r="M259" s="968">
        <v>0</v>
      </c>
      <c r="N259" s="968">
        <v>0</v>
      </c>
      <c r="O259" s="1012">
        <v>682904.78</v>
      </c>
      <c r="P259" s="968">
        <v>0</v>
      </c>
      <c r="Q259" s="968">
        <v>0</v>
      </c>
      <c r="R259" s="957">
        <v>2024</v>
      </c>
      <c r="S259" s="957">
        <v>2024</v>
      </c>
      <c r="U259" s="1013"/>
      <c r="X259" s="1013"/>
    </row>
    <row r="260" spans="1:24" s="966" customFormat="1" ht="38.450000000000003" customHeight="1">
      <c r="A260" s="1172" t="s">
        <v>1174</v>
      </c>
      <c r="B260" s="1173"/>
      <c r="C260" s="1173"/>
      <c r="D260" s="1173"/>
      <c r="E260" s="1173"/>
      <c r="F260" s="1173"/>
      <c r="G260" s="1174"/>
      <c r="H260" s="968">
        <f>SUM(H261:H264)</f>
        <v>2411.8000000000002</v>
      </c>
      <c r="I260" s="968">
        <f t="shared" ref="I260:Q260" si="52">SUM(I261:I264)</f>
        <v>2280.6000000000004</v>
      </c>
      <c r="J260" s="968">
        <f t="shared" si="52"/>
        <v>1576.4</v>
      </c>
      <c r="K260" s="958">
        <f t="shared" si="52"/>
        <v>81</v>
      </c>
      <c r="L260" s="971">
        <f t="shared" si="52"/>
        <v>2132222.73</v>
      </c>
      <c r="M260" s="968">
        <f t="shared" si="52"/>
        <v>0</v>
      </c>
      <c r="N260" s="968">
        <f t="shared" si="52"/>
        <v>0</v>
      </c>
      <c r="O260" s="968">
        <f t="shared" si="52"/>
        <v>2132222.73</v>
      </c>
      <c r="P260" s="968">
        <f t="shared" si="52"/>
        <v>0</v>
      </c>
      <c r="Q260" s="968">
        <f t="shared" si="52"/>
        <v>0</v>
      </c>
      <c r="R260" s="968" t="s">
        <v>40</v>
      </c>
      <c r="S260" s="968" t="s">
        <v>40</v>
      </c>
      <c r="U260" s="967"/>
      <c r="X260" s="967"/>
    </row>
    <row r="261" spans="1:24" s="966" customFormat="1" ht="38.450000000000003" customHeight="1">
      <c r="A261" s="956">
        <v>56</v>
      </c>
      <c r="B261" s="976" t="s">
        <v>1299</v>
      </c>
      <c r="C261" s="957">
        <v>1971</v>
      </c>
      <c r="D261" s="957"/>
      <c r="E261" s="956" t="s">
        <v>218</v>
      </c>
      <c r="F261" s="957">
        <v>2</v>
      </c>
      <c r="G261" s="957">
        <v>2</v>
      </c>
      <c r="H261" s="968">
        <v>486.4</v>
      </c>
      <c r="I261" s="968">
        <v>355.6</v>
      </c>
      <c r="J261" s="968">
        <v>297</v>
      </c>
      <c r="K261" s="959">
        <v>17</v>
      </c>
      <c r="L261" s="971">
        <v>390874.52</v>
      </c>
      <c r="M261" s="968">
        <v>0</v>
      </c>
      <c r="N261" s="968">
        <v>0</v>
      </c>
      <c r="O261" s="968">
        <v>390874.52</v>
      </c>
      <c r="P261" s="968">
        <v>0</v>
      </c>
      <c r="Q261" s="968">
        <v>0</v>
      </c>
      <c r="R261" s="957">
        <v>2024</v>
      </c>
      <c r="S261" s="957">
        <v>2024</v>
      </c>
      <c r="U261" s="967"/>
      <c r="X261" s="967"/>
    </row>
    <row r="262" spans="1:24" s="966" customFormat="1" ht="38.450000000000003" customHeight="1">
      <c r="A262" s="956">
        <v>57</v>
      </c>
      <c r="B262" s="976" t="s">
        <v>1300</v>
      </c>
      <c r="C262" s="957">
        <v>1977</v>
      </c>
      <c r="D262" s="957"/>
      <c r="E262" s="956" t="s">
        <v>218</v>
      </c>
      <c r="F262" s="957">
        <v>2</v>
      </c>
      <c r="G262" s="957">
        <v>1</v>
      </c>
      <c r="H262" s="968">
        <v>386.7</v>
      </c>
      <c r="I262" s="968">
        <v>386.3</v>
      </c>
      <c r="J262" s="968">
        <v>81.5</v>
      </c>
      <c r="K262" s="959">
        <v>14</v>
      </c>
      <c r="L262" s="971">
        <v>424619.88</v>
      </c>
      <c r="M262" s="968">
        <v>0</v>
      </c>
      <c r="N262" s="968">
        <v>0</v>
      </c>
      <c r="O262" s="968">
        <v>424619.88</v>
      </c>
      <c r="P262" s="968">
        <v>0</v>
      </c>
      <c r="Q262" s="968">
        <v>0</v>
      </c>
      <c r="R262" s="957">
        <v>2024</v>
      </c>
      <c r="S262" s="957">
        <v>2024</v>
      </c>
      <c r="U262" s="967"/>
      <c r="X262" s="967"/>
    </row>
    <row r="263" spans="1:24" s="966" customFormat="1" ht="38.450000000000003" customHeight="1">
      <c r="A263" s="956">
        <v>58</v>
      </c>
      <c r="B263" s="976" t="s">
        <v>2074</v>
      </c>
      <c r="C263" s="957">
        <v>1977</v>
      </c>
      <c r="D263" s="957"/>
      <c r="E263" s="956" t="s">
        <v>218</v>
      </c>
      <c r="F263" s="957">
        <v>2</v>
      </c>
      <c r="G263" s="957">
        <v>3</v>
      </c>
      <c r="H263" s="968">
        <v>817</v>
      </c>
      <c r="I263" s="968">
        <v>817</v>
      </c>
      <c r="J263" s="968">
        <v>775</v>
      </c>
      <c r="K263" s="959">
        <v>29</v>
      </c>
      <c r="L263" s="971">
        <v>851877.83</v>
      </c>
      <c r="M263" s="968">
        <v>0</v>
      </c>
      <c r="N263" s="968">
        <v>0</v>
      </c>
      <c r="O263" s="968">
        <v>851877.83</v>
      </c>
      <c r="P263" s="968">
        <v>0</v>
      </c>
      <c r="Q263" s="968">
        <v>0</v>
      </c>
      <c r="R263" s="957">
        <v>2024</v>
      </c>
      <c r="S263" s="957">
        <v>2024</v>
      </c>
      <c r="U263" s="967"/>
      <c r="X263" s="967"/>
    </row>
    <row r="264" spans="1:24" s="966" customFormat="1" ht="38.450000000000003" customHeight="1">
      <c r="A264" s="956">
        <v>59</v>
      </c>
      <c r="B264" s="976" t="s">
        <v>2076</v>
      </c>
      <c r="C264" s="957">
        <v>1977</v>
      </c>
      <c r="D264" s="957"/>
      <c r="E264" s="956" t="s">
        <v>218</v>
      </c>
      <c r="F264" s="957">
        <v>2</v>
      </c>
      <c r="G264" s="957">
        <v>2</v>
      </c>
      <c r="H264" s="968">
        <v>721.7</v>
      </c>
      <c r="I264" s="968">
        <v>721.7</v>
      </c>
      <c r="J264" s="968">
        <v>422.9</v>
      </c>
      <c r="K264" s="959">
        <v>21</v>
      </c>
      <c r="L264" s="971">
        <v>464850.5</v>
      </c>
      <c r="M264" s="968">
        <v>0</v>
      </c>
      <c r="N264" s="968">
        <v>0</v>
      </c>
      <c r="O264" s="968">
        <v>464850.5</v>
      </c>
      <c r="P264" s="968">
        <v>0</v>
      </c>
      <c r="Q264" s="968">
        <v>0</v>
      </c>
      <c r="R264" s="957">
        <v>2024</v>
      </c>
      <c r="S264" s="957">
        <v>2024</v>
      </c>
      <c r="U264" s="967"/>
      <c r="X264" s="967"/>
    </row>
    <row r="265" spans="1:24" s="966" customFormat="1" ht="38.450000000000003" customHeight="1">
      <c r="A265" s="1172" t="s">
        <v>1978</v>
      </c>
      <c r="B265" s="1173"/>
      <c r="C265" s="1173"/>
      <c r="D265" s="1173"/>
      <c r="E265" s="1173"/>
      <c r="F265" s="1173"/>
      <c r="G265" s="1174"/>
      <c r="H265" s="968">
        <f>SUM(H266:H267)</f>
        <v>2740.7</v>
      </c>
      <c r="I265" s="968">
        <f t="shared" ref="I265:Q265" si="53">SUM(I266:I267)</f>
        <v>2740.7</v>
      </c>
      <c r="J265" s="968">
        <f t="shared" si="53"/>
        <v>2740.7</v>
      </c>
      <c r="K265" s="958">
        <f t="shared" si="53"/>
        <v>73</v>
      </c>
      <c r="L265" s="971">
        <f t="shared" si="53"/>
        <v>19335303.449999999</v>
      </c>
      <c r="M265" s="968">
        <f t="shared" si="53"/>
        <v>0</v>
      </c>
      <c r="N265" s="968">
        <f t="shared" si="53"/>
        <v>886751.19</v>
      </c>
      <c r="O265" s="968">
        <f t="shared" si="53"/>
        <v>18448552.260000002</v>
      </c>
      <c r="P265" s="968">
        <f t="shared" si="53"/>
        <v>0</v>
      </c>
      <c r="Q265" s="968">
        <f t="shared" si="53"/>
        <v>0</v>
      </c>
      <c r="R265" s="968" t="s">
        <v>40</v>
      </c>
      <c r="S265" s="968" t="s">
        <v>40</v>
      </c>
      <c r="U265" s="967"/>
      <c r="X265" s="967"/>
    </row>
    <row r="266" spans="1:24" s="966" customFormat="1" ht="42.6" customHeight="1">
      <c r="A266" s="957">
        <v>60</v>
      </c>
      <c r="B266" s="984" t="s">
        <v>1499</v>
      </c>
      <c r="C266" s="957">
        <v>1962</v>
      </c>
      <c r="D266" s="956"/>
      <c r="E266" s="956" t="s">
        <v>218</v>
      </c>
      <c r="F266" s="957">
        <v>4</v>
      </c>
      <c r="G266" s="957">
        <v>2</v>
      </c>
      <c r="H266" s="985">
        <v>1313.4</v>
      </c>
      <c r="I266" s="985">
        <v>1313.4</v>
      </c>
      <c r="J266" s="985">
        <v>1313.4</v>
      </c>
      <c r="K266" s="959">
        <v>32</v>
      </c>
      <c r="L266" s="971">
        <v>16322864.310000001</v>
      </c>
      <c r="M266" s="968">
        <v>0</v>
      </c>
      <c r="N266" s="968">
        <v>0</v>
      </c>
      <c r="O266" s="968">
        <f>L266</f>
        <v>16322864.310000001</v>
      </c>
      <c r="P266" s="968">
        <v>0</v>
      </c>
      <c r="Q266" s="968">
        <v>0</v>
      </c>
      <c r="R266" s="957">
        <v>2024</v>
      </c>
      <c r="S266" s="957">
        <v>2024</v>
      </c>
      <c r="U266" s="967"/>
      <c r="X266" s="967"/>
    </row>
    <row r="267" spans="1:24" s="966" customFormat="1" ht="42.6" customHeight="1">
      <c r="A267" s="957">
        <v>61</v>
      </c>
      <c r="B267" s="984" t="s">
        <v>2034</v>
      </c>
      <c r="C267" s="957">
        <v>1992</v>
      </c>
      <c r="D267" s="956"/>
      <c r="E267" s="956" t="s">
        <v>220</v>
      </c>
      <c r="F267" s="957">
        <v>3</v>
      </c>
      <c r="G267" s="957">
        <v>3</v>
      </c>
      <c r="H267" s="985">
        <v>1427.3</v>
      </c>
      <c r="I267" s="985">
        <v>1427.3</v>
      </c>
      <c r="J267" s="985">
        <v>1427.3</v>
      </c>
      <c r="K267" s="959">
        <v>41</v>
      </c>
      <c r="L267" s="971">
        <v>3012439.14</v>
      </c>
      <c r="M267" s="968">
        <v>0</v>
      </c>
      <c r="N267" s="968">
        <v>886751.19</v>
      </c>
      <c r="O267" s="968">
        <v>2125687.9500000002</v>
      </c>
      <c r="P267" s="968">
        <v>0</v>
      </c>
      <c r="Q267" s="968">
        <v>0</v>
      </c>
      <c r="R267" s="957">
        <v>2024</v>
      </c>
      <c r="S267" s="957">
        <v>2024</v>
      </c>
      <c r="U267" s="967"/>
      <c r="X267" s="967"/>
    </row>
    <row r="268" spans="1:24" s="1015" customFormat="1" ht="42.6" customHeight="1">
      <c r="A268" s="1163" t="s">
        <v>1236</v>
      </c>
      <c r="B268" s="1164"/>
      <c r="C268" s="1164"/>
      <c r="D268" s="1164"/>
      <c r="E268" s="1164"/>
      <c r="F268" s="1164"/>
      <c r="G268" s="1165"/>
      <c r="H268" s="985">
        <f>H269</f>
        <v>2003.4</v>
      </c>
      <c r="I268" s="985">
        <f t="shared" ref="I268:Q268" si="54">I269</f>
        <v>1713.3</v>
      </c>
      <c r="J268" s="985">
        <f t="shared" si="54"/>
        <v>1661</v>
      </c>
      <c r="K268" s="1014">
        <f t="shared" si="54"/>
        <v>52</v>
      </c>
      <c r="L268" s="971">
        <f t="shared" si="54"/>
        <v>4370826.05</v>
      </c>
      <c r="M268" s="985">
        <f t="shared" si="54"/>
        <v>0</v>
      </c>
      <c r="N268" s="985">
        <f t="shared" si="54"/>
        <v>0</v>
      </c>
      <c r="O268" s="985">
        <f t="shared" si="54"/>
        <v>4370826.05</v>
      </c>
      <c r="P268" s="985">
        <f t="shared" si="54"/>
        <v>0</v>
      </c>
      <c r="Q268" s="985">
        <f t="shared" si="54"/>
        <v>0</v>
      </c>
      <c r="R268" s="968" t="s">
        <v>40</v>
      </c>
      <c r="S268" s="968" t="s">
        <v>40</v>
      </c>
      <c r="U268" s="967"/>
      <c r="X268" s="967"/>
    </row>
    <row r="269" spans="1:24" s="966" customFormat="1" ht="38.450000000000003" customHeight="1">
      <c r="A269" s="956">
        <v>62</v>
      </c>
      <c r="B269" s="986" t="s">
        <v>1340</v>
      </c>
      <c r="C269" s="957">
        <v>1985</v>
      </c>
      <c r="D269" s="998"/>
      <c r="E269" s="956" t="s">
        <v>219</v>
      </c>
      <c r="F269" s="957">
        <v>3</v>
      </c>
      <c r="G269" s="957">
        <v>2</v>
      </c>
      <c r="H269" s="985">
        <v>2003.4</v>
      </c>
      <c r="I269" s="985">
        <v>1713.3</v>
      </c>
      <c r="J269" s="985">
        <v>1661</v>
      </c>
      <c r="K269" s="959">
        <v>52</v>
      </c>
      <c r="L269" s="971">
        <v>4370826.05</v>
      </c>
      <c r="M269" s="985">
        <v>0</v>
      </c>
      <c r="N269" s="985">
        <v>0</v>
      </c>
      <c r="O269" s="985">
        <v>4370826.05</v>
      </c>
      <c r="P269" s="985">
        <v>0</v>
      </c>
      <c r="Q269" s="985">
        <v>0</v>
      </c>
      <c r="R269" s="957">
        <v>2024</v>
      </c>
      <c r="S269" s="957">
        <v>2024</v>
      </c>
      <c r="U269" s="967"/>
      <c r="X269" s="967"/>
    </row>
    <row r="270" spans="1:24" s="966" customFormat="1" ht="41.45" customHeight="1">
      <c r="A270" s="1163" t="s">
        <v>1056</v>
      </c>
      <c r="B270" s="1164"/>
      <c r="C270" s="1164"/>
      <c r="D270" s="1164"/>
      <c r="E270" s="1164"/>
      <c r="F270" s="1164"/>
      <c r="G270" s="1165"/>
      <c r="H270" s="985">
        <f>H271</f>
        <v>1587.9</v>
      </c>
      <c r="I270" s="985">
        <f t="shared" ref="I270:Q270" si="55">I271</f>
        <v>1587.9</v>
      </c>
      <c r="J270" s="985">
        <f t="shared" si="55"/>
        <v>1293.5999999999999</v>
      </c>
      <c r="K270" s="1014">
        <f t="shared" si="55"/>
        <v>41</v>
      </c>
      <c r="L270" s="971">
        <f t="shared" si="55"/>
        <v>4158100.78</v>
      </c>
      <c r="M270" s="985">
        <f t="shared" si="55"/>
        <v>0</v>
      </c>
      <c r="N270" s="985">
        <f t="shared" si="55"/>
        <v>0</v>
      </c>
      <c r="O270" s="985">
        <f t="shared" si="55"/>
        <v>4158100.78</v>
      </c>
      <c r="P270" s="985">
        <f t="shared" si="55"/>
        <v>0</v>
      </c>
      <c r="Q270" s="985">
        <f t="shared" si="55"/>
        <v>0</v>
      </c>
      <c r="R270" s="968" t="s">
        <v>40</v>
      </c>
      <c r="S270" s="968" t="s">
        <v>40</v>
      </c>
      <c r="U270" s="967"/>
      <c r="X270" s="967"/>
    </row>
    <row r="271" spans="1:24" s="966" customFormat="1" ht="37.15" customHeight="1">
      <c r="A271" s="956">
        <v>63</v>
      </c>
      <c r="B271" s="976" t="s">
        <v>1490</v>
      </c>
      <c r="C271" s="957">
        <v>1993</v>
      </c>
      <c r="D271" s="957"/>
      <c r="E271" s="956" t="s">
        <v>219</v>
      </c>
      <c r="F271" s="957">
        <v>3</v>
      </c>
      <c r="G271" s="957">
        <v>2</v>
      </c>
      <c r="H271" s="968">
        <v>1587.9</v>
      </c>
      <c r="I271" s="968">
        <v>1587.9</v>
      </c>
      <c r="J271" s="968">
        <v>1293.5999999999999</v>
      </c>
      <c r="K271" s="959">
        <v>41</v>
      </c>
      <c r="L271" s="971">
        <v>4158100.78</v>
      </c>
      <c r="M271" s="968">
        <v>0</v>
      </c>
      <c r="N271" s="968">
        <v>0</v>
      </c>
      <c r="O271" s="968">
        <v>4158100.78</v>
      </c>
      <c r="P271" s="968">
        <v>0</v>
      </c>
      <c r="Q271" s="968">
        <v>0</v>
      </c>
      <c r="R271" s="957">
        <v>2024</v>
      </c>
      <c r="S271" s="957">
        <v>2024</v>
      </c>
      <c r="U271" s="967"/>
      <c r="X271" s="967"/>
    </row>
    <row r="272" spans="1:24" s="966" customFormat="1" ht="41.45" customHeight="1">
      <c r="A272" s="1163" t="s">
        <v>1979</v>
      </c>
      <c r="B272" s="1164"/>
      <c r="C272" s="1164"/>
      <c r="D272" s="1164"/>
      <c r="E272" s="1164"/>
      <c r="F272" s="1164"/>
      <c r="G272" s="1165"/>
      <c r="H272" s="968">
        <f>SUM(H273:H281)</f>
        <v>7018.9</v>
      </c>
      <c r="I272" s="968">
        <f t="shared" ref="I272:Q272" si="56">SUM(I273:I281)</f>
        <v>6163.4</v>
      </c>
      <c r="J272" s="968">
        <f t="shared" si="56"/>
        <v>5804.5</v>
      </c>
      <c r="K272" s="958">
        <f t="shared" si="56"/>
        <v>318</v>
      </c>
      <c r="L272" s="971">
        <f t="shared" si="56"/>
        <v>26729425.859999999</v>
      </c>
      <c r="M272" s="968">
        <f t="shared" si="56"/>
        <v>0</v>
      </c>
      <c r="N272" s="968">
        <f t="shared" si="56"/>
        <v>1243124.02</v>
      </c>
      <c r="O272" s="968">
        <f t="shared" si="56"/>
        <v>25486301.840000004</v>
      </c>
      <c r="P272" s="968">
        <f t="shared" si="56"/>
        <v>0</v>
      </c>
      <c r="Q272" s="968">
        <f t="shared" si="56"/>
        <v>0</v>
      </c>
      <c r="R272" s="968" t="s">
        <v>40</v>
      </c>
      <c r="S272" s="968" t="s">
        <v>40</v>
      </c>
      <c r="U272" s="967"/>
      <c r="X272" s="967"/>
    </row>
    <row r="273" spans="1:24" s="966" customFormat="1" ht="41.45" customHeight="1">
      <c r="A273" s="956">
        <v>64</v>
      </c>
      <c r="B273" s="984" t="s">
        <v>1957</v>
      </c>
      <c r="C273" s="957">
        <v>1965</v>
      </c>
      <c r="D273" s="957"/>
      <c r="E273" s="956" t="s">
        <v>218</v>
      </c>
      <c r="F273" s="957">
        <v>2</v>
      </c>
      <c r="G273" s="957">
        <v>2</v>
      </c>
      <c r="H273" s="968">
        <v>755.4</v>
      </c>
      <c r="I273" s="968">
        <v>755.4</v>
      </c>
      <c r="J273" s="968">
        <v>646</v>
      </c>
      <c r="K273" s="959">
        <v>19</v>
      </c>
      <c r="L273" s="971">
        <v>500960.78</v>
      </c>
      <c r="M273" s="985">
        <v>0</v>
      </c>
      <c r="N273" s="985">
        <v>0</v>
      </c>
      <c r="O273" s="985">
        <f>L273</f>
        <v>500960.78</v>
      </c>
      <c r="P273" s="963">
        <v>0</v>
      </c>
      <c r="Q273" s="985">
        <v>0</v>
      </c>
      <c r="R273" s="964">
        <v>2024</v>
      </c>
      <c r="S273" s="964">
        <v>2024</v>
      </c>
      <c r="U273" s="967"/>
      <c r="X273" s="967"/>
    </row>
    <row r="274" spans="1:24" s="1015" customFormat="1" ht="45" customHeight="1">
      <c r="A274" s="956">
        <v>65</v>
      </c>
      <c r="B274" s="986" t="s">
        <v>1336</v>
      </c>
      <c r="C274" s="957">
        <v>1970</v>
      </c>
      <c r="D274" s="957"/>
      <c r="E274" s="956" t="s">
        <v>219</v>
      </c>
      <c r="F274" s="957">
        <v>2</v>
      </c>
      <c r="G274" s="957">
        <v>2</v>
      </c>
      <c r="H274" s="968">
        <v>545.20000000000005</v>
      </c>
      <c r="I274" s="968">
        <v>545.20000000000005</v>
      </c>
      <c r="J274" s="968">
        <v>545.20000000000005</v>
      </c>
      <c r="K274" s="959">
        <v>21</v>
      </c>
      <c r="L274" s="971">
        <v>2119864.58</v>
      </c>
      <c r="M274" s="985">
        <v>0</v>
      </c>
      <c r="N274" s="985">
        <v>0</v>
      </c>
      <c r="O274" s="985">
        <f t="shared" ref="O274:O276" si="57">L274</f>
        <v>2119864.58</v>
      </c>
      <c r="P274" s="963">
        <v>0</v>
      </c>
      <c r="Q274" s="985">
        <v>0</v>
      </c>
      <c r="R274" s="964">
        <v>2024</v>
      </c>
      <c r="S274" s="964">
        <v>2024</v>
      </c>
      <c r="U274" s="967"/>
      <c r="X274" s="967"/>
    </row>
    <row r="275" spans="1:24" s="1015" customFormat="1" ht="45" customHeight="1">
      <c r="A275" s="956">
        <v>66</v>
      </c>
      <c r="B275" s="986" t="s">
        <v>2050</v>
      </c>
      <c r="C275" s="957">
        <v>1960</v>
      </c>
      <c r="D275" s="957"/>
      <c r="E275" s="956" t="s">
        <v>218</v>
      </c>
      <c r="F275" s="957">
        <v>2</v>
      </c>
      <c r="G275" s="957">
        <v>2</v>
      </c>
      <c r="H275" s="968">
        <v>480</v>
      </c>
      <c r="I275" s="968">
        <v>480</v>
      </c>
      <c r="J275" s="968">
        <v>290</v>
      </c>
      <c r="K275" s="959">
        <v>22</v>
      </c>
      <c r="L275" s="971">
        <v>4432121.71</v>
      </c>
      <c r="M275" s="985">
        <v>0</v>
      </c>
      <c r="N275" s="985">
        <v>0</v>
      </c>
      <c r="O275" s="985">
        <f t="shared" si="57"/>
        <v>4432121.71</v>
      </c>
      <c r="P275" s="963">
        <v>0</v>
      </c>
      <c r="Q275" s="985">
        <v>0</v>
      </c>
      <c r="R275" s="964">
        <v>2024</v>
      </c>
      <c r="S275" s="964">
        <v>2024</v>
      </c>
      <c r="U275" s="967"/>
      <c r="X275" s="967"/>
    </row>
    <row r="276" spans="1:24" s="966" customFormat="1" ht="39.6" customHeight="1">
      <c r="A276" s="956">
        <v>67</v>
      </c>
      <c r="B276" s="976" t="s">
        <v>1580</v>
      </c>
      <c r="C276" s="957">
        <v>1965</v>
      </c>
      <c r="D276" s="957"/>
      <c r="E276" s="956" t="s">
        <v>220</v>
      </c>
      <c r="F276" s="957">
        <v>2</v>
      </c>
      <c r="G276" s="957">
        <v>1</v>
      </c>
      <c r="H276" s="968">
        <v>799.3</v>
      </c>
      <c r="I276" s="968">
        <v>483.2</v>
      </c>
      <c r="J276" s="968">
        <v>483.2</v>
      </c>
      <c r="K276" s="959">
        <v>30</v>
      </c>
      <c r="L276" s="971">
        <v>2918663.03</v>
      </c>
      <c r="M276" s="985">
        <v>0</v>
      </c>
      <c r="N276" s="985">
        <v>0</v>
      </c>
      <c r="O276" s="985">
        <f t="shared" si="57"/>
        <v>2918663.03</v>
      </c>
      <c r="P276" s="963">
        <v>0</v>
      </c>
      <c r="Q276" s="985">
        <v>0</v>
      </c>
      <c r="R276" s="964">
        <v>2024</v>
      </c>
      <c r="S276" s="964">
        <v>2024</v>
      </c>
      <c r="U276" s="967"/>
      <c r="X276" s="967"/>
    </row>
    <row r="277" spans="1:24" s="966" customFormat="1" ht="49.5" customHeight="1">
      <c r="A277" s="956">
        <v>68</v>
      </c>
      <c r="B277" s="984" t="s">
        <v>1259</v>
      </c>
      <c r="C277" s="957">
        <v>1970</v>
      </c>
      <c r="D277" s="957"/>
      <c r="E277" s="956" t="s">
        <v>218</v>
      </c>
      <c r="F277" s="957">
        <v>2</v>
      </c>
      <c r="G277" s="957">
        <v>2</v>
      </c>
      <c r="H277" s="968">
        <v>512</v>
      </c>
      <c r="I277" s="968">
        <v>512</v>
      </c>
      <c r="J277" s="968">
        <v>512</v>
      </c>
      <c r="K277" s="959">
        <v>35</v>
      </c>
      <c r="L277" s="971">
        <v>2309313.5299999998</v>
      </c>
      <c r="M277" s="985">
        <v>0</v>
      </c>
      <c r="N277" s="985">
        <v>589536.97</v>
      </c>
      <c r="O277" s="985">
        <v>1719776.56</v>
      </c>
      <c r="P277" s="963">
        <v>0</v>
      </c>
      <c r="Q277" s="985">
        <v>0</v>
      </c>
      <c r="R277" s="964">
        <v>2024</v>
      </c>
      <c r="S277" s="964">
        <v>2024</v>
      </c>
      <c r="U277" s="967"/>
      <c r="X277" s="967"/>
    </row>
    <row r="278" spans="1:24" s="966" customFormat="1" ht="49.5" customHeight="1">
      <c r="A278" s="956">
        <v>69</v>
      </c>
      <c r="B278" s="986" t="s">
        <v>1960</v>
      </c>
      <c r="C278" s="957">
        <v>1989</v>
      </c>
      <c r="D278" s="957"/>
      <c r="E278" s="956" t="s">
        <v>219</v>
      </c>
      <c r="F278" s="957">
        <v>3</v>
      </c>
      <c r="G278" s="957">
        <v>3</v>
      </c>
      <c r="H278" s="968">
        <v>1377</v>
      </c>
      <c r="I278" s="968">
        <v>837.6</v>
      </c>
      <c r="J278" s="968">
        <v>837.6</v>
      </c>
      <c r="K278" s="959">
        <v>79</v>
      </c>
      <c r="L278" s="971">
        <v>3981998.26</v>
      </c>
      <c r="M278" s="985">
        <v>0</v>
      </c>
      <c r="N278" s="985">
        <v>653587.05000000005</v>
      </c>
      <c r="O278" s="985">
        <v>3328411.21</v>
      </c>
      <c r="P278" s="963">
        <v>0</v>
      </c>
      <c r="Q278" s="985">
        <v>0</v>
      </c>
      <c r="R278" s="964">
        <v>2024</v>
      </c>
      <c r="S278" s="964">
        <v>2024</v>
      </c>
      <c r="U278" s="967"/>
      <c r="X278" s="967"/>
    </row>
    <row r="279" spans="1:24" s="966" customFormat="1" ht="49.5" customHeight="1">
      <c r="A279" s="956">
        <v>70</v>
      </c>
      <c r="B279" s="986" t="s">
        <v>2093</v>
      </c>
      <c r="C279" s="957">
        <v>1976</v>
      </c>
      <c r="D279" s="957"/>
      <c r="E279" s="956" t="s">
        <v>218</v>
      </c>
      <c r="F279" s="957">
        <v>2</v>
      </c>
      <c r="G279" s="957">
        <v>2</v>
      </c>
      <c r="H279" s="968">
        <v>781</v>
      </c>
      <c r="I279" s="968">
        <v>781</v>
      </c>
      <c r="J279" s="968">
        <v>721.5</v>
      </c>
      <c r="K279" s="959">
        <v>29</v>
      </c>
      <c r="L279" s="971">
        <v>4360178.26</v>
      </c>
      <c r="M279" s="985">
        <v>0</v>
      </c>
      <c r="N279" s="985">
        <v>0</v>
      </c>
      <c r="O279" s="971">
        <f>L279</f>
        <v>4360178.26</v>
      </c>
      <c r="P279" s="963">
        <v>0</v>
      </c>
      <c r="Q279" s="985">
        <v>0</v>
      </c>
      <c r="R279" s="964">
        <v>2024</v>
      </c>
      <c r="S279" s="964">
        <v>2024</v>
      </c>
      <c r="U279" s="967"/>
      <c r="X279" s="967"/>
    </row>
    <row r="280" spans="1:24" s="966" customFormat="1" ht="49.5" customHeight="1">
      <c r="A280" s="956">
        <v>71</v>
      </c>
      <c r="B280" s="986" t="s">
        <v>2047</v>
      </c>
      <c r="C280" s="957">
        <v>1971</v>
      </c>
      <c r="D280" s="957"/>
      <c r="E280" s="956" t="s">
        <v>218</v>
      </c>
      <c r="F280" s="957">
        <v>2</v>
      </c>
      <c r="G280" s="957">
        <v>2</v>
      </c>
      <c r="H280" s="968">
        <v>740</v>
      </c>
      <c r="I280" s="968">
        <v>740</v>
      </c>
      <c r="J280" s="968">
        <v>740</v>
      </c>
      <c r="K280" s="959">
        <v>37</v>
      </c>
      <c r="L280" s="971">
        <v>2773117.59</v>
      </c>
      <c r="M280" s="985">
        <v>0</v>
      </c>
      <c r="N280" s="985">
        <v>0</v>
      </c>
      <c r="O280" s="971">
        <f t="shared" ref="O280:O343" si="58">L280</f>
        <v>2773117.59</v>
      </c>
      <c r="P280" s="963">
        <v>0</v>
      </c>
      <c r="Q280" s="985">
        <v>0</v>
      </c>
      <c r="R280" s="964">
        <v>2024</v>
      </c>
      <c r="S280" s="964">
        <v>2024</v>
      </c>
      <c r="U280" s="967"/>
      <c r="X280" s="967"/>
    </row>
    <row r="281" spans="1:24" s="966" customFormat="1" ht="49.5" customHeight="1">
      <c r="A281" s="956">
        <v>72</v>
      </c>
      <c r="B281" s="986" t="s">
        <v>2048</v>
      </c>
      <c r="C281" s="957">
        <v>1960</v>
      </c>
      <c r="D281" s="957"/>
      <c r="E281" s="956" t="s">
        <v>220</v>
      </c>
      <c r="F281" s="957">
        <v>2</v>
      </c>
      <c r="G281" s="957">
        <v>0</v>
      </c>
      <c r="H281" s="968">
        <v>1029</v>
      </c>
      <c r="I281" s="968">
        <v>1029</v>
      </c>
      <c r="J281" s="968">
        <v>1029</v>
      </c>
      <c r="K281" s="959">
        <v>46</v>
      </c>
      <c r="L281" s="971">
        <v>3333208.12</v>
      </c>
      <c r="M281" s="985">
        <v>0</v>
      </c>
      <c r="N281" s="985">
        <v>0</v>
      </c>
      <c r="O281" s="971">
        <f t="shared" si="58"/>
        <v>3333208.12</v>
      </c>
      <c r="P281" s="963">
        <v>0</v>
      </c>
      <c r="Q281" s="985">
        <v>0</v>
      </c>
      <c r="R281" s="964">
        <v>2024</v>
      </c>
      <c r="S281" s="964">
        <v>2024</v>
      </c>
      <c r="U281" s="967"/>
      <c r="X281" s="967"/>
    </row>
    <row r="282" spans="1:24" s="966" customFormat="1" ht="37.9" customHeight="1">
      <c r="A282" s="1163" t="s">
        <v>1974</v>
      </c>
      <c r="B282" s="1164"/>
      <c r="C282" s="1164"/>
      <c r="D282" s="1164"/>
      <c r="E282" s="1164"/>
      <c r="F282" s="1164"/>
      <c r="G282" s="1165"/>
      <c r="H282" s="968">
        <f>SUM(H283:H286)</f>
        <v>4743.07</v>
      </c>
      <c r="I282" s="968">
        <f t="shared" ref="I282:Q282" si="59">SUM(I283:I286)</f>
        <v>4177.7</v>
      </c>
      <c r="J282" s="968">
        <f t="shared" si="59"/>
        <v>3759.9000000000005</v>
      </c>
      <c r="K282" s="958">
        <f t="shared" si="59"/>
        <v>177</v>
      </c>
      <c r="L282" s="971">
        <f t="shared" si="59"/>
        <v>11257596.639999999</v>
      </c>
      <c r="M282" s="968">
        <f t="shared" si="59"/>
        <v>0</v>
      </c>
      <c r="N282" s="968">
        <f t="shared" si="59"/>
        <v>0</v>
      </c>
      <c r="O282" s="971">
        <f t="shared" si="58"/>
        <v>11257596.639999999</v>
      </c>
      <c r="P282" s="968">
        <f t="shared" si="59"/>
        <v>0</v>
      </c>
      <c r="Q282" s="968">
        <f t="shared" si="59"/>
        <v>0</v>
      </c>
      <c r="R282" s="968" t="s">
        <v>40</v>
      </c>
      <c r="S282" s="968" t="s">
        <v>40</v>
      </c>
      <c r="U282" s="967"/>
      <c r="X282" s="967"/>
    </row>
    <row r="283" spans="1:24" s="966" customFormat="1" ht="36.6" customHeight="1">
      <c r="A283" s="956">
        <v>73</v>
      </c>
      <c r="B283" s="984" t="s">
        <v>1368</v>
      </c>
      <c r="C283" s="957">
        <v>1974</v>
      </c>
      <c r="D283" s="987"/>
      <c r="E283" s="956" t="s">
        <v>220</v>
      </c>
      <c r="F283" s="957">
        <v>2</v>
      </c>
      <c r="G283" s="957">
        <v>2</v>
      </c>
      <c r="H283" s="957">
        <v>496.17</v>
      </c>
      <c r="I283" s="957">
        <v>453.2</v>
      </c>
      <c r="J283" s="957">
        <v>407.8</v>
      </c>
      <c r="K283" s="959">
        <v>8</v>
      </c>
      <c r="L283" s="971">
        <v>1891142.35</v>
      </c>
      <c r="M283" s="968">
        <v>0</v>
      </c>
      <c r="N283" s="968">
        <v>0</v>
      </c>
      <c r="O283" s="971">
        <f t="shared" si="58"/>
        <v>1891142.35</v>
      </c>
      <c r="P283" s="963">
        <v>0</v>
      </c>
      <c r="Q283" s="963">
        <v>0</v>
      </c>
      <c r="R283" s="956">
        <v>2024</v>
      </c>
      <c r="S283" s="956">
        <v>2024</v>
      </c>
      <c r="U283" s="967"/>
      <c r="X283" s="967"/>
    </row>
    <row r="284" spans="1:24" s="966" customFormat="1" ht="42.6" customHeight="1">
      <c r="A284" s="956">
        <v>74</v>
      </c>
      <c r="B284" s="972" t="s">
        <v>1369</v>
      </c>
      <c r="C284" s="957">
        <v>1989</v>
      </c>
      <c r="D284" s="1016"/>
      <c r="E284" s="956" t="s">
        <v>218</v>
      </c>
      <c r="F284" s="1017">
        <v>5</v>
      </c>
      <c r="G284" s="1017">
        <v>4</v>
      </c>
      <c r="H284" s="1017">
        <v>3395</v>
      </c>
      <c r="I284" s="1017">
        <v>3037.5</v>
      </c>
      <c r="J284" s="1017">
        <v>2733.8</v>
      </c>
      <c r="K284" s="1018">
        <v>112</v>
      </c>
      <c r="L284" s="1019">
        <v>5411233.2699999996</v>
      </c>
      <c r="M284" s="968">
        <v>0</v>
      </c>
      <c r="N284" s="968">
        <v>0</v>
      </c>
      <c r="O284" s="971">
        <f t="shared" si="58"/>
        <v>5411233.2699999996</v>
      </c>
      <c r="P284" s="963">
        <v>0</v>
      </c>
      <c r="Q284" s="963">
        <v>0</v>
      </c>
      <c r="R284" s="956">
        <v>2024</v>
      </c>
      <c r="S284" s="956">
        <v>2024</v>
      </c>
      <c r="U284" s="967"/>
      <c r="X284" s="967"/>
    </row>
    <row r="285" spans="1:24" s="966" customFormat="1" ht="40.9" customHeight="1">
      <c r="A285" s="956">
        <v>75</v>
      </c>
      <c r="B285" s="972" t="s">
        <v>1370</v>
      </c>
      <c r="C285" s="957">
        <v>1978</v>
      </c>
      <c r="D285" s="1016"/>
      <c r="E285" s="956" t="s">
        <v>218</v>
      </c>
      <c r="F285" s="1017">
        <v>2</v>
      </c>
      <c r="G285" s="1017">
        <v>1</v>
      </c>
      <c r="H285" s="1017">
        <v>415</v>
      </c>
      <c r="I285" s="1017">
        <v>347.2</v>
      </c>
      <c r="J285" s="1017">
        <v>312.5</v>
      </c>
      <c r="K285" s="1018">
        <v>17</v>
      </c>
      <c r="L285" s="1019">
        <v>1891142.35</v>
      </c>
      <c r="M285" s="968">
        <v>0</v>
      </c>
      <c r="N285" s="968">
        <v>0</v>
      </c>
      <c r="O285" s="971">
        <f t="shared" si="58"/>
        <v>1891142.35</v>
      </c>
      <c r="P285" s="963">
        <v>0</v>
      </c>
      <c r="Q285" s="963">
        <v>0</v>
      </c>
      <c r="R285" s="956">
        <v>2024</v>
      </c>
      <c r="S285" s="956">
        <v>2024</v>
      </c>
      <c r="U285" s="967"/>
      <c r="X285" s="967"/>
    </row>
    <row r="286" spans="1:24" s="966" customFormat="1" ht="39.6" customHeight="1">
      <c r="A286" s="956">
        <v>76</v>
      </c>
      <c r="B286" s="1020" t="s">
        <v>1371</v>
      </c>
      <c r="C286" s="957">
        <v>1985</v>
      </c>
      <c r="D286" s="1016"/>
      <c r="E286" s="956" t="s">
        <v>218</v>
      </c>
      <c r="F286" s="1017">
        <v>2</v>
      </c>
      <c r="G286" s="1017">
        <v>1</v>
      </c>
      <c r="H286" s="1017">
        <v>436.9</v>
      </c>
      <c r="I286" s="1021">
        <v>339.8</v>
      </c>
      <c r="J286" s="1021">
        <v>305.8</v>
      </c>
      <c r="K286" s="1022">
        <v>40</v>
      </c>
      <c r="L286" s="1023">
        <v>2064078.67</v>
      </c>
      <c r="M286" s="963">
        <v>0</v>
      </c>
      <c r="N286" s="963">
        <v>0</v>
      </c>
      <c r="O286" s="971">
        <f t="shared" si="58"/>
        <v>2064078.67</v>
      </c>
      <c r="P286" s="963">
        <v>0</v>
      </c>
      <c r="Q286" s="963">
        <v>0</v>
      </c>
      <c r="R286" s="956">
        <v>2024</v>
      </c>
      <c r="S286" s="956">
        <v>2024</v>
      </c>
      <c r="U286" s="967"/>
      <c r="X286" s="967"/>
    </row>
    <row r="287" spans="1:24" s="966" customFormat="1" ht="40.9" customHeight="1">
      <c r="A287" s="1163" t="s">
        <v>1248</v>
      </c>
      <c r="B287" s="1164"/>
      <c r="C287" s="1164"/>
      <c r="D287" s="1164"/>
      <c r="E287" s="1164"/>
      <c r="F287" s="1164"/>
      <c r="G287" s="1165"/>
      <c r="H287" s="968">
        <f>SUM(H288:H292)</f>
        <v>5619.9</v>
      </c>
      <c r="I287" s="968">
        <f t="shared" ref="I287:Q287" si="60">SUM(I288:I292)</f>
        <v>5484.6</v>
      </c>
      <c r="J287" s="968">
        <f t="shared" si="60"/>
        <v>4499.3</v>
      </c>
      <c r="K287" s="958">
        <f t="shared" si="60"/>
        <v>315</v>
      </c>
      <c r="L287" s="971">
        <f t="shared" si="60"/>
        <v>19728615.199999999</v>
      </c>
      <c r="M287" s="968">
        <f t="shared" si="60"/>
        <v>0</v>
      </c>
      <c r="N287" s="968">
        <f t="shared" si="60"/>
        <v>0</v>
      </c>
      <c r="O287" s="971">
        <f t="shared" si="58"/>
        <v>19728615.199999999</v>
      </c>
      <c r="P287" s="968">
        <f t="shared" si="60"/>
        <v>0</v>
      </c>
      <c r="Q287" s="968">
        <f t="shared" si="60"/>
        <v>0</v>
      </c>
      <c r="R287" s="968" t="s">
        <v>40</v>
      </c>
      <c r="S287" s="968" t="s">
        <v>40</v>
      </c>
      <c r="U287" s="967"/>
      <c r="X287" s="967"/>
    </row>
    <row r="288" spans="1:24" s="966" customFormat="1" ht="42" customHeight="1">
      <c r="A288" s="956">
        <v>77</v>
      </c>
      <c r="B288" s="986" t="s">
        <v>1419</v>
      </c>
      <c r="C288" s="956" t="s">
        <v>190</v>
      </c>
      <c r="D288" s="956"/>
      <c r="E288" s="956" t="s">
        <v>218</v>
      </c>
      <c r="F288" s="956">
        <v>2</v>
      </c>
      <c r="G288" s="956">
        <v>1</v>
      </c>
      <c r="H288" s="963">
        <v>394.7</v>
      </c>
      <c r="I288" s="963">
        <v>259.39999999999998</v>
      </c>
      <c r="J288" s="963">
        <v>259.39999999999998</v>
      </c>
      <c r="K288" s="964">
        <v>20</v>
      </c>
      <c r="L288" s="971">
        <v>3641084.34</v>
      </c>
      <c r="M288" s="963">
        <v>0</v>
      </c>
      <c r="N288" s="963">
        <v>0</v>
      </c>
      <c r="O288" s="971">
        <f t="shared" si="58"/>
        <v>3641084.34</v>
      </c>
      <c r="P288" s="963">
        <v>0</v>
      </c>
      <c r="Q288" s="963">
        <v>0</v>
      </c>
      <c r="R288" s="964">
        <v>2024</v>
      </c>
      <c r="S288" s="964">
        <v>2024</v>
      </c>
      <c r="U288" s="967"/>
      <c r="X288" s="967"/>
    </row>
    <row r="289" spans="1:24" s="966" customFormat="1" ht="42" customHeight="1">
      <c r="A289" s="956">
        <v>78</v>
      </c>
      <c r="B289" s="986" t="s">
        <v>1420</v>
      </c>
      <c r="C289" s="957">
        <v>1985</v>
      </c>
      <c r="D289" s="957"/>
      <c r="E289" s="956" t="s">
        <v>218</v>
      </c>
      <c r="F289" s="957">
        <v>5</v>
      </c>
      <c r="G289" s="957">
        <v>4</v>
      </c>
      <c r="H289" s="968">
        <v>3336.8</v>
      </c>
      <c r="I289" s="968">
        <v>3336.8</v>
      </c>
      <c r="J289" s="968">
        <v>2745.9</v>
      </c>
      <c r="K289" s="959">
        <v>140</v>
      </c>
      <c r="L289" s="971">
        <v>4250384.2699999996</v>
      </c>
      <c r="M289" s="968">
        <v>0</v>
      </c>
      <c r="N289" s="968">
        <v>0</v>
      </c>
      <c r="O289" s="971">
        <f t="shared" si="58"/>
        <v>4250384.2699999996</v>
      </c>
      <c r="P289" s="968">
        <v>0</v>
      </c>
      <c r="Q289" s="968">
        <v>0</v>
      </c>
      <c r="R289" s="964">
        <v>2024</v>
      </c>
      <c r="S289" s="964">
        <v>2024</v>
      </c>
      <c r="U289" s="967"/>
      <c r="X289" s="967"/>
    </row>
    <row r="290" spans="1:24" s="966" customFormat="1" ht="42.6" customHeight="1">
      <c r="A290" s="956">
        <v>79</v>
      </c>
      <c r="B290" s="986" t="s">
        <v>1421</v>
      </c>
      <c r="C290" s="957">
        <v>1991</v>
      </c>
      <c r="D290" s="957"/>
      <c r="E290" s="956" t="s">
        <v>218</v>
      </c>
      <c r="F290" s="957">
        <v>2</v>
      </c>
      <c r="G290" s="957">
        <v>2</v>
      </c>
      <c r="H290" s="968">
        <v>970.7</v>
      </c>
      <c r="I290" s="968">
        <v>970.7</v>
      </c>
      <c r="J290" s="968">
        <v>893.1</v>
      </c>
      <c r="K290" s="959">
        <v>71</v>
      </c>
      <c r="L290" s="971">
        <v>1711675.5</v>
      </c>
      <c r="M290" s="968">
        <v>0</v>
      </c>
      <c r="N290" s="968">
        <v>0</v>
      </c>
      <c r="O290" s="971">
        <f t="shared" si="58"/>
        <v>1711675.5</v>
      </c>
      <c r="P290" s="968">
        <v>0</v>
      </c>
      <c r="Q290" s="968">
        <v>0</v>
      </c>
      <c r="R290" s="964">
        <v>2024</v>
      </c>
      <c r="S290" s="964">
        <v>2024</v>
      </c>
      <c r="U290" s="967"/>
      <c r="X290" s="967"/>
    </row>
    <row r="291" spans="1:24" s="966" customFormat="1" ht="42.6" customHeight="1">
      <c r="A291" s="956">
        <v>80</v>
      </c>
      <c r="B291" s="986" t="s">
        <v>1422</v>
      </c>
      <c r="C291" s="957">
        <v>1963</v>
      </c>
      <c r="D291" s="957"/>
      <c r="E291" s="956" t="s">
        <v>218</v>
      </c>
      <c r="F291" s="957">
        <v>2</v>
      </c>
      <c r="G291" s="957">
        <v>2</v>
      </c>
      <c r="H291" s="968">
        <v>465.7</v>
      </c>
      <c r="I291" s="968">
        <v>465.7</v>
      </c>
      <c r="J291" s="968">
        <v>307.8</v>
      </c>
      <c r="K291" s="959">
        <v>52</v>
      </c>
      <c r="L291" s="971">
        <v>5863889.7199999997</v>
      </c>
      <c r="M291" s="968">
        <v>0</v>
      </c>
      <c r="N291" s="968">
        <v>0</v>
      </c>
      <c r="O291" s="971">
        <f t="shared" si="58"/>
        <v>5863889.7199999997</v>
      </c>
      <c r="P291" s="968">
        <v>0</v>
      </c>
      <c r="Q291" s="968">
        <v>0</v>
      </c>
      <c r="R291" s="964">
        <v>2024</v>
      </c>
      <c r="S291" s="964">
        <v>2024</v>
      </c>
      <c r="U291" s="967"/>
      <c r="X291" s="967"/>
    </row>
    <row r="292" spans="1:24" s="966" customFormat="1" ht="42.6" customHeight="1">
      <c r="A292" s="956">
        <v>81</v>
      </c>
      <c r="B292" s="986" t="s">
        <v>1423</v>
      </c>
      <c r="C292" s="957">
        <v>1962</v>
      </c>
      <c r="D292" s="957"/>
      <c r="E292" s="956" t="s">
        <v>218</v>
      </c>
      <c r="F292" s="957">
        <v>2</v>
      </c>
      <c r="G292" s="957">
        <v>2</v>
      </c>
      <c r="H292" s="968">
        <v>452</v>
      </c>
      <c r="I292" s="968">
        <v>452</v>
      </c>
      <c r="J292" s="968">
        <v>293.10000000000002</v>
      </c>
      <c r="K292" s="959">
        <v>32</v>
      </c>
      <c r="L292" s="971">
        <v>4261581.37</v>
      </c>
      <c r="M292" s="968">
        <v>0</v>
      </c>
      <c r="N292" s="968">
        <v>0</v>
      </c>
      <c r="O292" s="971">
        <f t="shared" si="58"/>
        <v>4261581.37</v>
      </c>
      <c r="P292" s="968">
        <v>0</v>
      </c>
      <c r="Q292" s="968">
        <v>0</v>
      </c>
      <c r="R292" s="964">
        <v>2024</v>
      </c>
      <c r="S292" s="964">
        <v>2024</v>
      </c>
      <c r="U292" s="967"/>
      <c r="X292" s="967"/>
    </row>
    <row r="293" spans="1:24" s="966" customFormat="1" ht="42.6" customHeight="1">
      <c r="A293" s="1163" t="s">
        <v>2082</v>
      </c>
      <c r="B293" s="1164"/>
      <c r="C293" s="1164"/>
      <c r="D293" s="1164"/>
      <c r="E293" s="1164"/>
      <c r="F293" s="1164"/>
      <c r="G293" s="1165"/>
      <c r="H293" s="968">
        <f>H294</f>
        <v>345.1</v>
      </c>
      <c r="I293" s="968">
        <f t="shared" ref="I293:J293" si="61">I294</f>
        <v>342.8</v>
      </c>
      <c r="J293" s="968">
        <f t="shared" si="61"/>
        <v>342.8</v>
      </c>
      <c r="K293" s="964">
        <f>K294</f>
        <v>15</v>
      </c>
      <c r="L293" s="971">
        <v>2408761.7999999998</v>
      </c>
      <c r="M293" s="968">
        <f t="shared" ref="M293:Q293" si="62">SUM(M294:M301)</f>
        <v>0</v>
      </c>
      <c r="N293" s="968">
        <f t="shared" si="62"/>
        <v>0</v>
      </c>
      <c r="O293" s="971">
        <f t="shared" si="58"/>
        <v>2408761.7999999998</v>
      </c>
      <c r="P293" s="968">
        <f t="shared" si="62"/>
        <v>0</v>
      </c>
      <c r="Q293" s="968">
        <f t="shared" si="62"/>
        <v>0</v>
      </c>
      <c r="R293" s="968" t="s">
        <v>40</v>
      </c>
      <c r="S293" s="968" t="s">
        <v>40</v>
      </c>
      <c r="U293" s="967"/>
      <c r="X293" s="967"/>
    </row>
    <row r="294" spans="1:24" s="966" customFormat="1" ht="42.6" customHeight="1">
      <c r="A294" s="956">
        <v>82</v>
      </c>
      <c r="B294" s="984" t="s">
        <v>2062</v>
      </c>
      <c r="C294" s="956">
        <v>1973</v>
      </c>
      <c r="D294" s="957"/>
      <c r="E294" s="956" t="s">
        <v>2063</v>
      </c>
      <c r="F294" s="957">
        <v>2</v>
      </c>
      <c r="G294" s="957">
        <v>1</v>
      </c>
      <c r="H294" s="968">
        <v>345.1</v>
      </c>
      <c r="I294" s="968">
        <v>342.8</v>
      </c>
      <c r="J294" s="968">
        <v>342.8</v>
      </c>
      <c r="K294" s="964">
        <v>15</v>
      </c>
      <c r="L294" s="971">
        <v>2408761.7999999998</v>
      </c>
      <c r="M294" s="968">
        <v>0</v>
      </c>
      <c r="N294" s="968">
        <v>0</v>
      </c>
      <c r="O294" s="971">
        <f t="shared" si="58"/>
        <v>2408761.7999999998</v>
      </c>
      <c r="P294" s="968">
        <v>0</v>
      </c>
      <c r="Q294" s="968">
        <v>0</v>
      </c>
      <c r="R294" s="957">
        <v>2024</v>
      </c>
      <c r="S294" s="957">
        <v>2024</v>
      </c>
      <c r="U294" s="967"/>
      <c r="X294" s="967"/>
    </row>
    <row r="295" spans="1:24" s="966" customFormat="1" ht="36" customHeight="1">
      <c r="A295" s="1163" t="s">
        <v>1185</v>
      </c>
      <c r="B295" s="1164"/>
      <c r="C295" s="1164"/>
      <c r="D295" s="1164"/>
      <c r="E295" s="1164"/>
      <c r="F295" s="1164"/>
      <c r="G295" s="1165"/>
      <c r="H295" s="968">
        <f>SUM(H296:H303)</f>
        <v>7587.1</v>
      </c>
      <c r="I295" s="968">
        <f t="shared" ref="I295:Q295" si="63">SUM(I296:I303)</f>
        <v>6731.7000000000007</v>
      </c>
      <c r="J295" s="968">
        <f t="shared" si="63"/>
        <v>5667.2999999999993</v>
      </c>
      <c r="K295" s="958">
        <f t="shared" si="63"/>
        <v>304</v>
      </c>
      <c r="L295" s="971">
        <f t="shared" si="63"/>
        <v>32586878.849999998</v>
      </c>
      <c r="M295" s="968">
        <f t="shared" si="63"/>
        <v>0</v>
      </c>
      <c r="N295" s="968">
        <f t="shared" si="63"/>
        <v>0</v>
      </c>
      <c r="O295" s="971">
        <f t="shared" si="58"/>
        <v>32586878.849999998</v>
      </c>
      <c r="P295" s="968">
        <f t="shared" si="63"/>
        <v>0</v>
      </c>
      <c r="Q295" s="968">
        <f t="shared" si="63"/>
        <v>0</v>
      </c>
      <c r="R295" s="968" t="s">
        <v>40</v>
      </c>
      <c r="S295" s="968" t="s">
        <v>40</v>
      </c>
      <c r="U295" s="967"/>
      <c r="X295" s="967"/>
    </row>
    <row r="296" spans="1:24" s="966" customFormat="1" ht="36" customHeight="1">
      <c r="A296" s="956">
        <v>83</v>
      </c>
      <c r="B296" s="984" t="s">
        <v>1329</v>
      </c>
      <c r="C296" s="956">
        <v>1956</v>
      </c>
      <c r="D296" s="957"/>
      <c r="E296" s="956" t="s">
        <v>218</v>
      </c>
      <c r="F296" s="957">
        <v>2</v>
      </c>
      <c r="G296" s="957">
        <v>3</v>
      </c>
      <c r="H296" s="968">
        <v>552.6</v>
      </c>
      <c r="I296" s="968">
        <v>486.8</v>
      </c>
      <c r="J296" s="968">
        <v>486.8</v>
      </c>
      <c r="K296" s="964">
        <v>24</v>
      </c>
      <c r="L296" s="971">
        <v>4919655.0999999996</v>
      </c>
      <c r="M296" s="968">
        <v>0</v>
      </c>
      <c r="N296" s="968">
        <v>0</v>
      </c>
      <c r="O296" s="971">
        <f t="shared" si="58"/>
        <v>4919655.0999999996</v>
      </c>
      <c r="P296" s="968">
        <v>0</v>
      </c>
      <c r="Q296" s="968">
        <v>0</v>
      </c>
      <c r="R296" s="957">
        <v>2024</v>
      </c>
      <c r="S296" s="957">
        <v>2024</v>
      </c>
      <c r="U296" s="967"/>
      <c r="X296" s="967"/>
    </row>
    <row r="297" spans="1:24" s="966" customFormat="1" ht="36" customHeight="1">
      <c r="A297" s="956">
        <v>84</v>
      </c>
      <c r="B297" s="984" t="s">
        <v>1330</v>
      </c>
      <c r="C297" s="956">
        <v>1963</v>
      </c>
      <c r="D297" s="957"/>
      <c r="E297" s="956" t="s">
        <v>218</v>
      </c>
      <c r="F297" s="957">
        <v>1</v>
      </c>
      <c r="G297" s="957">
        <v>4</v>
      </c>
      <c r="H297" s="968">
        <v>498.5</v>
      </c>
      <c r="I297" s="968">
        <v>443.8</v>
      </c>
      <c r="J297" s="968">
        <v>402.4</v>
      </c>
      <c r="K297" s="964">
        <v>28</v>
      </c>
      <c r="L297" s="971">
        <v>8052008.9500000002</v>
      </c>
      <c r="M297" s="968">
        <v>0</v>
      </c>
      <c r="N297" s="968">
        <v>0</v>
      </c>
      <c r="O297" s="971">
        <f t="shared" si="58"/>
        <v>8052008.9500000002</v>
      </c>
      <c r="P297" s="968">
        <v>0</v>
      </c>
      <c r="Q297" s="968">
        <v>0</v>
      </c>
      <c r="R297" s="957">
        <v>2024</v>
      </c>
      <c r="S297" s="957">
        <v>2024</v>
      </c>
      <c r="U297" s="967"/>
      <c r="X297" s="967"/>
    </row>
    <row r="298" spans="1:24" ht="40.15" customHeight="1">
      <c r="A298" s="956">
        <v>85</v>
      </c>
      <c r="B298" s="984" t="s">
        <v>1476</v>
      </c>
      <c r="C298" s="956">
        <v>1956</v>
      </c>
      <c r="D298" s="957"/>
      <c r="E298" s="956" t="s">
        <v>218</v>
      </c>
      <c r="F298" s="957">
        <v>2</v>
      </c>
      <c r="G298" s="957">
        <v>2</v>
      </c>
      <c r="H298" s="968">
        <v>557.9</v>
      </c>
      <c r="I298" s="968">
        <v>557.9</v>
      </c>
      <c r="J298" s="968">
        <v>288.8</v>
      </c>
      <c r="K298" s="964">
        <v>23</v>
      </c>
      <c r="L298" s="971">
        <v>4668180.37</v>
      </c>
      <c r="M298" s="968">
        <v>0</v>
      </c>
      <c r="N298" s="968">
        <v>0</v>
      </c>
      <c r="O298" s="971">
        <f t="shared" si="58"/>
        <v>4668180.37</v>
      </c>
      <c r="P298" s="968">
        <v>0</v>
      </c>
      <c r="Q298" s="968">
        <v>0</v>
      </c>
      <c r="R298" s="957">
        <v>2024</v>
      </c>
      <c r="S298" s="957">
        <v>2024</v>
      </c>
      <c r="U298" s="967"/>
      <c r="X298" s="967"/>
    </row>
    <row r="299" spans="1:24" ht="40.15" customHeight="1">
      <c r="A299" s="956">
        <v>86</v>
      </c>
      <c r="B299" s="984" t="s">
        <v>2061</v>
      </c>
      <c r="C299" s="956">
        <v>1983</v>
      </c>
      <c r="D299" s="957"/>
      <c r="E299" s="956" t="s">
        <v>218</v>
      </c>
      <c r="F299" s="957">
        <v>5</v>
      </c>
      <c r="G299" s="957">
        <v>1</v>
      </c>
      <c r="H299" s="968">
        <v>1904.2</v>
      </c>
      <c r="I299" s="968">
        <v>1536.3</v>
      </c>
      <c r="J299" s="968">
        <v>1223.9000000000001</v>
      </c>
      <c r="K299" s="964">
        <v>111</v>
      </c>
      <c r="L299" s="971">
        <v>4812966.01</v>
      </c>
      <c r="M299" s="968">
        <v>0</v>
      </c>
      <c r="N299" s="968">
        <v>0</v>
      </c>
      <c r="O299" s="971">
        <f t="shared" si="58"/>
        <v>4812966.01</v>
      </c>
      <c r="P299" s="968">
        <v>0</v>
      </c>
      <c r="Q299" s="968">
        <v>0</v>
      </c>
      <c r="R299" s="957">
        <v>2024</v>
      </c>
      <c r="S299" s="957">
        <v>2024</v>
      </c>
      <c r="U299" s="967"/>
      <c r="X299" s="967"/>
    </row>
    <row r="300" spans="1:24" ht="40.15" customHeight="1">
      <c r="A300" s="956">
        <v>87</v>
      </c>
      <c r="B300" s="984" t="s">
        <v>2057</v>
      </c>
      <c r="C300" s="956">
        <v>1980</v>
      </c>
      <c r="D300" s="957"/>
      <c r="E300" s="956" t="s">
        <v>218</v>
      </c>
      <c r="F300" s="957">
        <v>2</v>
      </c>
      <c r="G300" s="957">
        <v>2</v>
      </c>
      <c r="H300" s="968">
        <v>826.5</v>
      </c>
      <c r="I300" s="968">
        <v>763.3</v>
      </c>
      <c r="J300" s="968">
        <v>639.29999999999995</v>
      </c>
      <c r="K300" s="964">
        <v>21</v>
      </c>
      <c r="L300" s="971">
        <v>2710637.37</v>
      </c>
      <c r="M300" s="968">
        <v>0</v>
      </c>
      <c r="N300" s="968">
        <v>0</v>
      </c>
      <c r="O300" s="971">
        <f t="shared" si="58"/>
        <v>2710637.37</v>
      </c>
      <c r="P300" s="968">
        <v>0</v>
      </c>
      <c r="Q300" s="968">
        <v>0</v>
      </c>
      <c r="R300" s="957">
        <v>2024</v>
      </c>
      <c r="S300" s="957">
        <v>2024</v>
      </c>
      <c r="U300" s="967"/>
      <c r="X300" s="967"/>
    </row>
    <row r="301" spans="1:24" ht="40.15" customHeight="1">
      <c r="A301" s="956">
        <v>88</v>
      </c>
      <c r="B301" s="984" t="s">
        <v>2058</v>
      </c>
      <c r="C301" s="956">
        <v>1980</v>
      </c>
      <c r="D301" s="957"/>
      <c r="E301" s="956" t="s">
        <v>220</v>
      </c>
      <c r="F301" s="957">
        <v>3</v>
      </c>
      <c r="G301" s="957">
        <v>2</v>
      </c>
      <c r="H301" s="968">
        <v>924.7</v>
      </c>
      <c r="I301" s="968">
        <v>837.7</v>
      </c>
      <c r="J301" s="968">
        <v>665.7</v>
      </c>
      <c r="K301" s="964">
        <v>41</v>
      </c>
      <c r="L301" s="971">
        <v>2122653.88</v>
      </c>
      <c r="M301" s="968">
        <v>0</v>
      </c>
      <c r="N301" s="968">
        <v>0</v>
      </c>
      <c r="O301" s="971">
        <f t="shared" si="58"/>
        <v>2122653.88</v>
      </c>
      <c r="P301" s="968">
        <v>0</v>
      </c>
      <c r="Q301" s="968">
        <v>0</v>
      </c>
      <c r="R301" s="957">
        <v>2024</v>
      </c>
      <c r="S301" s="957">
        <v>2024</v>
      </c>
      <c r="U301" s="967"/>
      <c r="X301" s="967"/>
    </row>
    <row r="302" spans="1:24" ht="40.15" customHeight="1">
      <c r="A302" s="956">
        <v>89</v>
      </c>
      <c r="B302" s="984" t="s">
        <v>2059</v>
      </c>
      <c r="C302" s="956">
        <v>1980</v>
      </c>
      <c r="D302" s="957"/>
      <c r="E302" s="956" t="s">
        <v>220</v>
      </c>
      <c r="F302" s="957">
        <v>3</v>
      </c>
      <c r="G302" s="957">
        <v>2</v>
      </c>
      <c r="H302" s="968">
        <v>925.8</v>
      </c>
      <c r="I302" s="968">
        <v>838.8</v>
      </c>
      <c r="J302" s="968">
        <v>740.3</v>
      </c>
      <c r="K302" s="964">
        <v>32</v>
      </c>
      <c r="L302" s="971">
        <v>2122653.88</v>
      </c>
      <c r="M302" s="968">
        <v>0</v>
      </c>
      <c r="N302" s="968">
        <v>0</v>
      </c>
      <c r="O302" s="971">
        <f t="shared" si="58"/>
        <v>2122653.88</v>
      </c>
      <c r="P302" s="968">
        <v>0</v>
      </c>
      <c r="Q302" s="968">
        <v>0</v>
      </c>
      <c r="R302" s="957">
        <v>2024</v>
      </c>
      <c r="S302" s="957">
        <v>2024</v>
      </c>
      <c r="U302" s="967"/>
      <c r="X302" s="967"/>
    </row>
    <row r="303" spans="1:24" ht="40.15" customHeight="1">
      <c r="A303" s="956">
        <v>90</v>
      </c>
      <c r="B303" s="984" t="s">
        <v>2060</v>
      </c>
      <c r="C303" s="956">
        <v>1980</v>
      </c>
      <c r="D303" s="957"/>
      <c r="E303" s="956" t="s">
        <v>220</v>
      </c>
      <c r="F303" s="957">
        <v>3</v>
      </c>
      <c r="G303" s="957">
        <v>3</v>
      </c>
      <c r="H303" s="968">
        <v>1396.9</v>
      </c>
      <c r="I303" s="968">
        <v>1267.0999999999999</v>
      </c>
      <c r="J303" s="968">
        <v>1220.0999999999999</v>
      </c>
      <c r="K303" s="964">
        <v>24</v>
      </c>
      <c r="L303" s="971">
        <v>3178123.29</v>
      </c>
      <c r="M303" s="968">
        <v>0</v>
      </c>
      <c r="N303" s="968">
        <v>0</v>
      </c>
      <c r="O303" s="971">
        <f t="shared" si="58"/>
        <v>3178123.29</v>
      </c>
      <c r="P303" s="968">
        <v>0</v>
      </c>
      <c r="Q303" s="968">
        <v>0</v>
      </c>
      <c r="R303" s="957">
        <v>2024</v>
      </c>
      <c r="S303" s="957">
        <v>2024</v>
      </c>
      <c r="U303" s="967"/>
      <c r="X303" s="967"/>
    </row>
    <row r="304" spans="1:24" ht="40.15" customHeight="1">
      <c r="A304" s="1163" t="s">
        <v>1977</v>
      </c>
      <c r="B304" s="1164"/>
      <c r="C304" s="1164"/>
      <c r="D304" s="1164"/>
      <c r="E304" s="1164"/>
      <c r="F304" s="1164"/>
      <c r="G304" s="1165"/>
      <c r="H304" s="968">
        <f>SUM(H305:H314)</f>
        <v>40183.299999999996</v>
      </c>
      <c r="I304" s="968">
        <f t="shared" ref="I304:Q304" si="64">SUM(I305:I314)</f>
        <v>35837.599999999999</v>
      </c>
      <c r="J304" s="968">
        <f t="shared" si="64"/>
        <v>35006.199999999997</v>
      </c>
      <c r="K304" s="958">
        <f t="shared" si="64"/>
        <v>1320</v>
      </c>
      <c r="L304" s="971">
        <f t="shared" si="64"/>
        <v>97886079.220000014</v>
      </c>
      <c r="M304" s="968">
        <f t="shared" si="64"/>
        <v>0</v>
      </c>
      <c r="N304" s="968">
        <f t="shared" si="64"/>
        <v>0</v>
      </c>
      <c r="O304" s="971">
        <f t="shared" si="58"/>
        <v>97886079.220000014</v>
      </c>
      <c r="P304" s="968">
        <f t="shared" si="64"/>
        <v>0</v>
      </c>
      <c r="Q304" s="968">
        <f t="shared" si="64"/>
        <v>0</v>
      </c>
      <c r="R304" s="968" t="s">
        <v>40</v>
      </c>
      <c r="S304" s="968" t="s">
        <v>40</v>
      </c>
      <c r="U304" s="967"/>
      <c r="X304" s="967"/>
    </row>
    <row r="305" spans="1:24" s="966" customFormat="1" ht="51" customHeight="1">
      <c r="A305" s="956">
        <v>91</v>
      </c>
      <c r="B305" s="986" t="s">
        <v>1527</v>
      </c>
      <c r="C305" s="959">
        <v>1965</v>
      </c>
      <c r="D305" s="959"/>
      <c r="E305" s="956" t="s">
        <v>219</v>
      </c>
      <c r="F305" s="959">
        <v>5</v>
      </c>
      <c r="G305" s="959">
        <v>4</v>
      </c>
      <c r="H305" s="963">
        <v>3868.7</v>
      </c>
      <c r="I305" s="963">
        <v>3545.9</v>
      </c>
      <c r="J305" s="963">
        <v>3545.9</v>
      </c>
      <c r="K305" s="956">
        <v>110</v>
      </c>
      <c r="L305" s="965">
        <v>20006298.800000001</v>
      </c>
      <c r="M305" s="963">
        <v>0</v>
      </c>
      <c r="N305" s="963">
        <v>0</v>
      </c>
      <c r="O305" s="971">
        <f t="shared" si="58"/>
        <v>20006298.800000001</v>
      </c>
      <c r="P305" s="963">
        <v>0</v>
      </c>
      <c r="Q305" s="963">
        <v>0</v>
      </c>
      <c r="R305" s="964">
        <v>2024</v>
      </c>
      <c r="S305" s="988">
        <v>2024</v>
      </c>
      <c r="U305" s="967"/>
      <c r="X305" s="967"/>
    </row>
    <row r="306" spans="1:24" s="966" customFormat="1" ht="36" customHeight="1">
      <c r="A306" s="956">
        <v>92</v>
      </c>
      <c r="B306" s="986" t="s">
        <v>1528</v>
      </c>
      <c r="C306" s="959">
        <v>1966</v>
      </c>
      <c r="D306" s="959"/>
      <c r="E306" s="956" t="s">
        <v>218</v>
      </c>
      <c r="F306" s="959">
        <v>5</v>
      </c>
      <c r="G306" s="959">
        <v>4</v>
      </c>
      <c r="H306" s="963">
        <v>2965.2</v>
      </c>
      <c r="I306" s="963">
        <v>2675.3</v>
      </c>
      <c r="J306" s="963">
        <v>2675.3</v>
      </c>
      <c r="K306" s="956">
        <v>104</v>
      </c>
      <c r="L306" s="965">
        <v>4228571.9800000004</v>
      </c>
      <c r="M306" s="963">
        <v>0</v>
      </c>
      <c r="N306" s="963">
        <v>0</v>
      </c>
      <c r="O306" s="971">
        <f t="shared" si="58"/>
        <v>4228571.9800000004</v>
      </c>
      <c r="P306" s="963">
        <v>0</v>
      </c>
      <c r="Q306" s="963">
        <v>0</v>
      </c>
      <c r="R306" s="964">
        <v>2024</v>
      </c>
      <c r="S306" s="988">
        <v>2024</v>
      </c>
      <c r="U306" s="967"/>
      <c r="X306" s="967"/>
    </row>
    <row r="307" spans="1:24" s="966" customFormat="1" ht="42" customHeight="1">
      <c r="A307" s="956">
        <v>93</v>
      </c>
      <c r="B307" s="986" t="s">
        <v>1529</v>
      </c>
      <c r="C307" s="959">
        <v>1960</v>
      </c>
      <c r="D307" s="959"/>
      <c r="E307" s="956" t="s">
        <v>218</v>
      </c>
      <c r="F307" s="959">
        <v>2</v>
      </c>
      <c r="G307" s="959">
        <v>2</v>
      </c>
      <c r="H307" s="963">
        <v>520.1</v>
      </c>
      <c r="I307" s="963">
        <v>475.3</v>
      </c>
      <c r="J307" s="963">
        <v>410.1</v>
      </c>
      <c r="K307" s="956">
        <v>16</v>
      </c>
      <c r="L307" s="965">
        <v>4923509.12</v>
      </c>
      <c r="M307" s="963">
        <v>0</v>
      </c>
      <c r="N307" s="963">
        <v>0</v>
      </c>
      <c r="O307" s="971">
        <f t="shared" si="58"/>
        <v>4923509.12</v>
      </c>
      <c r="P307" s="963">
        <v>0</v>
      </c>
      <c r="Q307" s="963">
        <v>0</v>
      </c>
      <c r="R307" s="964">
        <v>2024</v>
      </c>
      <c r="S307" s="988">
        <v>2024</v>
      </c>
      <c r="U307" s="967"/>
      <c r="X307" s="967"/>
    </row>
    <row r="308" spans="1:24" s="966" customFormat="1" ht="42" customHeight="1">
      <c r="A308" s="956">
        <v>94</v>
      </c>
      <c r="B308" s="986" t="s">
        <v>1522</v>
      </c>
      <c r="C308" s="959">
        <v>1966</v>
      </c>
      <c r="D308" s="959"/>
      <c r="E308" s="956" t="s">
        <v>220</v>
      </c>
      <c r="F308" s="959">
        <v>5</v>
      </c>
      <c r="G308" s="959">
        <v>4</v>
      </c>
      <c r="H308" s="963">
        <v>3896</v>
      </c>
      <c r="I308" s="963">
        <v>3588</v>
      </c>
      <c r="J308" s="963">
        <v>3099.1</v>
      </c>
      <c r="K308" s="956">
        <v>142</v>
      </c>
      <c r="L308" s="965">
        <v>16264917.23</v>
      </c>
      <c r="M308" s="963">
        <v>0</v>
      </c>
      <c r="N308" s="963">
        <v>0</v>
      </c>
      <c r="O308" s="971">
        <f t="shared" si="58"/>
        <v>16264917.23</v>
      </c>
      <c r="P308" s="963">
        <v>0</v>
      </c>
      <c r="Q308" s="963">
        <v>0</v>
      </c>
      <c r="R308" s="964">
        <v>2024</v>
      </c>
      <c r="S308" s="988">
        <v>2024</v>
      </c>
      <c r="U308" s="967"/>
      <c r="X308" s="967"/>
    </row>
    <row r="309" spans="1:24" s="966" customFormat="1" ht="43.9" customHeight="1">
      <c r="A309" s="956">
        <v>95</v>
      </c>
      <c r="B309" s="986" t="s">
        <v>1530</v>
      </c>
      <c r="C309" s="959">
        <v>1998</v>
      </c>
      <c r="D309" s="959"/>
      <c r="E309" s="956" t="s">
        <v>219</v>
      </c>
      <c r="F309" s="959">
        <v>9</v>
      </c>
      <c r="G309" s="959">
        <v>5</v>
      </c>
      <c r="H309" s="963">
        <v>11844.6</v>
      </c>
      <c r="I309" s="963">
        <v>10025</v>
      </c>
      <c r="J309" s="963">
        <v>10025</v>
      </c>
      <c r="K309" s="956">
        <v>386</v>
      </c>
      <c r="L309" s="965">
        <v>16082092.1</v>
      </c>
      <c r="M309" s="963">
        <v>0</v>
      </c>
      <c r="N309" s="963">
        <v>0</v>
      </c>
      <c r="O309" s="971">
        <f t="shared" si="58"/>
        <v>16082092.1</v>
      </c>
      <c r="P309" s="963">
        <v>0</v>
      </c>
      <c r="Q309" s="963">
        <v>0</v>
      </c>
      <c r="R309" s="964">
        <v>2024</v>
      </c>
      <c r="S309" s="988">
        <v>2024</v>
      </c>
      <c r="U309" s="967"/>
      <c r="X309" s="967"/>
    </row>
    <row r="310" spans="1:24" s="966" customFormat="1" ht="39" customHeight="1">
      <c r="A310" s="956">
        <v>96</v>
      </c>
      <c r="B310" s="986" t="s">
        <v>1531</v>
      </c>
      <c r="C310" s="959">
        <v>1984</v>
      </c>
      <c r="D310" s="959"/>
      <c r="E310" s="956" t="s">
        <v>218</v>
      </c>
      <c r="F310" s="959">
        <v>9</v>
      </c>
      <c r="G310" s="959">
        <v>4</v>
      </c>
      <c r="H310" s="963">
        <v>9141.7999999999993</v>
      </c>
      <c r="I310" s="963">
        <v>7747.8</v>
      </c>
      <c r="J310" s="963">
        <v>7709.8</v>
      </c>
      <c r="K310" s="956">
        <v>302</v>
      </c>
      <c r="L310" s="965">
        <v>9667698.1999999993</v>
      </c>
      <c r="M310" s="963">
        <v>0</v>
      </c>
      <c r="N310" s="963">
        <v>0</v>
      </c>
      <c r="O310" s="971">
        <f t="shared" si="58"/>
        <v>9667698.1999999993</v>
      </c>
      <c r="P310" s="963">
        <v>0</v>
      </c>
      <c r="Q310" s="963">
        <v>0</v>
      </c>
      <c r="R310" s="964">
        <v>2024</v>
      </c>
      <c r="S310" s="1024">
        <v>2024</v>
      </c>
      <c r="U310" s="967"/>
      <c r="X310" s="967"/>
    </row>
    <row r="311" spans="1:24" s="966" customFormat="1" ht="39" customHeight="1">
      <c r="A311" s="956">
        <v>97</v>
      </c>
      <c r="B311" s="986" t="s">
        <v>2103</v>
      </c>
      <c r="C311" s="957">
        <v>1956</v>
      </c>
      <c r="D311" s="959"/>
      <c r="E311" s="956" t="s">
        <v>220</v>
      </c>
      <c r="F311" s="959">
        <v>2</v>
      </c>
      <c r="G311" s="959">
        <v>2</v>
      </c>
      <c r="H311" s="963">
        <v>607.79999999999995</v>
      </c>
      <c r="I311" s="963">
        <v>607.79999999999995</v>
      </c>
      <c r="J311" s="963">
        <v>607.79999999999995</v>
      </c>
      <c r="K311" s="964">
        <v>21</v>
      </c>
      <c r="L311" s="968">
        <v>5414896.5300000003</v>
      </c>
      <c r="M311" s="985">
        <v>0</v>
      </c>
      <c r="N311" s="985">
        <v>0</v>
      </c>
      <c r="O311" s="971">
        <f t="shared" si="58"/>
        <v>5414896.5300000003</v>
      </c>
      <c r="P311" s="963">
        <v>0</v>
      </c>
      <c r="Q311" s="985">
        <v>0</v>
      </c>
      <c r="R311" s="964">
        <v>2024</v>
      </c>
      <c r="S311" s="964">
        <v>2024</v>
      </c>
      <c r="U311" s="967"/>
      <c r="X311" s="967"/>
    </row>
    <row r="312" spans="1:24" s="966" customFormat="1" ht="36" customHeight="1">
      <c r="A312" s="956">
        <v>98</v>
      </c>
      <c r="B312" s="986" t="s">
        <v>1992</v>
      </c>
      <c r="C312" s="957">
        <v>1990</v>
      </c>
      <c r="D312" s="959"/>
      <c r="E312" s="956" t="s">
        <v>219</v>
      </c>
      <c r="F312" s="959">
        <v>5</v>
      </c>
      <c r="G312" s="959">
        <v>6</v>
      </c>
      <c r="H312" s="963">
        <v>4885.7</v>
      </c>
      <c r="I312" s="963">
        <v>4885.7</v>
      </c>
      <c r="J312" s="963">
        <v>4885.7</v>
      </c>
      <c r="K312" s="964">
        <v>163</v>
      </c>
      <c r="L312" s="971">
        <v>8124659.9299999997</v>
      </c>
      <c r="M312" s="985">
        <v>0</v>
      </c>
      <c r="N312" s="985">
        <v>0</v>
      </c>
      <c r="O312" s="971">
        <f t="shared" si="58"/>
        <v>8124659.9299999997</v>
      </c>
      <c r="P312" s="963">
        <v>0</v>
      </c>
      <c r="Q312" s="985">
        <v>0</v>
      </c>
      <c r="R312" s="964">
        <v>2024</v>
      </c>
      <c r="S312" s="964">
        <v>2024</v>
      </c>
      <c r="U312" s="967"/>
      <c r="X312" s="967"/>
    </row>
    <row r="313" spans="1:24" s="966" customFormat="1" ht="36" customHeight="1">
      <c r="A313" s="956">
        <v>99</v>
      </c>
      <c r="B313" s="984" t="s">
        <v>1956</v>
      </c>
      <c r="C313" s="956">
        <v>1968</v>
      </c>
      <c r="D313" s="956">
        <v>2019</v>
      </c>
      <c r="E313" s="956" t="s">
        <v>221</v>
      </c>
      <c r="F313" s="989">
        <v>2</v>
      </c>
      <c r="G313" s="989">
        <v>2</v>
      </c>
      <c r="H313" s="963">
        <v>830.6</v>
      </c>
      <c r="I313" s="963">
        <v>776.8</v>
      </c>
      <c r="J313" s="963">
        <v>606.6</v>
      </c>
      <c r="K313" s="956">
        <v>24</v>
      </c>
      <c r="L313" s="965">
        <v>5311236.8099999996</v>
      </c>
      <c r="M313" s="990">
        <v>0</v>
      </c>
      <c r="N313" s="963">
        <v>0</v>
      </c>
      <c r="O313" s="971">
        <f t="shared" si="58"/>
        <v>5311236.8099999996</v>
      </c>
      <c r="P313" s="963">
        <v>0</v>
      </c>
      <c r="Q313" s="963">
        <v>0</v>
      </c>
      <c r="R313" s="957">
        <v>2024</v>
      </c>
      <c r="S313" s="957">
        <v>2024</v>
      </c>
      <c r="U313" s="967"/>
      <c r="X313" s="967"/>
    </row>
    <row r="314" spans="1:24" s="966" customFormat="1" ht="42" customHeight="1">
      <c r="A314" s="956">
        <v>100</v>
      </c>
      <c r="B314" s="976" t="s">
        <v>1583</v>
      </c>
      <c r="C314" s="957">
        <v>1966</v>
      </c>
      <c r="D314" s="984"/>
      <c r="E314" s="956" t="s">
        <v>218</v>
      </c>
      <c r="F314" s="959">
        <v>3</v>
      </c>
      <c r="G314" s="959">
        <v>3</v>
      </c>
      <c r="H314" s="963">
        <v>1622.8</v>
      </c>
      <c r="I314" s="963">
        <v>1510</v>
      </c>
      <c r="J314" s="963">
        <v>1440.9</v>
      </c>
      <c r="K314" s="964">
        <v>52</v>
      </c>
      <c r="L314" s="971">
        <v>7862198.5199999996</v>
      </c>
      <c r="M314" s="985">
        <v>0</v>
      </c>
      <c r="N314" s="985">
        <v>0</v>
      </c>
      <c r="O314" s="971">
        <f t="shared" si="58"/>
        <v>7862198.5199999996</v>
      </c>
      <c r="P314" s="963">
        <v>0</v>
      </c>
      <c r="Q314" s="985">
        <v>0</v>
      </c>
      <c r="R314" s="964">
        <v>2024</v>
      </c>
      <c r="S314" s="964">
        <v>2024</v>
      </c>
      <c r="U314" s="967"/>
      <c r="X314" s="967"/>
    </row>
    <row r="315" spans="1:24" s="966" customFormat="1" ht="42" customHeight="1">
      <c r="A315" s="1172" t="s">
        <v>1976</v>
      </c>
      <c r="B315" s="1173"/>
      <c r="C315" s="1173"/>
      <c r="D315" s="1173"/>
      <c r="E315" s="1173"/>
      <c r="F315" s="1173"/>
      <c r="G315" s="1174"/>
      <c r="H315" s="963">
        <f>SUM(H316)</f>
        <v>1536.8</v>
      </c>
      <c r="I315" s="963">
        <f t="shared" ref="I315:Q315" si="65">SUM(I316)</f>
        <v>1536.8</v>
      </c>
      <c r="J315" s="963">
        <f t="shared" si="65"/>
        <v>1536.8</v>
      </c>
      <c r="K315" s="963">
        <f t="shared" si="65"/>
        <v>63</v>
      </c>
      <c r="L315" s="963">
        <f t="shared" si="65"/>
        <v>6431262.9400000004</v>
      </c>
      <c r="M315" s="963">
        <f t="shared" si="65"/>
        <v>0</v>
      </c>
      <c r="N315" s="963">
        <f t="shared" si="65"/>
        <v>0</v>
      </c>
      <c r="O315" s="971">
        <f t="shared" si="58"/>
        <v>6431262.9400000004</v>
      </c>
      <c r="P315" s="963">
        <f t="shared" si="65"/>
        <v>0</v>
      </c>
      <c r="Q315" s="963">
        <f t="shared" si="65"/>
        <v>0</v>
      </c>
      <c r="R315" s="964" t="s">
        <v>40</v>
      </c>
      <c r="S315" s="964" t="s">
        <v>40</v>
      </c>
      <c r="U315" s="967"/>
      <c r="X315" s="967"/>
    </row>
    <row r="316" spans="1:24" s="966" customFormat="1" ht="42" customHeight="1">
      <c r="A316" s="956">
        <v>101</v>
      </c>
      <c r="B316" s="976" t="s">
        <v>2091</v>
      </c>
      <c r="C316" s="957">
        <v>1986</v>
      </c>
      <c r="D316" s="984"/>
      <c r="E316" s="956" t="s">
        <v>218</v>
      </c>
      <c r="F316" s="959">
        <v>3</v>
      </c>
      <c r="G316" s="959">
        <v>3</v>
      </c>
      <c r="H316" s="963">
        <v>1536.8</v>
      </c>
      <c r="I316" s="963">
        <v>1536.8</v>
      </c>
      <c r="J316" s="963">
        <v>1536.8</v>
      </c>
      <c r="K316" s="964">
        <v>63</v>
      </c>
      <c r="L316" s="971">
        <v>6431262.9400000004</v>
      </c>
      <c r="M316" s="985">
        <v>0</v>
      </c>
      <c r="N316" s="985">
        <v>0</v>
      </c>
      <c r="O316" s="971">
        <f t="shared" si="58"/>
        <v>6431262.9400000004</v>
      </c>
      <c r="P316" s="963">
        <v>0</v>
      </c>
      <c r="Q316" s="985">
        <v>0</v>
      </c>
      <c r="R316" s="964">
        <v>2024</v>
      </c>
      <c r="S316" s="964">
        <v>2024</v>
      </c>
      <c r="U316" s="967"/>
      <c r="X316" s="967"/>
    </row>
    <row r="317" spans="1:24" s="966" customFormat="1" ht="40.9" customHeight="1">
      <c r="A317" s="1163" t="s">
        <v>1070</v>
      </c>
      <c r="B317" s="1164"/>
      <c r="C317" s="1164"/>
      <c r="D317" s="1164"/>
      <c r="E317" s="1164"/>
      <c r="F317" s="1164"/>
      <c r="G317" s="1165"/>
      <c r="H317" s="968">
        <f>SUM(H318:H324)</f>
        <v>12021.5</v>
      </c>
      <c r="I317" s="968">
        <f t="shared" ref="I317:Q317" si="66">SUM(I318:I324)</f>
        <v>11425.3</v>
      </c>
      <c r="J317" s="968">
        <f t="shared" si="66"/>
        <v>10975.8</v>
      </c>
      <c r="K317" s="958">
        <f t="shared" si="66"/>
        <v>407</v>
      </c>
      <c r="L317" s="971">
        <f t="shared" si="66"/>
        <v>27664563.290000003</v>
      </c>
      <c r="M317" s="968">
        <f t="shared" si="66"/>
        <v>0</v>
      </c>
      <c r="N317" s="968">
        <f t="shared" si="66"/>
        <v>0</v>
      </c>
      <c r="O317" s="971">
        <f t="shared" si="58"/>
        <v>27664563.290000003</v>
      </c>
      <c r="P317" s="968">
        <f t="shared" si="66"/>
        <v>0</v>
      </c>
      <c r="Q317" s="968">
        <f t="shared" si="66"/>
        <v>0</v>
      </c>
      <c r="R317" s="968" t="s">
        <v>40</v>
      </c>
      <c r="S317" s="968" t="s">
        <v>40</v>
      </c>
      <c r="U317" s="967"/>
      <c r="X317" s="967"/>
    </row>
    <row r="318" spans="1:24" s="966" customFormat="1" ht="42" customHeight="1">
      <c r="A318" s="956">
        <v>102</v>
      </c>
      <c r="B318" s="986" t="s">
        <v>1386</v>
      </c>
      <c r="C318" s="957">
        <v>1971</v>
      </c>
      <c r="D318" s="984"/>
      <c r="E318" s="956" t="s">
        <v>219</v>
      </c>
      <c r="F318" s="957">
        <v>5</v>
      </c>
      <c r="G318" s="957">
        <v>6</v>
      </c>
      <c r="H318" s="968">
        <v>4377.8</v>
      </c>
      <c r="I318" s="968">
        <v>4377.8</v>
      </c>
      <c r="J318" s="968">
        <v>4333.6000000000004</v>
      </c>
      <c r="K318" s="959">
        <v>161</v>
      </c>
      <c r="L318" s="971">
        <v>6158764.46</v>
      </c>
      <c r="M318" s="968">
        <v>0</v>
      </c>
      <c r="N318" s="968">
        <v>0</v>
      </c>
      <c r="O318" s="971">
        <f t="shared" si="58"/>
        <v>6158764.46</v>
      </c>
      <c r="P318" s="968">
        <v>0</v>
      </c>
      <c r="Q318" s="968">
        <v>0</v>
      </c>
      <c r="R318" s="991" t="s">
        <v>1387</v>
      </c>
      <c r="S318" s="991" t="s">
        <v>1387</v>
      </c>
      <c r="U318" s="967"/>
      <c r="X318" s="967"/>
    </row>
    <row r="319" spans="1:24" s="966" customFormat="1" ht="36" customHeight="1">
      <c r="A319" s="956">
        <v>103</v>
      </c>
      <c r="B319" s="986" t="s">
        <v>1388</v>
      </c>
      <c r="C319" s="957">
        <v>1953</v>
      </c>
      <c r="D319" s="984"/>
      <c r="E319" s="956" t="s">
        <v>218</v>
      </c>
      <c r="F319" s="957">
        <v>2</v>
      </c>
      <c r="G319" s="957">
        <v>1</v>
      </c>
      <c r="H319" s="968">
        <v>257.89999999999998</v>
      </c>
      <c r="I319" s="968">
        <v>257.89999999999998</v>
      </c>
      <c r="J319" s="968">
        <v>172.4</v>
      </c>
      <c r="K319" s="959">
        <v>15</v>
      </c>
      <c r="L319" s="971">
        <v>936516.35</v>
      </c>
      <c r="M319" s="968">
        <v>0</v>
      </c>
      <c r="N319" s="968">
        <v>0</v>
      </c>
      <c r="O319" s="971">
        <f t="shared" si="58"/>
        <v>936516.35</v>
      </c>
      <c r="P319" s="968">
        <v>0</v>
      </c>
      <c r="Q319" s="968">
        <v>0</v>
      </c>
      <c r="R319" s="991" t="s">
        <v>1387</v>
      </c>
      <c r="S319" s="991" t="s">
        <v>1387</v>
      </c>
      <c r="U319" s="967"/>
      <c r="X319" s="967"/>
    </row>
    <row r="320" spans="1:24" s="966" customFormat="1" ht="40.9" customHeight="1">
      <c r="A320" s="956">
        <v>104</v>
      </c>
      <c r="B320" s="986" t="s">
        <v>1389</v>
      </c>
      <c r="C320" s="956">
        <v>1993</v>
      </c>
      <c r="D320" s="957"/>
      <c r="E320" s="956" t="s">
        <v>219</v>
      </c>
      <c r="F320" s="957">
        <v>5</v>
      </c>
      <c r="G320" s="957">
        <v>4</v>
      </c>
      <c r="H320" s="968">
        <v>3093.6</v>
      </c>
      <c r="I320" s="968">
        <v>3093.6</v>
      </c>
      <c r="J320" s="968">
        <v>2782.8</v>
      </c>
      <c r="K320" s="959">
        <v>99</v>
      </c>
      <c r="L320" s="971">
        <v>4599548.28</v>
      </c>
      <c r="M320" s="985">
        <v>0</v>
      </c>
      <c r="N320" s="985">
        <v>0</v>
      </c>
      <c r="O320" s="971">
        <f t="shared" si="58"/>
        <v>4599548.28</v>
      </c>
      <c r="P320" s="963">
        <v>0</v>
      </c>
      <c r="Q320" s="985">
        <v>0</v>
      </c>
      <c r="R320" s="991" t="s">
        <v>1387</v>
      </c>
      <c r="S320" s="991" t="s">
        <v>1387</v>
      </c>
      <c r="U320" s="967"/>
      <c r="X320" s="967"/>
    </row>
    <row r="321" spans="1:24" s="966" customFormat="1" ht="36" customHeight="1">
      <c r="A321" s="956">
        <v>105</v>
      </c>
      <c r="B321" s="986" t="s">
        <v>1390</v>
      </c>
      <c r="C321" s="956">
        <v>1980</v>
      </c>
      <c r="D321" s="957"/>
      <c r="E321" s="956" t="s">
        <v>219</v>
      </c>
      <c r="F321" s="957">
        <v>3</v>
      </c>
      <c r="G321" s="957">
        <v>3</v>
      </c>
      <c r="H321" s="968">
        <v>1394.2</v>
      </c>
      <c r="I321" s="968">
        <v>1394.2</v>
      </c>
      <c r="J321" s="968">
        <v>1394.2</v>
      </c>
      <c r="K321" s="959">
        <v>56</v>
      </c>
      <c r="L321" s="971">
        <v>3397919.78</v>
      </c>
      <c r="M321" s="985">
        <v>0</v>
      </c>
      <c r="N321" s="985">
        <v>0</v>
      </c>
      <c r="O321" s="971">
        <f t="shared" si="58"/>
        <v>3397919.78</v>
      </c>
      <c r="P321" s="963">
        <v>0</v>
      </c>
      <c r="Q321" s="985">
        <v>0</v>
      </c>
      <c r="R321" s="991" t="s">
        <v>1387</v>
      </c>
      <c r="S321" s="991" t="s">
        <v>1387</v>
      </c>
      <c r="U321" s="967"/>
      <c r="X321" s="967"/>
    </row>
    <row r="322" spans="1:24" s="966" customFormat="1" ht="39.6" customHeight="1">
      <c r="A322" s="956">
        <v>106</v>
      </c>
      <c r="B322" s="986" t="s">
        <v>1391</v>
      </c>
      <c r="C322" s="956">
        <v>1977</v>
      </c>
      <c r="D322" s="957"/>
      <c r="E322" s="956" t="s">
        <v>218</v>
      </c>
      <c r="F322" s="957">
        <v>2</v>
      </c>
      <c r="G322" s="957">
        <v>2</v>
      </c>
      <c r="H322" s="968">
        <v>743.5</v>
      </c>
      <c r="I322" s="968">
        <v>587.9</v>
      </c>
      <c r="J322" s="968">
        <v>587.9</v>
      </c>
      <c r="K322" s="959">
        <v>21</v>
      </c>
      <c r="L322" s="971">
        <v>5265553.29</v>
      </c>
      <c r="M322" s="985">
        <v>0</v>
      </c>
      <c r="N322" s="985">
        <v>0</v>
      </c>
      <c r="O322" s="971">
        <f t="shared" si="58"/>
        <v>5265553.29</v>
      </c>
      <c r="P322" s="963">
        <v>0</v>
      </c>
      <c r="Q322" s="985">
        <v>0</v>
      </c>
      <c r="R322" s="991" t="s">
        <v>1387</v>
      </c>
      <c r="S322" s="991" t="s">
        <v>1387</v>
      </c>
      <c r="U322" s="967"/>
      <c r="X322" s="967"/>
    </row>
    <row r="323" spans="1:24" s="966" customFormat="1" ht="39.6" customHeight="1">
      <c r="A323" s="956">
        <v>107</v>
      </c>
      <c r="B323" s="986" t="s">
        <v>2045</v>
      </c>
      <c r="C323" s="956">
        <v>1969</v>
      </c>
      <c r="D323" s="957"/>
      <c r="E323" s="956" t="s">
        <v>218</v>
      </c>
      <c r="F323" s="957">
        <v>2</v>
      </c>
      <c r="G323" s="957">
        <v>2</v>
      </c>
      <c r="H323" s="968">
        <v>566.79999999999995</v>
      </c>
      <c r="I323" s="968">
        <v>519.79999999999995</v>
      </c>
      <c r="J323" s="968">
        <v>510.8</v>
      </c>
      <c r="K323" s="959">
        <v>12</v>
      </c>
      <c r="L323" s="971">
        <v>5993709.7599999998</v>
      </c>
      <c r="M323" s="985">
        <v>0</v>
      </c>
      <c r="N323" s="985">
        <v>0</v>
      </c>
      <c r="O323" s="971">
        <f t="shared" si="58"/>
        <v>5993709.7599999998</v>
      </c>
      <c r="P323" s="963">
        <v>0</v>
      </c>
      <c r="Q323" s="985">
        <v>0</v>
      </c>
      <c r="R323" s="991" t="s">
        <v>1387</v>
      </c>
      <c r="S323" s="991" t="s">
        <v>1387</v>
      </c>
      <c r="U323" s="967"/>
      <c r="X323" s="967"/>
    </row>
    <row r="324" spans="1:24" s="966" customFormat="1" ht="39.6" customHeight="1">
      <c r="A324" s="956">
        <v>108</v>
      </c>
      <c r="B324" s="986" t="s">
        <v>2046</v>
      </c>
      <c r="C324" s="956">
        <v>1966</v>
      </c>
      <c r="D324" s="957"/>
      <c r="E324" s="956" t="s">
        <v>218</v>
      </c>
      <c r="F324" s="957">
        <v>4</v>
      </c>
      <c r="G324" s="957">
        <v>2</v>
      </c>
      <c r="H324" s="968">
        <v>1587.7</v>
      </c>
      <c r="I324" s="968">
        <v>1194.0999999999999</v>
      </c>
      <c r="J324" s="968">
        <v>1194.0999999999999</v>
      </c>
      <c r="K324" s="959">
        <v>43</v>
      </c>
      <c r="L324" s="971">
        <v>1312551.3700000001</v>
      </c>
      <c r="M324" s="985">
        <v>0</v>
      </c>
      <c r="N324" s="985">
        <v>0</v>
      </c>
      <c r="O324" s="971">
        <f t="shared" si="58"/>
        <v>1312551.3700000001</v>
      </c>
      <c r="P324" s="963">
        <v>0</v>
      </c>
      <c r="Q324" s="985">
        <v>0</v>
      </c>
      <c r="R324" s="991" t="s">
        <v>1387</v>
      </c>
      <c r="S324" s="991" t="s">
        <v>1387</v>
      </c>
      <c r="U324" s="967"/>
      <c r="X324" s="967"/>
    </row>
    <row r="325" spans="1:24" s="966" customFormat="1" ht="39.6" customHeight="1">
      <c r="A325" s="1163" t="s">
        <v>1824</v>
      </c>
      <c r="B325" s="1164"/>
      <c r="C325" s="1164"/>
      <c r="D325" s="1164"/>
      <c r="E325" s="1164"/>
      <c r="F325" s="1164"/>
      <c r="G325" s="1165"/>
      <c r="H325" s="968">
        <f>SUM(H326:H330)</f>
        <v>3771.5999999999995</v>
      </c>
      <c r="I325" s="968">
        <f t="shared" ref="I325:Q325" si="67">SUM(I326:I330)</f>
        <v>2940</v>
      </c>
      <c r="J325" s="968">
        <f t="shared" si="67"/>
        <v>2607.1999999999998</v>
      </c>
      <c r="K325" s="958">
        <f t="shared" si="67"/>
        <v>117</v>
      </c>
      <c r="L325" s="971">
        <f t="shared" si="67"/>
        <v>19334145.209999997</v>
      </c>
      <c r="M325" s="968">
        <f t="shared" si="67"/>
        <v>0</v>
      </c>
      <c r="N325" s="968">
        <f t="shared" si="67"/>
        <v>0</v>
      </c>
      <c r="O325" s="971">
        <f t="shared" si="58"/>
        <v>19334145.209999997</v>
      </c>
      <c r="P325" s="968">
        <f t="shared" si="67"/>
        <v>0</v>
      </c>
      <c r="Q325" s="968">
        <f t="shared" si="67"/>
        <v>0</v>
      </c>
      <c r="R325" s="968" t="s">
        <v>40</v>
      </c>
      <c r="S325" s="968" t="s">
        <v>40</v>
      </c>
      <c r="U325" s="967"/>
      <c r="X325" s="967"/>
    </row>
    <row r="326" spans="1:24" s="966" customFormat="1" ht="39.6" customHeight="1">
      <c r="A326" s="956">
        <v>109</v>
      </c>
      <c r="B326" s="986" t="s">
        <v>1964</v>
      </c>
      <c r="C326" s="957">
        <v>1977</v>
      </c>
      <c r="D326" s="984"/>
      <c r="E326" s="956" t="s">
        <v>218</v>
      </c>
      <c r="F326" s="957">
        <v>2</v>
      </c>
      <c r="G326" s="957">
        <v>2</v>
      </c>
      <c r="H326" s="968">
        <v>806.8</v>
      </c>
      <c r="I326" s="968">
        <v>806.8</v>
      </c>
      <c r="J326" s="968">
        <v>745</v>
      </c>
      <c r="K326" s="959">
        <v>31</v>
      </c>
      <c r="L326" s="971">
        <v>3176459.63</v>
      </c>
      <c r="M326" s="985">
        <v>0</v>
      </c>
      <c r="N326" s="985">
        <v>0</v>
      </c>
      <c r="O326" s="971">
        <f t="shared" si="58"/>
        <v>3176459.63</v>
      </c>
      <c r="P326" s="963">
        <v>0</v>
      </c>
      <c r="Q326" s="985">
        <v>0</v>
      </c>
      <c r="R326" s="991" t="s">
        <v>1387</v>
      </c>
      <c r="S326" s="991" t="s">
        <v>1387</v>
      </c>
      <c r="U326" s="967"/>
      <c r="X326" s="967"/>
    </row>
    <row r="327" spans="1:24" s="966" customFormat="1" ht="39" customHeight="1">
      <c r="A327" s="956">
        <v>110</v>
      </c>
      <c r="B327" s="986" t="s">
        <v>1965</v>
      </c>
      <c r="C327" s="956">
        <v>1983</v>
      </c>
      <c r="D327" s="957"/>
      <c r="E327" s="956" t="s">
        <v>219</v>
      </c>
      <c r="F327" s="957">
        <v>3</v>
      </c>
      <c r="G327" s="957">
        <v>3</v>
      </c>
      <c r="H327" s="968">
        <v>1298.0999999999999</v>
      </c>
      <c r="I327" s="968">
        <v>860.7</v>
      </c>
      <c r="J327" s="968">
        <v>734.8</v>
      </c>
      <c r="K327" s="959">
        <v>34</v>
      </c>
      <c r="L327" s="971">
        <v>3626084.15</v>
      </c>
      <c r="M327" s="985">
        <v>0</v>
      </c>
      <c r="N327" s="985">
        <v>0</v>
      </c>
      <c r="O327" s="971">
        <f t="shared" si="58"/>
        <v>3626084.15</v>
      </c>
      <c r="P327" s="963">
        <v>0</v>
      </c>
      <c r="Q327" s="985">
        <v>0</v>
      </c>
      <c r="R327" s="991" t="s">
        <v>1387</v>
      </c>
      <c r="S327" s="991" t="s">
        <v>1387</v>
      </c>
      <c r="U327" s="967"/>
      <c r="X327" s="967"/>
    </row>
    <row r="328" spans="1:24" s="966" customFormat="1" ht="39" customHeight="1">
      <c r="A328" s="956">
        <v>111</v>
      </c>
      <c r="B328" s="984" t="s">
        <v>1967</v>
      </c>
      <c r="C328" s="957">
        <v>1982</v>
      </c>
      <c r="D328" s="984"/>
      <c r="E328" s="956" t="s">
        <v>218</v>
      </c>
      <c r="F328" s="957">
        <v>2</v>
      </c>
      <c r="G328" s="957">
        <v>3</v>
      </c>
      <c r="H328" s="968">
        <v>871.5</v>
      </c>
      <c r="I328" s="968">
        <v>577.29999999999995</v>
      </c>
      <c r="J328" s="968">
        <v>493.1</v>
      </c>
      <c r="K328" s="959">
        <v>14</v>
      </c>
      <c r="L328" s="971">
        <v>7059401.2699999996</v>
      </c>
      <c r="M328" s="968">
        <v>0</v>
      </c>
      <c r="N328" s="968">
        <v>0</v>
      </c>
      <c r="O328" s="971">
        <f t="shared" si="58"/>
        <v>7059401.2699999996</v>
      </c>
      <c r="P328" s="968">
        <v>0</v>
      </c>
      <c r="Q328" s="968">
        <v>0</v>
      </c>
      <c r="R328" s="991" t="s">
        <v>1387</v>
      </c>
      <c r="S328" s="991" t="s">
        <v>1387</v>
      </c>
      <c r="U328" s="967"/>
      <c r="X328" s="967"/>
    </row>
    <row r="329" spans="1:24" s="966" customFormat="1" ht="39" customHeight="1">
      <c r="A329" s="956">
        <v>112</v>
      </c>
      <c r="B329" s="986" t="s">
        <v>1963</v>
      </c>
      <c r="C329" s="956">
        <v>1965</v>
      </c>
      <c r="D329" s="957"/>
      <c r="E329" s="956" t="s">
        <v>218</v>
      </c>
      <c r="F329" s="957">
        <v>2</v>
      </c>
      <c r="G329" s="957">
        <v>2</v>
      </c>
      <c r="H329" s="968">
        <v>457.1</v>
      </c>
      <c r="I329" s="968">
        <v>357.1</v>
      </c>
      <c r="J329" s="968">
        <v>296.2</v>
      </c>
      <c r="K329" s="959">
        <v>18</v>
      </c>
      <c r="L329" s="971">
        <v>4079783.85</v>
      </c>
      <c r="M329" s="985">
        <v>0</v>
      </c>
      <c r="N329" s="985">
        <v>0</v>
      </c>
      <c r="O329" s="971">
        <f t="shared" si="58"/>
        <v>4079783.85</v>
      </c>
      <c r="P329" s="963">
        <v>0</v>
      </c>
      <c r="Q329" s="985">
        <v>0</v>
      </c>
      <c r="R329" s="964">
        <v>2023</v>
      </c>
      <c r="S329" s="964">
        <v>2024</v>
      </c>
      <c r="U329" s="967"/>
      <c r="X329" s="967"/>
    </row>
    <row r="330" spans="1:24" s="966" customFormat="1" ht="39" customHeight="1">
      <c r="A330" s="956">
        <v>113</v>
      </c>
      <c r="B330" s="986" t="s">
        <v>2052</v>
      </c>
      <c r="C330" s="956">
        <v>1971</v>
      </c>
      <c r="D330" s="957"/>
      <c r="E330" s="956" t="s">
        <v>218</v>
      </c>
      <c r="F330" s="957">
        <v>2</v>
      </c>
      <c r="G330" s="957">
        <v>1</v>
      </c>
      <c r="H330" s="968">
        <v>338.1</v>
      </c>
      <c r="I330" s="968">
        <v>338.1</v>
      </c>
      <c r="J330" s="968">
        <v>338.1</v>
      </c>
      <c r="K330" s="959">
        <v>20</v>
      </c>
      <c r="L330" s="971">
        <v>1392416.31</v>
      </c>
      <c r="M330" s="985">
        <v>0</v>
      </c>
      <c r="N330" s="985">
        <v>0</v>
      </c>
      <c r="O330" s="971">
        <f t="shared" si="58"/>
        <v>1392416.31</v>
      </c>
      <c r="P330" s="963">
        <v>0</v>
      </c>
      <c r="Q330" s="985">
        <v>0</v>
      </c>
      <c r="R330" s="991" t="s">
        <v>1387</v>
      </c>
      <c r="S330" s="991" t="s">
        <v>1387</v>
      </c>
      <c r="U330" s="967"/>
      <c r="X330" s="967"/>
    </row>
    <row r="331" spans="1:24" s="966" customFormat="1" ht="36" customHeight="1">
      <c r="A331" s="1163" t="s">
        <v>1071</v>
      </c>
      <c r="B331" s="1164"/>
      <c r="C331" s="1164"/>
      <c r="D331" s="1164"/>
      <c r="E331" s="1164"/>
      <c r="F331" s="1164"/>
      <c r="G331" s="1165"/>
      <c r="H331" s="968">
        <f>H332</f>
        <v>820.1</v>
      </c>
      <c r="I331" s="968">
        <f t="shared" ref="I331:Q331" si="68">I332</f>
        <v>770.7</v>
      </c>
      <c r="J331" s="968">
        <f t="shared" si="68"/>
        <v>615.29999999999995</v>
      </c>
      <c r="K331" s="958">
        <f t="shared" si="68"/>
        <v>32</v>
      </c>
      <c r="L331" s="971">
        <f t="shared" si="68"/>
        <v>3062646.46</v>
      </c>
      <c r="M331" s="968">
        <f t="shared" si="68"/>
        <v>0</v>
      </c>
      <c r="N331" s="968">
        <f t="shared" si="68"/>
        <v>0</v>
      </c>
      <c r="O331" s="971">
        <f t="shared" si="58"/>
        <v>3062646.46</v>
      </c>
      <c r="P331" s="968">
        <f t="shared" si="68"/>
        <v>0</v>
      </c>
      <c r="Q331" s="968">
        <f t="shared" si="68"/>
        <v>0</v>
      </c>
      <c r="R331" s="968" t="s">
        <v>40</v>
      </c>
      <c r="S331" s="968" t="s">
        <v>40</v>
      </c>
      <c r="U331" s="967"/>
      <c r="X331" s="967"/>
    </row>
    <row r="332" spans="1:24" s="966" customFormat="1" ht="39.75" customHeight="1">
      <c r="A332" s="956">
        <v>114</v>
      </c>
      <c r="B332" s="986" t="s">
        <v>1481</v>
      </c>
      <c r="C332" s="956">
        <v>1975</v>
      </c>
      <c r="D332" s="957">
        <v>1999</v>
      </c>
      <c r="E332" s="956" t="s">
        <v>218</v>
      </c>
      <c r="F332" s="957">
        <v>2</v>
      </c>
      <c r="G332" s="957">
        <v>2</v>
      </c>
      <c r="H332" s="968">
        <v>820.1</v>
      </c>
      <c r="I332" s="968">
        <v>770.7</v>
      </c>
      <c r="J332" s="968">
        <v>615.29999999999995</v>
      </c>
      <c r="K332" s="959">
        <v>32</v>
      </c>
      <c r="L332" s="971">
        <v>3062646.46</v>
      </c>
      <c r="M332" s="985">
        <v>0</v>
      </c>
      <c r="N332" s="985">
        <v>0</v>
      </c>
      <c r="O332" s="971">
        <f t="shared" si="58"/>
        <v>3062646.46</v>
      </c>
      <c r="P332" s="963">
        <v>0</v>
      </c>
      <c r="Q332" s="985">
        <v>0</v>
      </c>
      <c r="R332" s="964">
        <v>2024</v>
      </c>
      <c r="S332" s="964">
        <v>2024</v>
      </c>
      <c r="U332" s="967"/>
      <c r="X332" s="967"/>
    </row>
    <row r="333" spans="1:24" s="966" customFormat="1" ht="40.15" customHeight="1">
      <c r="A333" s="1163" t="s">
        <v>1249</v>
      </c>
      <c r="B333" s="1164"/>
      <c r="C333" s="1164"/>
      <c r="D333" s="1164"/>
      <c r="E333" s="1164"/>
      <c r="F333" s="1164"/>
      <c r="G333" s="1165"/>
      <c r="H333" s="968">
        <f>SUM(H334:H335)</f>
        <v>5226</v>
      </c>
      <c r="I333" s="968">
        <f t="shared" ref="I333:Q333" si="69">SUM(I334:I335)</f>
        <v>5159.3</v>
      </c>
      <c r="J333" s="968">
        <f t="shared" si="69"/>
        <v>5034.8999999999996</v>
      </c>
      <c r="K333" s="958">
        <f t="shared" si="69"/>
        <v>259</v>
      </c>
      <c r="L333" s="971">
        <f t="shared" si="69"/>
        <v>10818421.27</v>
      </c>
      <c r="M333" s="968">
        <f t="shared" si="69"/>
        <v>0</v>
      </c>
      <c r="N333" s="968">
        <f t="shared" si="69"/>
        <v>0</v>
      </c>
      <c r="O333" s="971">
        <f t="shared" si="58"/>
        <v>10818421.27</v>
      </c>
      <c r="P333" s="968">
        <f t="shared" si="69"/>
        <v>0</v>
      </c>
      <c r="Q333" s="968">
        <f t="shared" si="69"/>
        <v>0</v>
      </c>
      <c r="R333" s="968" t="s">
        <v>40</v>
      </c>
      <c r="S333" s="968" t="s">
        <v>40</v>
      </c>
      <c r="U333" s="967"/>
      <c r="X333" s="967"/>
    </row>
    <row r="334" spans="1:24" s="966" customFormat="1" ht="42.6" customHeight="1">
      <c r="A334" s="956">
        <v>115</v>
      </c>
      <c r="B334" s="986" t="s">
        <v>1782</v>
      </c>
      <c r="C334" s="956">
        <v>1953</v>
      </c>
      <c r="D334" s="957"/>
      <c r="E334" s="956" t="s">
        <v>218</v>
      </c>
      <c r="F334" s="957">
        <v>2</v>
      </c>
      <c r="G334" s="957">
        <v>2</v>
      </c>
      <c r="H334" s="963">
        <v>789</v>
      </c>
      <c r="I334" s="963">
        <v>722.3</v>
      </c>
      <c r="J334" s="963">
        <v>597.9</v>
      </c>
      <c r="K334" s="959">
        <v>16</v>
      </c>
      <c r="L334" s="971">
        <v>4385584.43</v>
      </c>
      <c r="M334" s="985">
        <v>0</v>
      </c>
      <c r="N334" s="985">
        <v>0</v>
      </c>
      <c r="O334" s="971">
        <f t="shared" si="58"/>
        <v>4385584.43</v>
      </c>
      <c r="P334" s="963">
        <v>0</v>
      </c>
      <c r="Q334" s="985">
        <v>0</v>
      </c>
      <c r="R334" s="957">
        <v>2024</v>
      </c>
      <c r="S334" s="957">
        <v>2024</v>
      </c>
      <c r="U334" s="967"/>
      <c r="X334" s="967"/>
    </row>
    <row r="335" spans="1:24" s="966" customFormat="1" ht="42.6" customHeight="1">
      <c r="A335" s="956">
        <v>116</v>
      </c>
      <c r="B335" s="986" t="s">
        <v>2077</v>
      </c>
      <c r="C335" s="956">
        <v>2000</v>
      </c>
      <c r="D335" s="957"/>
      <c r="E335" s="956" t="s">
        <v>218</v>
      </c>
      <c r="F335" s="957">
        <v>9</v>
      </c>
      <c r="G335" s="957">
        <v>2</v>
      </c>
      <c r="H335" s="957">
        <v>4437</v>
      </c>
      <c r="I335" s="957">
        <v>4437</v>
      </c>
      <c r="J335" s="957">
        <v>4437</v>
      </c>
      <c r="K335" s="959">
        <v>243</v>
      </c>
      <c r="L335" s="971">
        <v>6432836.8399999999</v>
      </c>
      <c r="M335" s="985">
        <v>0</v>
      </c>
      <c r="N335" s="985">
        <v>0</v>
      </c>
      <c r="O335" s="971">
        <f t="shared" si="58"/>
        <v>6432836.8399999999</v>
      </c>
      <c r="P335" s="963">
        <v>0</v>
      </c>
      <c r="Q335" s="985">
        <v>0</v>
      </c>
      <c r="R335" s="957">
        <v>2024</v>
      </c>
      <c r="S335" s="957">
        <v>2024</v>
      </c>
      <c r="U335" s="967"/>
      <c r="X335" s="967"/>
    </row>
    <row r="336" spans="1:24" s="966" customFormat="1" ht="40.9" customHeight="1">
      <c r="A336" s="1163" t="s">
        <v>1250</v>
      </c>
      <c r="B336" s="1164"/>
      <c r="C336" s="1164"/>
      <c r="D336" s="1164"/>
      <c r="E336" s="1164"/>
      <c r="F336" s="1164"/>
      <c r="G336" s="1165"/>
      <c r="H336" s="968">
        <f>SUM(H337:H340)</f>
        <v>15645.9</v>
      </c>
      <c r="I336" s="968">
        <f t="shared" ref="I336:Q336" si="70">SUM(I337:I340)</f>
        <v>15645.9</v>
      </c>
      <c r="J336" s="968">
        <f t="shared" si="70"/>
        <v>13814.300000000001</v>
      </c>
      <c r="K336" s="958">
        <f t="shared" si="70"/>
        <v>500</v>
      </c>
      <c r="L336" s="971">
        <f t="shared" si="70"/>
        <v>32177893.100000001</v>
      </c>
      <c r="M336" s="968">
        <f t="shared" si="70"/>
        <v>0</v>
      </c>
      <c r="N336" s="968">
        <f t="shared" si="70"/>
        <v>0</v>
      </c>
      <c r="O336" s="971">
        <f t="shared" si="58"/>
        <v>32177893.100000001</v>
      </c>
      <c r="P336" s="968">
        <f t="shared" si="70"/>
        <v>0</v>
      </c>
      <c r="Q336" s="968">
        <f t="shared" si="70"/>
        <v>0</v>
      </c>
      <c r="R336" s="968" t="s">
        <v>40</v>
      </c>
      <c r="S336" s="968" t="s">
        <v>40</v>
      </c>
      <c r="U336" s="967"/>
      <c r="X336" s="967"/>
    </row>
    <row r="337" spans="1:24" s="966" customFormat="1" ht="36" customHeight="1">
      <c r="A337" s="956">
        <v>117</v>
      </c>
      <c r="B337" s="976" t="s">
        <v>1286</v>
      </c>
      <c r="C337" s="957">
        <v>1973</v>
      </c>
      <c r="D337" s="957"/>
      <c r="E337" s="956" t="s">
        <v>218</v>
      </c>
      <c r="F337" s="957">
        <v>2</v>
      </c>
      <c r="G337" s="957">
        <v>3</v>
      </c>
      <c r="H337" s="968">
        <v>1309.3</v>
      </c>
      <c r="I337" s="968">
        <v>1309.3</v>
      </c>
      <c r="J337" s="968">
        <v>544.29999999999995</v>
      </c>
      <c r="K337" s="959">
        <v>23</v>
      </c>
      <c r="L337" s="971">
        <v>10116799.560000001</v>
      </c>
      <c r="M337" s="968">
        <v>0</v>
      </c>
      <c r="N337" s="968">
        <v>0</v>
      </c>
      <c r="O337" s="971">
        <f t="shared" si="58"/>
        <v>10116799.560000001</v>
      </c>
      <c r="P337" s="968">
        <v>0</v>
      </c>
      <c r="Q337" s="968">
        <v>0</v>
      </c>
      <c r="R337" s="957">
        <v>2024</v>
      </c>
      <c r="S337" s="957">
        <v>2024</v>
      </c>
      <c r="U337" s="967"/>
      <c r="X337" s="967"/>
    </row>
    <row r="338" spans="1:24" s="966" customFormat="1" ht="43.15" customHeight="1">
      <c r="A338" s="956">
        <v>118</v>
      </c>
      <c r="B338" s="972" t="s">
        <v>1287</v>
      </c>
      <c r="C338" s="957">
        <v>1988</v>
      </c>
      <c r="D338" s="957"/>
      <c r="E338" s="956" t="s">
        <v>218</v>
      </c>
      <c r="F338" s="957">
        <v>4</v>
      </c>
      <c r="G338" s="957">
        <v>6</v>
      </c>
      <c r="H338" s="968">
        <v>5116.1000000000004</v>
      </c>
      <c r="I338" s="968">
        <v>5116.1000000000004</v>
      </c>
      <c r="J338" s="968">
        <v>4705.6000000000004</v>
      </c>
      <c r="K338" s="959">
        <v>243</v>
      </c>
      <c r="L338" s="965">
        <v>10157498.49</v>
      </c>
      <c r="M338" s="968">
        <v>0</v>
      </c>
      <c r="N338" s="968">
        <v>0</v>
      </c>
      <c r="O338" s="971">
        <f t="shared" si="58"/>
        <v>10157498.49</v>
      </c>
      <c r="P338" s="968">
        <v>0</v>
      </c>
      <c r="Q338" s="968">
        <v>0</v>
      </c>
      <c r="R338" s="957">
        <v>2024</v>
      </c>
      <c r="S338" s="957">
        <v>2024</v>
      </c>
      <c r="U338" s="967"/>
      <c r="X338" s="967"/>
    </row>
    <row r="339" spans="1:24" s="966" customFormat="1" ht="42" customHeight="1">
      <c r="A339" s="956">
        <v>119</v>
      </c>
      <c r="B339" s="976" t="s">
        <v>1288</v>
      </c>
      <c r="C339" s="957">
        <v>1973</v>
      </c>
      <c r="D339" s="957">
        <v>2019</v>
      </c>
      <c r="E339" s="956" t="s">
        <v>218</v>
      </c>
      <c r="F339" s="957">
        <v>5</v>
      </c>
      <c r="G339" s="957">
        <v>6</v>
      </c>
      <c r="H339" s="968">
        <v>5687.6</v>
      </c>
      <c r="I339" s="968">
        <v>5687.6</v>
      </c>
      <c r="J339" s="968">
        <v>5306.5</v>
      </c>
      <c r="K339" s="959">
        <v>147</v>
      </c>
      <c r="L339" s="965">
        <v>4372497.2</v>
      </c>
      <c r="M339" s="968">
        <v>0</v>
      </c>
      <c r="N339" s="968">
        <v>0</v>
      </c>
      <c r="O339" s="971">
        <f t="shared" si="58"/>
        <v>4372497.2</v>
      </c>
      <c r="P339" s="968">
        <v>0</v>
      </c>
      <c r="Q339" s="968">
        <v>0</v>
      </c>
      <c r="R339" s="957">
        <v>2024</v>
      </c>
      <c r="S339" s="957">
        <v>2024</v>
      </c>
      <c r="U339" s="967"/>
      <c r="X339" s="967"/>
    </row>
    <row r="340" spans="1:24" s="1011" customFormat="1" ht="42.6" customHeight="1">
      <c r="A340" s="956">
        <v>120</v>
      </c>
      <c r="B340" s="972" t="s">
        <v>1289</v>
      </c>
      <c r="C340" s="957">
        <v>1977</v>
      </c>
      <c r="D340" s="963"/>
      <c r="E340" s="956" t="s">
        <v>218</v>
      </c>
      <c r="F340" s="957">
        <v>5</v>
      </c>
      <c r="G340" s="957">
        <v>4</v>
      </c>
      <c r="H340" s="968">
        <v>3532.9</v>
      </c>
      <c r="I340" s="968">
        <v>3532.9</v>
      </c>
      <c r="J340" s="968">
        <v>3257.9</v>
      </c>
      <c r="K340" s="959">
        <v>87</v>
      </c>
      <c r="L340" s="965">
        <v>7531097.8499999996</v>
      </c>
      <c r="M340" s="968">
        <v>0</v>
      </c>
      <c r="N340" s="968">
        <v>0</v>
      </c>
      <c r="O340" s="971">
        <f t="shared" si="58"/>
        <v>7531097.8499999996</v>
      </c>
      <c r="P340" s="968">
        <v>0</v>
      </c>
      <c r="Q340" s="968">
        <v>0</v>
      </c>
      <c r="R340" s="957">
        <v>2024</v>
      </c>
      <c r="S340" s="957">
        <v>2024</v>
      </c>
      <c r="U340" s="967"/>
      <c r="X340" s="967"/>
    </row>
    <row r="341" spans="1:24" s="1011" customFormat="1" ht="42.6" customHeight="1">
      <c r="A341" s="1172" t="s">
        <v>1817</v>
      </c>
      <c r="B341" s="1173"/>
      <c r="C341" s="1173"/>
      <c r="D341" s="1173"/>
      <c r="E341" s="1173"/>
      <c r="F341" s="1173"/>
      <c r="G341" s="1174"/>
      <c r="H341" s="968">
        <f>H342</f>
        <v>550.79999999999995</v>
      </c>
      <c r="I341" s="968">
        <f t="shared" ref="I341:Q341" si="71">I342</f>
        <v>504</v>
      </c>
      <c r="J341" s="968">
        <f t="shared" si="71"/>
        <v>409.7</v>
      </c>
      <c r="K341" s="958">
        <f t="shared" si="71"/>
        <v>19</v>
      </c>
      <c r="L341" s="971">
        <f t="shared" si="71"/>
        <v>4752718.99</v>
      </c>
      <c r="M341" s="968">
        <f t="shared" si="71"/>
        <v>0</v>
      </c>
      <c r="N341" s="968">
        <f t="shared" si="71"/>
        <v>0</v>
      </c>
      <c r="O341" s="971">
        <f t="shared" si="58"/>
        <v>4752718.99</v>
      </c>
      <c r="P341" s="968">
        <f t="shared" si="71"/>
        <v>0</v>
      </c>
      <c r="Q341" s="968">
        <f t="shared" si="71"/>
        <v>0</v>
      </c>
      <c r="R341" s="968" t="s">
        <v>40</v>
      </c>
      <c r="S341" s="968" t="s">
        <v>40</v>
      </c>
      <c r="U341" s="967"/>
      <c r="X341" s="967"/>
    </row>
    <row r="342" spans="1:24" s="1011" customFormat="1" ht="42.6" customHeight="1">
      <c r="A342" s="956">
        <v>121</v>
      </c>
      <c r="B342" s="986" t="s">
        <v>1961</v>
      </c>
      <c r="C342" s="957">
        <v>1972</v>
      </c>
      <c r="D342" s="957"/>
      <c r="E342" s="956" t="s">
        <v>218</v>
      </c>
      <c r="F342" s="957">
        <v>2</v>
      </c>
      <c r="G342" s="957">
        <v>2</v>
      </c>
      <c r="H342" s="968">
        <v>550.79999999999995</v>
      </c>
      <c r="I342" s="968">
        <v>504</v>
      </c>
      <c r="J342" s="968">
        <v>409.7</v>
      </c>
      <c r="K342" s="959">
        <v>19</v>
      </c>
      <c r="L342" s="971">
        <v>4752718.99</v>
      </c>
      <c r="M342" s="985">
        <v>0</v>
      </c>
      <c r="N342" s="985">
        <v>0</v>
      </c>
      <c r="O342" s="971">
        <f t="shared" si="58"/>
        <v>4752718.99</v>
      </c>
      <c r="P342" s="963">
        <v>0</v>
      </c>
      <c r="Q342" s="985">
        <v>0</v>
      </c>
      <c r="R342" s="964">
        <v>2024</v>
      </c>
      <c r="S342" s="964">
        <v>2024</v>
      </c>
      <c r="U342" s="967"/>
      <c r="X342" s="967"/>
    </row>
    <row r="343" spans="1:24" s="966" customFormat="1" ht="48.75" customHeight="1">
      <c r="A343" s="1163" t="s">
        <v>1058</v>
      </c>
      <c r="B343" s="1164"/>
      <c r="C343" s="1164"/>
      <c r="D343" s="1164"/>
      <c r="E343" s="1164"/>
      <c r="F343" s="1164"/>
      <c r="G343" s="1165"/>
      <c r="H343" s="968">
        <f>H344</f>
        <v>647.6</v>
      </c>
      <c r="I343" s="968">
        <f t="shared" ref="I343:Q343" si="72">I344</f>
        <v>647.6</v>
      </c>
      <c r="J343" s="968">
        <f t="shared" si="72"/>
        <v>599.1</v>
      </c>
      <c r="K343" s="958">
        <f t="shared" si="72"/>
        <v>19</v>
      </c>
      <c r="L343" s="971">
        <f t="shared" si="72"/>
        <v>4982764.66</v>
      </c>
      <c r="M343" s="968">
        <f t="shared" si="72"/>
        <v>0</v>
      </c>
      <c r="N343" s="968">
        <f t="shared" si="72"/>
        <v>0</v>
      </c>
      <c r="O343" s="971">
        <f t="shared" si="58"/>
        <v>4982764.66</v>
      </c>
      <c r="P343" s="968">
        <f t="shared" si="72"/>
        <v>0</v>
      </c>
      <c r="Q343" s="968">
        <f t="shared" si="72"/>
        <v>0</v>
      </c>
      <c r="R343" s="968" t="s">
        <v>40</v>
      </c>
      <c r="S343" s="968" t="s">
        <v>40</v>
      </c>
      <c r="U343" s="967"/>
      <c r="X343" s="967"/>
    </row>
    <row r="344" spans="1:24" s="966" customFormat="1" ht="45" customHeight="1">
      <c r="A344" s="956">
        <v>122</v>
      </c>
      <c r="B344" s="986" t="s">
        <v>1573</v>
      </c>
      <c r="C344" s="956">
        <v>1983</v>
      </c>
      <c r="D344" s="956"/>
      <c r="E344" s="956" t="s">
        <v>218</v>
      </c>
      <c r="F344" s="956">
        <v>3</v>
      </c>
      <c r="G344" s="956">
        <v>3</v>
      </c>
      <c r="H344" s="968">
        <v>647.6</v>
      </c>
      <c r="I344" s="968">
        <v>647.6</v>
      </c>
      <c r="J344" s="968">
        <v>599.1</v>
      </c>
      <c r="K344" s="959">
        <v>19</v>
      </c>
      <c r="L344" s="971">
        <v>4982764.66</v>
      </c>
      <c r="M344" s="968">
        <v>0</v>
      </c>
      <c r="N344" s="968">
        <v>0</v>
      </c>
      <c r="O344" s="971">
        <f t="shared" ref="O344:O361" si="73">L344</f>
        <v>4982764.66</v>
      </c>
      <c r="P344" s="963">
        <v>0</v>
      </c>
      <c r="Q344" s="968">
        <v>0</v>
      </c>
      <c r="R344" s="959">
        <v>2024</v>
      </c>
      <c r="S344" s="959">
        <v>2024</v>
      </c>
      <c r="U344" s="967"/>
      <c r="X344" s="967"/>
    </row>
    <row r="345" spans="1:24" s="966" customFormat="1" ht="45" customHeight="1">
      <c r="A345" s="1172" t="s">
        <v>1176</v>
      </c>
      <c r="B345" s="1173"/>
      <c r="C345" s="1173"/>
      <c r="D345" s="1173"/>
      <c r="E345" s="1173"/>
      <c r="F345" s="1173"/>
      <c r="G345" s="1174"/>
      <c r="H345" s="968">
        <f>SUM(H346)</f>
        <v>1505</v>
      </c>
      <c r="I345" s="968">
        <f t="shared" ref="I345:Q345" si="74">SUM(I346)</f>
        <v>1370.1</v>
      </c>
      <c r="J345" s="968">
        <f t="shared" si="74"/>
        <v>1370.1</v>
      </c>
      <c r="K345" s="958">
        <f t="shared" si="74"/>
        <v>41</v>
      </c>
      <c r="L345" s="971">
        <f t="shared" si="74"/>
        <v>4733225.05</v>
      </c>
      <c r="M345" s="968">
        <f t="shared" si="74"/>
        <v>0</v>
      </c>
      <c r="N345" s="968">
        <f t="shared" si="74"/>
        <v>0</v>
      </c>
      <c r="O345" s="971">
        <f t="shared" si="73"/>
        <v>4733225.05</v>
      </c>
      <c r="P345" s="968">
        <f t="shared" si="74"/>
        <v>0</v>
      </c>
      <c r="Q345" s="968">
        <f t="shared" si="74"/>
        <v>0</v>
      </c>
      <c r="R345" s="968" t="s">
        <v>40</v>
      </c>
      <c r="S345" s="968" t="s">
        <v>40</v>
      </c>
      <c r="U345" s="967"/>
      <c r="X345" s="967"/>
    </row>
    <row r="346" spans="1:24" s="966" customFormat="1" ht="45" customHeight="1">
      <c r="A346" s="956">
        <v>123</v>
      </c>
      <c r="B346" s="986" t="s">
        <v>2119</v>
      </c>
      <c r="C346" s="956">
        <v>1985</v>
      </c>
      <c r="D346" s="956"/>
      <c r="E346" s="956" t="s">
        <v>219</v>
      </c>
      <c r="F346" s="956">
        <v>3</v>
      </c>
      <c r="G346" s="956">
        <v>3</v>
      </c>
      <c r="H346" s="968">
        <v>1505</v>
      </c>
      <c r="I346" s="968">
        <v>1370.1</v>
      </c>
      <c r="J346" s="968">
        <v>1370.1</v>
      </c>
      <c r="K346" s="959">
        <v>41</v>
      </c>
      <c r="L346" s="971">
        <v>4733225.05</v>
      </c>
      <c r="M346" s="968">
        <v>0</v>
      </c>
      <c r="N346" s="968">
        <v>0</v>
      </c>
      <c r="O346" s="971">
        <f t="shared" si="73"/>
        <v>4733225.05</v>
      </c>
      <c r="P346" s="963">
        <v>0</v>
      </c>
      <c r="Q346" s="968">
        <v>0</v>
      </c>
      <c r="R346" s="959">
        <v>2024</v>
      </c>
      <c r="S346" s="959">
        <v>2024</v>
      </c>
      <c r="U346" s="967"/>
      <c r="X346" s="967"/>
    </row>
    <row r="347" spans="1:24" s="966" customFormat="1" ht="36.6" customHeight="1">
      <c r="A347" s="1166" t="s">
        <v>1187</v>
      </c>
      <c r="B347" s="1167"/>
      <c r="C347" s="1167"/>
      <c r="D347" s="1167"/>
      <c r="E347" s="1167"/>
      <c r="F347" s="1167"/>
      <c r="G347" s="1168"/>
      <c r="H347" s="968">
        <f>SUM(H348:H350)</f>
        <v>2623.4</v>
      </c>
      <c r="I347" s="968">
        <f t="shared" ref="I347:Q347" si="75">SUM(I348:I350)</f>
        <v>2623.4</v>
      </c>
      <c r="J347" s="968">
        <f t="shared" si="75"/>
        <v>2623.4</v>
      </c>
      <c r="K347" s="958">
        <f t="shared" si="75"/>
        <v>119</v>
      </c>
      <c r="L347" s="971">
        <f t="shared" si="75"/>
        <v>9225287.8499999996</v>
      </c>
      <c r="M347" s="968">
        <f t="shared" si="75"/>
        <v>0</v>
      </c>
      <c r="N347" s="968">
        <f t="shared" si="75"/>
        <v>0</v>
      </c>
      <c r="O347" s="971">
        <f t="shared" si="73"/>
        <v>9225287.8499999996</v>
      </c>
      <c r="P347" s="968">
        <f t="shared" si="75"/>
        <v>0</v>
      </c>
      <c r="Q347" s="968">
        <f t="shared" si="75"/>
        <v>0</v>
      </c>
      <c r="R347" s="968" t="s">
        <v>40</v>
      </c>
      <c r="S347" s="968" t="s">
        <v>40</v>
      </c>
      <c r="U347" s="967"/>
      <c r="X347" s="967"/>
    </row>
    <row r="348" spans="1:24" s="966" customFormat="1" ht="49.5" customHeight="1">
      <c r="A348" s="956">
        <v>124</v>
      </c>
      <c r="B348" s="976" t="s">
        <v>1406</v>
      </c>
      <c r="C348" s="957">
        <v>1975</v>
      </c>
      <c r="D348" s="957"/>
      <c r="E348" s="956" t="s">
        <v>219</v>
      </c>
      <c r="F348" s="957">
        <v>5</v>
      </c>
      <c r="G348" s="957">
        <v>2</v>
      </c>
      <c r="H348" s="968">
        <v>1777.5</v>
      </c>
      <c r="I348" s="968">
        <v>1777.5</v>
      </c>
      <c r="J348" s="968">
        <v>1777.5</v>
      </c>
      <c r="K348" s="959">
        <v>82</v>
      </c>
      <c r="L348" s="971">
        <v>2900867.32</v>
      </c>
      <c r="M348" s="968">
        <v>0</v>
      </c>
      <c r="N348" s="968">
        <v>0</v>
      </c>
      <c r="O348" s="971">
        <f t="shared" si="73"/>
        <v>2900867.32</v>
      </c>
      <c r="P348" s="968">
        <v>0</v>
      </c>
      <c r="Q348" s="968">
        <v>0</v>
      </c>
      <c r="R348" s="959">
        <v>2024</v>
      </c>
      <c r="S348" s="959">
        <v>2024</v>
      </c>
      <c r="U348" s="967"/>
      <c r="X348" s="967"/>
    </row>
    <row r="349" spans="1:24" s="966" customFormat="1" ht="36.6" customHeight="1">
      <c r="A349" s="956">
        <v>125</v>
      </c>
      <c r="B349" s="976" t="s">
        <v>1241</v>
      </c>
      <c r="C349" s="957">
        <v>1964</v>
      </c>
      <c r="D349" s="957"/>
      <c r="E349" s="956" t="s">
        <v>218</v>
      </c>
      <c r="F349" s="957">
        <v>2</v>
      </c>
      <c r="G349" s="957">
        <v>1</v>
      </c>
      <c r="H349" s="968">
        <v>314</v>
      </c>
      <c r="I349" s="968">
        <v>314</v>
      </c>
      <c r="J349" s="968">
        <v>314</v>
      </c>
      <c r="K349" s="959">
        <v>13</v>
      </c>
      <c r="L349" s="971">
        <v>3897733.44</v>
      </c>
      <c r="M349" s="968">
        <v>0</v>
      </c>
      <c r="N349" s="968">
        <v>0</v>
      </c>
      <c r="O349" s="971">
        <f t="shared" si="73"/>
        <v>3897733.44</v>
      </c>
      <c r="P349" s="968">
        <v>0</v>
      </c>
      <c r="Q349" s="968">
        <v>0</v>
      </c>
      <c r="R349" s="959">
        <v>2024</v>
      </c>
      <c r="S349" s="959">
        <v>2024</v>
      </c>
      <c r="U349" s="967"/>
      <c r="X349" s="967"/>
    </row>
    <row r="350" spans="1:24" s="966" customFormat="1" ht="36.6" customHeight="1">
      <c r="A350" s="956">
        <v>126</v>
      </c>
      <c r="B350" s="976" t="s">
        <v>1412</v>
      </c>
      <c r="C350" s="957">
        <v>1970</v>
      </c>
      <c r="D350" s="984"/>
      <c r="E350" s="956" t="s">
        <v>218</v>
      </c>
      <c r="F350" s="957">
        <v>2</v>
      </c>
      <c r="G350" s="957">
        <v>2</v>
      </c>
      <c r="H350" s="963">
        <v>531.9</v>
      </c>
      <c r="I350" s="968">
        <v>531.9</v>
      </c>
      <c r="J350" s="968">
        <v>531.9</v>
      </c>
      <c r="K350" s="959">
        <v>24</v>
      </c>
      <c r="L350" s="971">
        <v>2426687.09</v>
      </c>
      <c r="M350" s="968">
        <v>0</v>
      </c>
      <c r="N350" s="968">
        <v>0</v>
      </c>
      <c r="O350" s="971">
        <f t="shared" si="73"/>
        <v>2426687.09</v>
      </c>
      <c r="P350" s="968">
        <v>0</v>
      </c>
      <c r="Q350" s="968">
        <v>0</v>
      </c>
      <c r="R350" s="959">
        <v>2024</v>
      </c>
      <c r="S350" s="959">
        <v>2024</v>
      </c>
      <c r="U350" s="967"/>
      <c r="X350" s="967"/>
    </row>
    <row r="351" spans="1:24" s="966" customFormat="1" ht="42.6" customHeight="1">
      <c r="A351" s="1166" t="s">
        <v>1068</v>
      </c>
      <c r="B351" s="1167"/>
      <c r="C351" s="1167"/>
      <c r="D351" s="1167"/>
      <c r="E351" s="1167"/>
      <c r="F351" s="1167"/>
      <c r="G351" s="1168"/>
      <c r="H351" s="963">
        <f>SUM(H352:H353)</f>
        <v>1358.1</v>
      </c>
      <c r="I351" s="963">
        <f t="shared" ref="I351:Q351" si="76">SUM(I352:I353)</f>
        <v>1358.1</v>
      </c>
      <c r="J351" s="963">
        <f t="shared" si="76"/>
        <v>1060</v>
      </c>
      <c r="K351" s="977">
        <f t="shared" si="76"/>
        <v>53</v>
      </c>
      <c r="L351" s="965">
        <f t="shared" si="76"/>
        <v>5141625.8600000003</v>
      </c>
      <c r="M351" s="963">
        <f t="shared" si="76"/>
        <v>0</v>
      </c>
      <c r="N351" s="963">
        <f t="shared" si="76"/>
        <v>0</v>
      </c>
      <c r="O351" s="971">
        <f t="shared" si="73"/>
        <v>5141625.8600000003</v>
      </c>
      <c r="P351" s="963">
        <f t="shared" si="76"/>
        <v>0</v>
      </c>
      <c r="Q351" s="963">
        <f t="shared" si="76"/>
        <v>0</v>
      </c>
      <c r="R351" s="968" t="s">
        <v>40</v>
      </c>
      <c r="S351" s="968" t="s">
        <v>40</v>
      </c>
      <c r="U351" s="967"/>
      <c r="X351" s="967"/>
    </row>
    <row r="352" spans="1:24" s="966" customFormat="1" ht="36.6" customHeight="1">
      <c r="A352" s="956">
        <v>127</v>
      </c>
      <c r="B352" s="995" t="s">
        <v>1972</v>
      </c>
      <c r="C352" s="959">
        <v>1973</v>
      </c>
      <c r="D352" s="959"/>
      <c r="E352" s="956" t="s">
        <v>218</v>
      </c>
      <c r="F352" s="964">
        <v>2</v>
      </c>
      <c r="G352" s="964">
        <v>2</v>
      </c>
      <c r="H352" s="963">
        <v>841</v>
      </c>
      <c r="I352" s="963">
        <v>841</v>
      </c>
      <c r="J352" s="963">
        <v>766.3</v>
      </c>
      <c r="K352" s="964">
        <v>32</v>
      </c>
      <c r="L352" s="971">
        <v>2967810.41</v>
      </c>
      <c r="M352" s="985">
        <v>0</v>
      </c>
      <c r="N352" s="985">
        <v>0</v>
      </c>
      <c r="O352" s="971">
        <f t="shared" si="73"/>
        <v>2967810.41</v>
      </c>
      <c r="P352" s="963">
        <v>0</v>
      </c>
      <c r="Q352" s="985">
        <v>0</v>
      </c>
      <c r="R352" s="959">
        <v>2024</v>
      </c>
      <c r="S352" s="959">
        <v>2024</v>
      </c>
      <c r="U352" s="967"/>
      <c r="X352" s="967"/>
    </row>
    <row r="353" spans="1:24" s="966" customFormat="1" ht="36.6" customHeight="1">
      <c r="A353" s="956">
        <v>128</v>
      </c>
      <c r="B353" s="995" t="s">
        <v>1274</v>
      </c>
      <c r="C353" s="959">
        <v>1975</v>
      </c>
      <c r="D353" s="996"/>
      <c r="E353" s="956" t="s">
        <v>218</v>
      </c>
      <c r="F353" s="964">
        <v>2</v>
      </c>
      <c r="G353" s="964">
        <v>2</v>
      </c>
      <c r="H353" s="963">
        <v>517.1</v>
      </c>
      <c r="I353" s="963">
        <v>517.1</v>
      </c>
      <c r="J353" s="963">
        <v>293.7</v>
      </c>
      <c r="K353" s="964">
        <v>21</v>
      </c>
      <c r="L353" s="971">
        <v>2173815.4500000002</v>
      </c>
      <c r="M353" s="985">
        <v>0</v>
      </c>
      <c r="N353" s="985">
        <v>0</v>
      </c>
      <c r="O353" s="971">
        <f t="shared" si="73"/>
        <v>2173815.4500000002</v>
      </c>
      <c r="P353" s="963">
        <v>0</v>
      </c>
      <c r="Q353" s="985">
        <v>0</v>
      </c>
      <c r="R353" s="964">
        <v>2024</v>
      </c>
      <c r="S353" s="964">
        <v>2024</v>
      </c>
      <c r="U353" s="967"/>
      <c r="X353" s="967"/>
    </row>
    <row r="354" spans="1:24" s="966" customFormat="1" ht="36.6" customHeight="1">
      <c r="A354" s="1163" t="s">
        <v>2273</v>
      </c>
      <c r="B354" s="1164"/>
      <c r="C354" s="1164"/>
      <c r="D354" s="1164"/>
      <c r="E354" s="1164"/>
      <c r="F354" s="1164"/>
      <c r="G354" s="1165"/>
      <c r="H354" s="963">
        <f>H355</f>
        <v>494.8</v>
      </c>
      <c r="I354" s="963">
        <f t="shared" ref="I354:Q354" si="77">I355</f>
        <v>494.8</v>
      </c>
      <c r="J354" s="963">
        <f t="shared" si="77"/>
        <v>379.6</v>
      </c>
      <c r="K354" s="977">
        <f t="shared" si="77"/>
        <v>12</v>
      </c>
      <c r="L354" s="965">
        <f t="shared" si="77"/>
        <v>223706</v>
      </c>
      <c r="M354" s="963">
        <f t="shared" si="77"/>
        <v>0</v>
      </c>
      <c r="N354" s="963">
        <f t="shared" si="77"/>
        <v>0</v>
      </c>
      <c r="O354" s="971">
        <f t="shared" si="73"/>
        <v>223706</v>
      </c>
      <c r="P354" s="963">
        <f t="shared" si="77"/>
        <v>0</v>
      </c>
      <c r="Q354" s="963">
        <f t="shared" si="77"/>
        <v>0</v>
      </c>
      <c r="R354" s="968" t="s">
        <v>40</v>
      </c>
      <c r="S354" s="968" t="s">
        <v>40</v>
      </c>
      <c r="U354" s="967"/>
      <c r="X354" s="967"/>
    </row>
    <row r="355" spans="1:24" s="966" customFormat="1" ht="36.6" customHeight="1">
      <c r="A355" s="956">
        <v>129</v>
      </c>
      <c r="B355" s="972" t="s">
        <v>1993</v>
      </c>
      <c r="C355" s="957">
        <v>1917</v>
      </c>
      <c r="D355" s="998"/>
      <c r="E355" s="956" t="s">
        <v>218</v>
      </c>
      <c r="F355" s="957">
        <v>2</v>
      </c>
      <c r="G355" s="957">
        <v>1</v>
      </c>
      <c r="H355" s="963">
        <v>494.8</v>
      </c>
      <c r="I355" s="968">
        <v>494.8</v>
      </c>
      <c r="J355" s="968">
        <v>379.6</v>
      </c>
      <c r="K355" s="959">
        <v>12</v>
      </c>
      <c r="L355" s="971">
        <v>223706</v>
      </c>
      <c r="M355" s="968">
        <v>0</v>
      </c>
      <c r="N355" s="968">
        <v>0</v>
      </c>
      <c r="O355" s="971">
        <f t="shared" si="73"/>
        <v>223706</v>
      </c>
      <c r="P355" s="968">
        <v>0</v>
      </c>
      <c r="Q355" s="968">
        <v>0</v>
      </c>
      <c r="R355" s="957">
        <v>2024</v>
      </c>
      <c r="S355" s="957">
        <v>2024</v>
      </c>
      <c r="U355" s="967"/>
      <c r="X355" s="967"/>
    </row>
    <row r="356" spans="1:24" s="966" customFormat="1" ht="39.6" customHeight="1">
      <c r="A356" s="1163" t="s">
        <v>207</v>
      </c>
      <c r="B356" s="1164"/>
      <c r="C356" s="1164"/>
      <c r="D356" s="1164"/>
      <c r="E356" s="1164"/>
      <c r="F356" s="1164"/>
      <c r="G356" s="1165"/>
      <c r="H356" s="968">
        <f>SUM(H357:H361)</f>
        <v>17610.5</v>
      </c>
      <c r="I356" s="968">
        <f t="shared" ref="I356:Q356" si="78">SUM(I357:I361)</f>
        <v>15972.2</v>
      </c>
      <c r="J356" s="968">
        <f t="shared" si="78"/>
        <v>14466.599999999999</v>
      </c>
      <c r="K356" s="958">
        <f t="shared" si="78"/>
        <v>704</v>
      </c>
      <c r="L356" s="971">
        <f t="shared" si="78"/>
        <v>26488505.43</v>
      </c>
      <c r="M356" s="968">
        <f t="shared" si="78"/>
        <v>0</v>
      </c>
      <c r="N356" s="968">
        <f t="shared" si="78"/>
        <v>0</v>
      </c>
      <c r="O356" s="971">
        <f t="shared" si="73"/>
        <v>26488505.43</v>
      </c>
      <c r="P356" s="968">
        <f t="shared" si="78"/>
        <v>0</v>
      </c>
      <c r="Q356" s="968">
        <f t="shared" si="78"/>
        <v>0</v>
      </c>
      <c r="R356" s="968" t="s">
        <v>40</v>
      </c>
      <c r="S356" s="968" t="s">
        <v>40</v>
      </c>
      <c r="U356" s="967"/>
      <c r="X356" s="967"/>
    </row>
    <row r="357" spans="1:24" s="966" customFormat="1" ht="45" customHeight="1">
      <c r="A357" s="957">
        <v>130</v>
      </c>
      <c r="B357" s="984" t="s">
        <v>1562</v>
      </c>
      <c r="C357" s="957">
        <v>1975</v>
      </c>
      <c r="D357" s="999"/>
      <c r="E357" s="956" t="s">
        <v>219</v>
      </c>
      <c r="F357" s="957">
        <v>5</v>
      </c>
      <c r="G357" s="957">
        <v>8</v>
      </c>
      <c r="H357" s="968">
        <v>4472.2</v>
      </c>
      <c r="I357" s="968">
        <v>4472.2</v>
      </c>
      <c r="J357" s="968">
        <v>3998.2</v>
      </c>
      <c r="K357" s="964">
        <v>187</v>
      </c>
      <c r="L357" s="971">
        <v>5645534.0899999999</v>
      </c>
      <c r="M357" s="963">
        <v>0</v>
      </c>
      <c r="N357" s="963">
        <v>0</v>
      </c>
      <c r="O357" s="971">
        <f t="shared" si="73"/>
        <v>5645534.0899999999</v>
      </c>
      <c r="P357" s="963">
        <v>0</v>
      </c>
      <c r="Q357" s="963">
        <v>0</v>
      </c>
      <c r="R357" s="964">
        <v>2024</v>
      </c>
      <c r="S357" s="964">
        <v>2024</v>
      </c>
      <c r="U357" s="967"/>
      <c r="X357" s="967"/>
    </row>
    <row r="358" spans="1:24" s="966" customFormat="1" ht="45" customHeight="1">
      <c r="A358" s="957">
        <v>131</v>
      </c>
      <c r="B358" s="984" t="s">
        <v>1563</v>
      </c>
      <c r="C358" s="957">
        <v>1974</v>
      </c>
      <c r="D358" s="999"/>
      <c r="E358" s="956" t="s">
        <v>219</v>
      </c>
      <c r="F358" s="957">
        <v>5</v>
      </c>
      <c r="G358" s="957">
        <v>8</v>
      </c>
      <c r="H358" s="968">
        <v>4391.7</v>
      </c>
      <c r="I358" s="968">
        <v>4391.7</v>
      </c>
      <c r="J358" s="968">
        <v>3955.7</v>
      </c>
      <c r="K358" s="964">
        <v>208</v>
      </c>
      <c r="L358" s="971">
        <v>5645534.0899999999</v>
      </c>
      <c r="M358" s="963">
        <v>0</v>
      </c>
      <c r="N358" s="963">
        <v>0</v>
      </c>
      <c r="O358" s="971">
        <f t="shared" si="73"/>
        <v>5645534.0899999999</v>
      </c>
      <c r="P358" s="963">
        <v>0</v>
      </c>
      <c r="Q358" s="963">
        <v>0</v>
      </c>
      <c r="R358" s="964">
        <v>2024</v>
      </c>
      <c r="S358" s="964">
        <v>2024</v>
      </c>
      <c r="U358" s="967"/>
      <c r="X358" s="967"/>
    </row>
    <row r="359" spans="1:24" s="966" customFormat="1" ht="45" customHeight="1">
      <c r="A359" s="957">
        <v>132</v>
      </c>
      <c r="B359" s="984" t="s">
        <v>1564</v>
      </c>
      <c r="C359" s="957">
        <v>1975</v>
      </c>
      <c r="D359" s="999"/>
      <c r="E359" s="956" t="s">
        <v>218</v>
      </c>
      <c r="F359" s="957">
        <v>2</v>
      </c>
      <c r="G359" s="957">
        <v>2</v>
      </c>
      <c r="H359" s="968">
        <v>529.4</v>
      </c>
      <c r="I359" s="968">
        <v>519.4</v>
      </c>
      <c r="J359" s="968">
        <v>477</v>
      </c>
      <c r="K359" s="964">
        <v>25</v>
      </c>
      <c r="L359" s="971">
        <v>2100054.89</v>
      </c>
      <c r="M359" s="963">
        <v>0</v>
      </c>
      <c r="N359" s="963">
        <v>0</v>
      </c>
      <c r="O359" s="971">
        <f t="shared" si="73"/>
        <v>2100054.89</v>
      </c>
      <c r="P359" s="963">
        <v>0</v>
      </c>
      <c r="Q359" s="963">
        <v>0</v>
      </c>
      <c r="R359" s="964">
        <v>2024</v>
      </c>
      <c r="S359" s="964">
        <v>2024</v>
      </c>
      <c r="U359" s="967"/>
      <c r="X359" s="967"/>
    </row>
    <row r="360" spans="1:24" s="966" customFormat="1" ht="69" customHeight="1">
      <c r="A360" s="957">
        <v>133</v>
      </c>
      <c r="B360" s="986" t="s">
        <v>1565</v>
      </c>
      <c r="C360" s="957">
        <v>1986</v>
      </c>
      <c r="D360" s="999"/>
      <c r="E360" s="956" t="s">
        <v>219</v>
      </c>
      <c r="F360" s="957">
        <v>9</v>
      </c>
      <c r="G360" s="957">
        <v>2</v>
      </c>
      <c r="H360" s="968">
        <v>5682</v>
      </c>
      <c r="I360" s="968">
        <v>4367.6000000000004</v>
      </c>
      <c r="J360" s="968">
        <v>3814.4</v>
      </c>
      <c r="K360" s="964">
        <v>207</v>
      </c>
      <c r="L360" s="971">
        <v>9880963.9399999995</v>
      </c>
      <c r="M360" s="963">
        <v>0</v>
      </c>
      <c r="N360" s="963">
        <v>0</v>
      </c>
      <c r="O360" s="971">
        <f t="shared" si="73"/>
        <v>9880963.9399999995</v>
      </c>
      <c r="P360" s="963">
        <v>0</v>
      </c>
      <c r="Q360" s="963">
        <v>0</v>
      </c>
      <c r="R360" s="964">
        <v>2024</v>
      </c>
      <c r="S360" s="964">
        <v>2024</v>
      </c>
      <c r="U360" s="967"/>
      <c r="X360" s="967"/>
    </row>
    <row r="361" spans="1:24" s="966" customFormat="1" ht="50.45" customHeight="1">
      <c r="A361" s="957">
        <v>134</v>
      </c>
      <c r="B361" s="986" t="s">
        <v>508</v>
      </c>
      <c r="C361" s="957">
        <v>1988</v>
      </c>
      <c r="D361" s="999"/>
      <c r="E361" s="956" t="s">
        <v>219</v>
      </c>
      <c r="F361" s="957">
        <v>9</v>
      </c>
      <c r="G361" s="957">
        <v>1</v>
      </c>
      <c r="H361" s="968">
        <v>2535.1999999999998</v>
      </c>
      <c r="I361" s="968">
        <v>2221.3000000000002</v>
      </c>
      <c r="J361" s="968">
        <v>2221.3000000000002</v>
      </c>
      <c r="K361" s="964">
        <v>77</v>
      </c>
      <c r="L361" s="971">
        <v>3216418.42</v>
      </c>
      <c r="M361" s="963">
        <v>0</v>
      </c>
      <c r="N361" s="963">
        <v>0</v>
      </c>
      <c r="O361" s="971">
        <f t="shared" si="73"/>
        <v>3216418.42</v>
      </c>
      <c r="P361" s="963">
        <v>0</v>
      </c>
      <c r="Q361" s="963">
        <v>0</v>
      </c>
      <c r="R361" s="964">
        <v>2024</v>
      </c>
      <c r="S361" s="964">
        <v>2024</v>
      </c>
      <c r="U361" s="967"/>
      <c r="X361" s="967"/>
    </row>
    <row r="362" spans="1:24" s="966" customFormat="1" ht="47.25" customHeight="1">
      <c r="A362" s="1190" t="s">
        <v>35</v>
      </c>
      <c r="B362" s="1190"/>
      <c r="C362" s="1190"/>
      <c r="D362" s="1190"/>
      <c r="E362" s="1190"/>
      <c r="F362" s="1190"/>
      <c r="G362" s="1190"/>
      <c r="H362" s="1190"/>
      <c r="I362" s="1190"/>
      <c r="J362" s="1190"/>
      <c r="K362" s="1190"/>
      <c r="L362" s="1190"/>
      <c r="M362" s="1190"/>
      <c r="N362" s="1190"/>
      <c r="O362" s="1190"/>
      <c r="P362" s="1190"/>
      <c r="Q362" s="1190"/>
      <c r="R362" s="1190"/>
      <c r="S362" s="1190"/>
      <c r="U362" s="967"/>
    </row>
    <row r="363" spans="1:24" s="966" customFormat="1" ht="36" customHeight="1">
      <c r="A363" s="1169" t="s">
        <v>205</v>
      </c>
      <c r="B363" s="1170"/>
      <c r="C363" s="1170"/>
      <c r="D363" s="1170"/>
      <c r="E363" s="1170"/>
      <c r="F363" s="1170"/>
      <c r="G363" s="1171"/>
      <c r="H363" s="968">
        <v>0</v>
      </c>
      <c r="I363" s="968">
        <v>0</v>
      </c>
      <c r="J363" s="968">
        <v>0</v>
      </c>
      <c r="K363" s="959">
        <v>0</v>
      </c>
      <c r="L363" s="1000">
        <v>0</v>
      </c>
      <c r="M363" s="968">
        <v>0</v>
      </c>
      <c r="N363" s="968">
        <v>0</v>
      </c>
      <c r="O363" s="968">
        <v>0</v>
      </c>
      <c r="P363" s="968">
        <v>0</v>
      </c>
      <c r="Q363" s="968">
        <v>0</v>
      </c>
      <c r="R363" s="957" t="s">
        <v>40</v>
      </c>
      <c r="S363" s="968" t="s">
        <v>40</v>
      </c>
      <c r="U363" s="967"/>
    </row>
    <row r="364" spans="1:24" s="966" customFormat="1" ht="43.15" customHeight="1">
      <c r="A364" s="1190" t="s">
        <v>1029</v>
      </c>
      <c r="B364" s="1190"/>
      <c r="C364" s="1190"/>
      <c r="D364" s="1190"/>
      <c r="E364" s="1190"/>
      <c r="F364" s="1190"/>
      <c r="G364" s="1190"/>
      <c r="H364" s="1190"/>
      <c r="I364" s="1190"/>
      <c r="J364" s="1190"/>
      <c r="K364" s="1190"/>
      <c r="L364" s="1190"/>
      <c r="M364" s="1190"/>
      <c r="N364" s="1190"/>
      <c r="O364" s="1190"/>
      <c r="P364" s="1190"/>
      <c r="Q364" s="1190"/>
      <c r="R364" s="1190"/>
      <c r="S364" s="1190"/>
      <c r="U364" s="967"/>
    </row>
    <row r="365" spans="1:24" s="966" customFormat="1" ht="36" customHeight="1">
      <c r="A365" s="1169" t="s">
        <v>205</v>
      </c>
      <c r="B365" s="1170"/>
      <c r="C365" s="1170"/>
      <c r="D365" s="1170"/>
      <c r="E365" s="1170"/>
      <c r="F365" s="1170"/>
      <c r="G365" s="1171"/>
      <c r="H365" s="968">
        <f>H366</f>
        <v>15411.199999999999</v>
      </c>
      <c r="I365" s="968">
        <f t="shared" ref="I365:Q365" si="79">I366</f>
        <v>12374.400000000001</v>
      </c>
      <c r="J365" s="968">
        <f t="shared" si="79"/>
        <v>12374.400000000001</v>
      </c>
      <c r="K365" s="958">
        <f t="shared" si="79"/>
        <v>358</v>
      </c>
      <c r="L365" s="971">
        <f t="shared" si="79"/>
        <v>5400636</v>
      </c>
      <c r="M365" s="968">
        <f t="shared" si="79"/>
        <v>0</v>
      </c>
      <c r="N365" s="968">
        <f t="shared" si="79"/>
        <v>1620190</v>
      </c>
      <c r="O365" s="968">
        <f t="shared" si="79"/>
        <v>3780446</v>
      </c>
      <c r="P365" s="968">
        <f t="shared" si="79"/>
        <v>0</v>
      </c>
      <c r="Q365" s="968">
        <f t="shared" si="79"/>
        <v>0</v>
      </c>
      <c r="R365" s="957" t="s">
        <v>40</v>
      </c>
      <c r="S365" s="968" t="s">
        <v>40</v>
      </c>
      <c r="U365" s="967"/>
    </row>
    <row r="366" spans="1:24" s="966" customFormat="1" ht="40.9" customHeight="1">
      <c r="A366" s="1172" t="s">
        <v>1059</v>
      </c>
      <c r="B366" s="1173"/>
      <c r="C366" s="1173"/>
      <c r="D366" s="1173"/>
      <c r="E366" s="1173"/>
      <c r="F366" s="1173"/>
      <c r="G366" s="1174"/>
      <c r="H366" s="968">
        <f>SUM(H367:H380)</f>
        <v>15411.199999999999</v>
      </c>
      <c r="I366" s="968">
        <f t="shared" ref="I366:Q366" si="80">SUM(I367:I380)</f>
        <v>12374.400000000001</v>
      </c>
      <c r="J366" s="968">
        <f t="shared" si="80"/>
        <v>12374.400000000001</v>
      </c>
      <c r="K366" s="968">
        <f t="shared" si="80"/>
        <v>358</v>
      </c>
      <c r="L366" s="968">
        <f>SUM(L367:L380)</f>
        <v>5400636</v>
      </c>
      <c r="M366" s="968">
        <f t="shared" si="80"/>
        <v>0</v>
      </c>
      <c r="N366" s="968">
        <f>SUM(N367:N380)</f>
        <v>1620190</v>
      </c>
      <c r="O366" s="968">
        <f>SUM(O367:O380)</f>
        <v>3780446</v>
      </c>
      <c r="P366" s="968">
        <f t="shared" si="80"/>
        <v>0</v>
      </c>
      <c r="Q366" s="968">
        <f t="shared" si="80"/>
        <v>0</v>
      </c>
      <c r="R366" s="957" t="s">
        <v>40</v>
      </c>
      <c r="S366" s="968" t="s">
        <v>40</v>
      </c>
      <c r="U366" s="967"/>
    </row>
    <row r="367" spans="1:24" s="966" customFormat="1" ht="40.9" customHeight="1">
      <c r="A367" s="956">
        <v>135</v>
      </c>
      <c r="B367" s="976" t="s">
        <v>2120</v>
      </c>
      <c r="C367" s="957">
        <v>1988</v>
      </c>
      <c r="D367" s="976"/>
      <c r="E367" s="956" t="s">
        <v>218</v>
      </c>
      <c r="F367" s="957">
        <v>5</v>
      </c>
      <c r="G367" s="957">
        <v>4</v>
      </c>
      <c r="H367" s="1025">
        <v>3691</v>
      </c>
      <c r="I367" s="1025">
        <v>2742.2</v>
      </c>
      <c r="J367" s="973">
        <v>2742.2</v>
      </c>
      <c r="K367" s="957">
        <v>85</v>
      </c>
      <c r="L367" s="971">
        <v>407000</v>
      </c>
      <c r="M367" s="968">
        <v>0</v>
      </c>
      <c r="N367" s="971">
        <v>122100</v>
      </c>
      <c r="O367" s="971">
        <v>284900</v>
      </c>
      <c r="P367" s="968">
        <v>0</v>
      </c>
      <c r="Q367" s="968">
        <v>0</v>
      </c>
      <c r="R367" s="957">
        <v>2024</v>
      </c>
      <c r="S367" s="957">
        <v>2024</v>
      </c>
      <c r="U367" s="967"/>
    </row>
    <row r="368" spans="1:24" s="966" customFormat="1" ht="40.9" customHeight="1">
      <c r="A368" s="956">
        <v>136</v>
      </c>
      <c r="B368" s="976" t="s">
        <v>2121</v>
      </c>
      <c r="C368" s="957">
        <v>1991</v>
      </c>
      <c r="D368" s="976"/>
      <c r="E368" s="956" t="s">
        <v>218</v>
      </c>
      <c r="F368" s="957">
        <v>5</v>
      </c>
      <c r="G368" s="957">
        <v>4</v>
      </c>
      <c r="H368" s="1025">
        <v>3744.2</v>
      </c>
      <c r="I368" s="1025">
        <v>2757.5</v>
      </c>
      <c r="J368" s="973">
        <v>2757.5</v>
      </c>
      <c r="K368" s="957">
        <v>70</v>
      </c>
      <c r="L368" s="971">
        <v>276640</v>
      </c>
      <c r="M368" s="968">
        <v>0</v>
      </c>
      <c r="N368" s="971">
        <v>82992</v>
      </c>
      <c r="O368" s="971">
        <v>193648</v>
      </c>
      <c r="P368" s="968">
        <v>0</v>
      </c>
      <c r="Q368" s="968">
        <v>0</v>
      </c>
      <c r="R368" s="957">
        <v>2024</v>
      </c>
      <c r="S368" s="957">
        <v>2024</v>
      </c>
      <c r="U368" s="967"/>
    </row>
    <row r="369" spans="1:24" s="966" customFormat="1" ht="40.9" customHeight="1">
      <c r="A369" s="956">
        <v>137</v>
      </c>
      <c r="B369" s="976" t="s">
        <v>2122</v>
      </c>
      <c r="C369" s="957">
        <v>1965</v>
      </c>
      <c r="D369" s="976"/>
      <c r="E369" s="956" t="s">
        <v>218</v>
      </c>
      <c r="F369" s="957">
        <v>2</v>
      </c>
      <c r="G369" s="957">
        <v>2</v>
      </c>
      <c r="H369" s="1025">
        <v>416.1</v>
      </c>
      <c r="I369" s="1025">
        <v>370.2</v>
      </c>
      <c r="J369" s="973">
        <v>370.2</v>
      </c>
      <c r="K369" s="957">
        <v>8</v>
      </c>
      <c r="L369" s="971">
        <v>92550</v>
      </c>
      <c r="M369" s="968">
        <v>0</v>
      </c>
      <c r="N369" s="971">
        <v>27765</v>
      </c>
      <c r="O369" s="971">
        <v>64785</v>
      </c>
      <c r="P369" s="968">
        <v>0</v>
      </c>
      <c r="Q369" s="968">
        <v>0</v>
      </c>
      <c r="R369" s="957">
        <v>2024</v>
      </c>
      <c r="S369" s="957">
        <v>2024</v>
      </c>
      <c r="U369" s="967"/>
    </row>
    <row r="370" spans="1:24" s="966" customFormat="1" ht="40.9" customHeight="1">
      <c r="A370" s="956">
        <v>138</v>
      </c>
      <c r="B370" s="976" t="s">
        <v>2123</v>
      </c>
      <c r="C370" s="957">
        <v>1971</v>
      </c>
      <c r="D370" s="976"/>
      <c r="E370" s="956" t="s">
        <v>218</v>
      </c>
      <c r="F370" s="957">
        <v>2</v>
      </c>
      <c r="G370" s="957">
        <v>1</v>
      </c>
      <c r="H370" s="1025">
        <v>378.3</v>
      </c>
      <c r="I370" s="1025">
        <v>308.89999999999998</v>
      </c>
      <c r="J370" s="973">
        <v>308.89999999999998</v>
      </c>
      <c r="K370" s="957">
        <v>9</v>
      </c>
      <c r="L370" s="971">
        <v>77225</v>
      </c>
      <c r="M370" s="968">
        <v>0</v>
      </c>
      <c r="N370" s="971">
        <v>23167</v>
      </c>
      <c r="O370" s="971">
        <v>54058</v>
      </c>
      <c r="P370" s="968">
        <v>0</v>
      </c>
      <c r="Q370" s="968">
        <v>0</v>
      </c>
      <c r="R370" s="957">
        <v>2024</v>
      </c>
      <c r="S370" s="957">
        <v>2024</v>
      </c>
      <c r="U370" s="967"/>
    </row>
    <row r="371" spans="1:24" s="966" customFormat="1" ht="40.9" customHeight="1">
      <c r="A371" s="956">
        <v>139</v>
      </c>
      <c r="B371" s="976" t="s">
        <v>2124</v>
      </c>
      <c r="C371" s="957">
        <v>1965</v>
      </c>
      <c r="D371" s="976"/>
      <c r="E371" s="956" t="s">
        <v>218</v>
      </c>
      <c r="F371" s="957">
        <v>2</v>
      </c>
      <c r="G371" s="957">
        <v>2</v>
      </c>
      <c r="H371" s="1025">
        <v>529.5</v>
      </c>
      <c r="I371" s="1025">
        <v>459.6</v>
      </c>
      <c r="J371" s="973">
        <v>459.6</v>
      </c>
      <c r="K371" s="957">
        <v>18</v>
      </c>
      <c r="L371" s="971">
        <v>160860</v>
      </c>
      <c r="M371" s="968">
        <v>0</v>
      </c>
      <c r="N371" s="971">
        <v>48258</v>
      </c>
      <c r="O371" s="971">
        <v>112602</v>
      </c>
      <c r="P371" s="968">
        <v>0</v>
      </c>
      <c r="Q371" s="968">
        <v>0</v>
      </c>
      <c r="R371" s="957">
        <v>2024</v>
      </c>
      <c r="S371" s="957">
        <v>2024</v>
      </c>
      <c r="U371" s="967"/>
    </row>
    <row r="372" spans="1:24" s="966" customFormat="1" ht="40.9" customHeight="1">
      <c r="A372" s="956">
        <v>140</v>
      </c>
      <c r="B372" s="976" t="s">
        <v>1305</v>
      </c>
      <c r="C372" s="957">
        <v>1989</v>
      </c>
      <c r="D372" s="976"/>
      <c r="E372" s="956" t="s">
        <v>218</v>
      </c>
      <c r="F372" s="957">
        <v>2</v>
      </c>
      <c r="G372" s="957">
        <v>2</v>
      </c>
      <c r="H372" s="1025">
        <v>807.3</v>
      </c>
      <c r="I372" s="1025">
        <v>741.3</v>
      </c>
      <c r="J372" s="973">
        <v>741.3</v>
      </c>
      <c r="K372" s="957">
        <v>17</v>
      </c>
      <c r="L372" s="971">
        <v>481845</v>
      </c>
      <c r="M372" s="968">
        <v>0</v>
      </c>
      <c r="N372" s="971">
        <v>144553</v>
      </c>
      <c r="O372" s="971">
        <v>337292</v>
      </c>
      <c r="P372" s="968">
        <v>0</v>
      </c>
      <c r="Q372" s="968">
        <v>0</v>
      </c>
      <c r="R372" s="957">
        <v>2024</v>
      </c>
      <c r="S372" s="957">
        <v>2024</v>
      </c>
      <c r="U372" s="967"/>
    </row>
    <row r="373" spans="1:24" s="966" customFormat="1" ht="40.9" customHeight="1">
      <c r="A373" s="956">
        <v>141</v>
      </c>
      <c r="B373" s="976" t="s">
        <v>2112</v>
      </c>
      <c r="C373" s="957">
        <v>1984</v>
      </c>
      <c r="D373" s="976"/>
      <c r="E373" s="956" t="s">
        <v>220</v>
      </c>
      <c r="F373" s="957">
        <v>2</v>
      </c>
      <c r="G373" s="957">
        <v>3</v>
      </c>
      <c r="H373" s="1025">
        <v>1382</v>
      </c>
      <c r="I373" s="1025">
        <v>844.9</v>
      </c>
      <c r="J373" s="973">
        <v>844.9</v>
      </c>
      <c r="K373" s="957">
        <v>21</v>
      </c>
      <c r="L373" s="971">
        <v>329686</v>
      </c>
      <c r="M373" s="968">
        <v>0</v>
      </c>
      <c r="N373" s="971">
        <v>98906</v>
      </c>
      <c r="O373" s="971">
        <v>230780</v>
      </c>
      <c r="P373" s="968">
        <v>0</v>
      </c>
      <c r="Q373" s="968">
        <v>0</v>
      </c>
      <c r="R373" s="957">
        <v>2024</v>
      </c>
      <c r="S373" s="957">
        <v>2024</v>
      </c>
      <c r="U373" s="967"/>
    </row>
    <row r="374" spans="1:24" s="966" customFormat="1" ht="40.9" customHeight="1">
      <c r="A374" s="956">
        <v>142</v>
      </c>
      <c r="B374" s="976" t="s">
        <v>2125</v>
      </c>
      <c r="C374" s="957">
        <v>1973</v>
      </c>
      <c r="D374" s="976"/>
      <c r="E374" s="956" t="s">
        <v>218</v>
      </c>
      <c r="F374" s="957">
        <v>2</v>
      </c>
      <c r="G374" s="957">
        <v>2</v>
      </c>
      <c r="H374" s="1025">
        <v>774.5</v>
      </c>
      <c r="I374" s="1025">
        <v>743.7</v>
      </c>
      <c r="J374" s="973">
        <v>743.7</v>
      </c>
      <c r="K374" s="957">
        <v>20</v>
      </c>
      <c r="L374" s="971">
        <v>1125000</v>
      </c>
      <c r="M374" s="968">
        <v>0</v>
      </c>
      <c r="N374" s="971">
        <v>337500</v>
      </c>
      <c r="O374" s="971">
        <v>787500</v>
      </c>
      <c r="P374" s="968">
        <v>0</v>
      </c>
      <c r="Q374" s="968">
        <v>0</v>
      </c>
      <c r="R374" s="957">
        <v>2024</v>
      </c>
      <c r="S374" s="957">
        <v>2024</v>
      </c>
      <c r="U374" s="967"/>
    </row>
    <row r="375" spans="1:24" s="966" customFormat="1" ht="40.9" customHeight="1">
      <c r="A375" s="956">
        <v>143</v>
      </c>
      <c r="B375" s="976" t="s">
        <v>2067</v>
      </c>
      <c r="C375" s="957">
        <v>1984</v>
      </c>
      <c r="D375" s="976"/>
      <c r="E375" s="956" t="s">
        <v>218</v>
      </c>
      <c r="F375" s="957">
        <v>2</v>
      </c>
      <c r="G375" s="957">
        <v>1</v>
      </c>
      <c r="H375" s="1025">
        <v>392.9</v>
      </c>
      <c r="I375" s="1025">
        <v>357.1</v>
      </c>
      <c r="J375" s="973">
        <v>357.1</v>
      </c>
      <c r="K375" s="957">
        <v>11</v>
      </c>
      <c r="L375" s="971">
        <v>675000</v>
      </c>
      <c r="M375" s="968">
        <v>0</v>
      </c>
      <c r="N375" s="971">
        <v>202500</v>
      </c>
      <c r="O375" s="971">
        <v>472500</v>
      </c>
      <c r="P375" s="968">
        <v>0</v>
      </c>
      <c r="Q375" s="968">
        <v>0</v>
      </c>
      <c r="R375" s="957">
        <v>2024</v>
      </c>
      <c r="S375" s="957">
        <v>2024</v>
      </c>
      <c r="U375" s="967"/>
    </row>
    <row r="376" spans="1:24" s="966" customFormat="1" ht="40.9" customHeight="1">
      <c r="A376" s="956">
        <v>144</v>
      </c>
      <c r="B376" s="976" t="s">
        <v>2068</v>
      </c>
      <c r="C376" s="957">
        <v>1973</v>
      </c>
      <c r="D376" s="976"/>
      <c r="E376" s="956" t="s">
        <v>218</v>
      </c>
      <c r="F376" s="957">
        <v>2</v>
      </c>
      <c r="G376" s="957">
        <v>2</v>
      </c>
      <c r="H376" s="1025">
        <v>774</v>
      </c>
      <c r="I376" s="1025">
        <v>715.6</v>
      </c>
      <c r="J376" s="973">
        <v>715.6</v>
      </c>
      <c r="K376" s="957">
        <v>22</v>
      </c>
      <c r="L376" s="971">
        <v>393580</v>
      </c>
      <c r="M376" s="968">
        <v>0</v>
      </c>
      <c r="N376" s="971">
        <v>118074</v>
      </c>
      <c r="O376" s="971">
        <v>275506</v>
      </c>
      <c r="P376" s="968">
        <v>0</v>
      </c>
      <c r="Q376" s="968">
        <v>0</v>
      </c>
      <c r="R376" s="957">
        <v>2024</v>
      </c>
      <c r="S376" s="957">
        <v>2024</v>
      </c>
      <c r="U376" s="967"/>
    </row>
    <row r="377" spans="1:24" s="966" customFormat="1" ht="40.9" customHeight="1">
      <c r="A377" s="956">
        <v>145</v>
      </c>
      <c r="B377" s="976" t="s">
        <v>2069</v>
      </c>
      <c r="C377" s="957">
        <v>1974</v>
      </c>
      <c r="D377" s="976"/>
      <c r="E377" s="956" t="s">
        <v>218</v>
      </c>
      <c r="F377" s="957">
        <v>2</v>
      </c>
      <c r="G377" s="957">
        <v>2</v>
      </c>
      <c r="H377" s="1025">
        <v>763.5</v>
      </c>
      <c r="I377" s="1025">
        <v>706</v>
      </c>
      <c r="J377" s="973">
        <v>706</v>
      </c>
      <c r="K377" s="957">
        <v>20</v>
      </c>
      <c r="L377" s="971">
        <v>388300</v>
      </c>
      <c r="M377" s="968">
        <v>0</v>
      </c>
      <c r="N377" s="971">
        <v>116490</v>
      </c>
      <c r="O377" s="971">
        <v>271810</v>
      </c>
      <c r="P377" s="968">
        <v>0</v>
      </c>
      <c r="Q377" s="968">
        <v>0</v>
      </c>
      <c r="R377" s="957">
        <v>2024</v>
      </c>
      <c r="S377" s="957">
        <v>2024</v>
      </c>
      <c r="U377" s="967"/>
    </row>
    <row r="378" spans="1:24" s="966" customFormat="1" ht="40.9" customHeight="1">
      <c r="A378" s="956">
        <v>146</v>
      </c>
      <c r="B378" s="976" t="s">
        <v>2070</v>
      </c>
      <c r="C378" s="957">
        <v>1969</v>
      </c>
      <c r="D378" s="976"/>
      <c r="E378" s="956" t="s">
        <v>218</v>
      </c>
      <c r="F378" s="957">
        <v>2</v>
      </c>
      <c r="G378" s="957">
        <v>2</v>
      </c>
      <c r="H378" s="1025">
        <v>524.70000000000005</v>
      </c>
      <c r="I378" s="1025">
        <v>482.4</v>
      </c>
      <c r="J378" s="973">
        <v>482.4</v>
      </c>
      <c r="K378" s="957">
        <v>18</v>
      </c>
      <c r="L378" s="971">
        <v>160950</v>
      </c>
      <c r="M378" s="968">
        <v>0</v>
      </c>
      <c r="N378" s="971">
        <v>48285</v>
      </c>
      <c r="O378" s="971">
        <v>112665</v>
      </c>
      <c r="P378" s="968">
        <v>0</v>
      </c>
      <c r="Q378" s="968">
        <v>0</v>
      </c>
      <c r="R378" s="957">
        <v>2024</v>
      </c>
      <c r="S378" s="957">
        <v>2024</v>
      </c>
      <c r="U378" s="967"/>
    </row>
    <row r="379" spans="1:24" s="966" customFormat="1" ht="40.9" customHeight="1">
      <c r="A379" s="956">
        <v>147</v>
      </c>
      <c r="B379" s="972" t="s">
        <v>2107</v>
      </c>
      <c r="C379" s="1001">
        <v>1977</v>
      </c>
      <c r="D379" s="1005">
        <v>2016</v>
      </c>
      <c r="E379" s="956" t="s">
        <v>220</v>
      </c>
      <c r="F379" s="1001">
        <v>2</v>
      </c>
      <c r="G379" s="1001">
        <v>2</v>
      </c>
      <c r="H379" s="1004">
        <v>836.8</v>
      </c>
      <c r="I379" s="1004">
        <v>783.6</v>
      </c>
      <c r="J379" s="1004">
        <v>783.6</v>
      </c>
      <c r="K379" s="1005">
        <v>32</v>
      </c>
      <c r="L379" s="1026">
        <f>N379+O379</f>
        <v>700000</v>
      </c>
      <c r="M379" s="1026">
        <v>0</v>
      </c>
      <c r="N379" s="1026">
        <v>210000</v>
      </c>
      <c r="O379" s="1026">
        <v>490000</v>
      </c>
      <c r="P379" s="973">
        <f>SUM(P380:P380)</f>
        <v>0</v>
      </c>
      <c r="Q379" s="973">
        <f>SUM(Q380:Q380)</f>
        <v>0</v>
      </c>
      <c r="R379" s="1001">
        <v>2024</v>
      </c>
      <c r="S379" s="1001">
        <v>2024</v>
      </c>
      <c r="U379" s="967"/>
    </row>
    <row r="380" spans="1:24" s="966" customFormat="1" ht="40.9" customHeight="1">
      <c r="A380" s="956">
        <v>148</v>
      </c>
      <c r="B380" s="972" t="s">
        <v>2117</v>
      </c>
      <c r="C380" s="1001">
        <v>1985</v>
      </c>
      <c r="D380" s="1005">
        <v>2021</v>
      </c>
      <c r="E380" s="956" t="s">
        <v>218</v>
      </c>
      <c r="F380" s="1001">
        <v>2</v>
      </c>
      <c r="G380" s="1001">
        <v>1</v>
      </c>
      <c r="H380" s="1004">
        <v>396.4</v>
      </c>
      <c r="I380" s="1004">
        <v>361.4</v>
      </c>
      <c r="J380" s="1004">
        <v>361.4</v>
      </c>
      <c r="K380" s="1005">
        <v>7</v>
      </c>
      <c r="L380" s="1026">
        <f>N380+O380</f>
        <v>132000</v>
      </c>
      <c r="M380" s="1026">
        <v>0</v>
      </c>
      <c r="N380" s="1026">
        <v>39600</v>
      </c>
      <c r="O380" s="1026">
        <v>92400</v>
      </c>
      <c r="P380" s="973">
        <f>SUM(P381:P381)</f>
        <v>0</v>
      </c>
      <c r="Q380" s="973">
        <f>SUM(Q381:Q381)</f>
        <v>0</v>
      </c>
      <c r="R380" s="1001">
        <v>2024</v>
      </c>
      <c r="S380" s="1001">
        <v>2024</v>
      </c>
      <c r="U380" s="967"/>
    </row>
    <row r="381" spans="1:24" s="1015" customFormat="1" ht="37.9" customHeight="1">
      <c r="A381" s="1190" t="s">
        <v>1258</v>
      </c>
      <c r="B381" s="1192"/>
      <c r="C381" s="1192"/>
      <c r="D381" s="1192"/>
      <c r="E381" s="1192"/>
      <c r="F381" s="1192"/>
      <c r="G381" s="1192"/>
      <c r="H381" s="1192"/>
      <c r="I381" s="1192"/>
      <c r="J381" s="1192"/>
      <c r="K381" s="1192"/>
      <c r="L381" s="1192"/>
      <c r="M381" s="1192"/>
      <c r="N381" s="1192"/>
      <c r="O381" s="1192"/>
      <c r="P381" s="1192"/>
      <c r="Q381" s="1192"/>
      <c r="R381" s="1192"/>
      <c r="S381" s="1192"/>
      <c r="U381" s="967"/>
    </row>
    <row r="382" spans="1:24" s="1015" customFormat="1" ht="37.9" customHeight="1">
      <c r="A382" s="1169" t="s">
        <v>205</v>
      </c>
      <c r="B382" s="1170"/>
      <c r="C382" s="1170"/>
      <c r="D382" s="1170"/>
      <c r="E382" s="1170"/>
      <c r="F382" s="1170"/>
      <c r="G382" s="1171"/>
      <c r="H382" s="963">
        <f>H384+H515+H517</f>
        <v>209992.28</v>
      </c>
      <c r="I382" s="963">
        <f t="shared" ref="I382:Q382" si="81">I384+I515+I517</f>
        <v>196365.08</v>
      </c>
      <c r="J382" s="963">
        <f t="shared" si="81"/>
        <v>167833.06</v>
      </c>
      <c r="K382" s="963">
        <f t="shared" si="81"/>
        <v>7504</v>
      </c>
      <c r="L382" s="963">
        <f t="shared" si="81"/>
        <v>685779244.22000015</v>
      </c>
      <c r="M382" s="963">
        <f t="shared" si="81"/>
        <v>0</v>
      </c>
      <c r="N382" s="963">
        <f t="shared" si="81"/>
        <v>1907958.78</v>
      </c>
      <c r="O382" s="963">
        <f t="shared" si="81"/>
        <v>683871285.44000018</v>
      </c>
      <c r="P382" s="963">
        <f t="shared" si="81"/>
        <v>0</v>
      </c>
      <c r="Q382" s="963">
        <f t="shared" si="81"/>
        <v>0</v>
      </c>
      <c r="R382" s="957" t="s">
        <v>40</v>
      </c>
      <c r="S382" s="957" t="s">
        <v>40</v>
      </c>
      <c r="U382" s="967"/>
    </row>
    <row r="383" spans="1:24" s="966" customFormat="1" ht="39.6" customHeight="1">
      <c r="A383" s="1190" t="s">
        <v>1024</v>
      </c>
      <c r="B383" s="1190"/>
      <c r="C383" s="1190"/>
      <c r="D383" s="1190"/>
      <c r="E383" s="1190"/>
      <c r="F383" s="1190"/>
      <c r="G383" s="1190"/>
      <c r="H383" s="1190"/>
      <c r="I383" s="1190"/>
      <c r="J383" s="1190"/>
      <c r="K383" s="1190"/>
      <c r="L383" s="1190"/>
      <c r="M383" s="1190"/>
      <c r="N383" s="1190"/>
      <c r="O383" s="1190"/>
      <c r="P383" s="1190"/>
      <c r="Q383" s="1190"/>
      <c r="R383" s="1190"/>
      <c r="S383" s="1190"/>
      <c r="U383" s="967"/>
    </row>
    <row r="384" spans="1:24" s="966" customFormat="1" ht="42.6" customHeight="1">
      <c r="A384" s="1169" t="s">
        <v>205</v>
      </c>
      <c r="B384" s="1170"/>
      <c r="C384" s="1170"/>
      <c r="D384" s="1170"/>
      <c r="E384" s="1170"/>
      <c r="F384" s="1170"/>
      <c r="G384" s="1171"/>
      <c r="H384" s="963">
        <f>H385+H403+H409+H416+H421+H423+H425+H428+H431+H433+H437+H439+H441+H443+H451+H454+H459+H464+H475+H477+H479+H483+H486+H489+H495+H497+H499+H501+H503+H505+H511</f>
        <v>209166.78</v>
      </c>
      <c r="I384" s="963">
        <f t="shared" ref="I384:Q384" si="82">I385+I403+I409+I416+I421+I423+I425+I428+I431+I433+I437+I439+I441+I443+I451+I454+I459+I464+I475+I477+I479+I483+I486+I489+I495+I497+I499+I501+I503+I505+I511</f>
        <v>195603.58</v>
      </c>
      <c r="J384" s="963">
        <f t="shared" si="82"/>
        <v>167071.56</v>
      </c>
      <c r="K384" s="977">
        <f t="shared" si="82"/>
        <v>7481</v>
      </c>
      <c r="L384" s="965">
        <f t="shared" si="82"/>
        <v>685079244.22000015</v>
      </c>
      <c r="M384" s="963">
        <f t="shared" si="82"/>
        <v>0</v>
      </c>
      <c r="N384" s="963">
        <f t="shared" si="82"/>
        <v>1697958.78</v>
      </c>
      <c r="O384" s="963">
        <f t="shared" si="82"/>
        <v>683381285.44000018</v>
      </c>
      <c r="P384" s="963">
        <f t="shared" si="82"/>
        <v>0</v>
      </c>
      <c r="Q384" s="963">
        <f t="shared" si="82"/>
        <v>0</v>
      </c>
      <c r="R384" s="968" t="s">
        <v>40</v>
      </c>
      <c r="S384" s="968" t="s">
        <v>40</v>
      </c>
      <c r="U384" s="967"/>
      <c r="X384" s="967"/>
    </row>
    <row r="385" spans="1:21" s="966" customFormat="1" ht="39.6" customHeight="1">
      <c r="A385" s="1172" t="s">
        <v>2271</v>
      </c>
      <c r="B385" s="1173"/>
      <c r="C385" s="1173"/>
      <c r="D385" s="1173"/>
      <c r="E385" s="1173"/>
      <c r="F385" s="1173"/>
      <c r="G385" s="1174"/>
      <c r="H385" s="963">
        <f>SUM(H386:H402)</f>
        <v>45039.200000000004</v>
      </c>
      <c r="I385" s="963">
        <f t="shared" ref="I385:Q385" si="83">SUM(I386:I402)</f>
        <v>41321.100000000006</v>
      </c>
      <c r="J385" s="963">
        <f t="shared" si="83"/>
        <v>34992.699999999997</v>
      </c>
      <c r="K385" s="977">
        <f t="shared" si="83"/>
        <v>1801</v>
      </c>
      <c r="L385" s="965">
        <f t="shared" si="83"/>
        <v>166554860.20000002</v>
      </c>
      <c r="M385" s="963">
        <f t="shared" si="83"/>
        <v>0</v>
      </c>
      <c r="N385" s="963">
        <f t="shared" si="83"/>
        <v>0</v>
      </c>
      <c r="O385" s="963">
        <f t="shared" si="83"/>
        <v>166554860.20000002</v>
      </c>
      <c r="P385" s="963">
        <f t="shared" si="83"/>
        <v>0</v>
      </c>
      <c r="Q385" s="963">
        <f t="shared" si="83"/>
        <v>0</v>
      </c>
      <c r="R385" s="968" t="s">
        <v>40</v>
      </c>
      <c r="S385" s="968" t="s">
        <v>40</v>
      </c>
      <c r="U385" s="967"/>
    </row>
    <row r="386" spans="1:21" s="966" customFormat="1" ht="42" customHeight="1">
      <c r="A386" s="956">
        <v>1</v>
      </c>
      <c r="B386" s="972" t="s">
        <v>1922</v>
      </c>
      <c r="C386" s="957">
        <v>1978</v>
      </c>
      <c r="D386" s="957"/>
      <c r="E386" s="956" t="s">
        <v>219</v>
      </c>
      <c r="F386" s="957">
        <v>9</v>
      </c>
      <c r="G386" s="957">
        <v>1</v>
      </c>
      <c r="H386" s="973">
        <v>1912.7</v>
      </c>
      <c r="I386" s="973">
        <v>1893</v>
      </c>
      <c r="J386" s="973">
        <v>1765.4</v>
      </c>
      <c r="K386" s="957">
        <v>83</v>
      </c>
      <c r="L386" s="971">
        <v>14045704.83</v>
      </c>
      <c r="M386" s="974">
        <v>0</v>
      </c>
      <c r="N386" s="974">
        <v>0</v>
      </c>
      <c r="O386" s="975">
        <v>14045704.83</v>
      </c>
      <c r="P386" s="974">
        <v>0</v>
      </c>
      <c r="Q386" s="974">
        <v>0</v>
      </c>
      <c r="R386" s="956">
        <v>2025</v>
      </c>
      <c r="S386" s="1006" t="s">
        <v>1588</v>
      </c>
      <c r="U386" s="967"/>
    </row>
    <row r="387" spans="1:21" s="966" customFormat="1" ht="40.15" customHeight="1">
      <c r="A387" s="956">
        <v>2</v>
      </c>
      <c r="B387" s="972" t="s">
        <v>1923</v>
      </c>
      <c r="C387" s="957">
        <v>1979</v>
      </c>
      <c r="D387" s="957"/>
      <c r="E387" s="956" t="s">
        <v>219</v>
      </c>
      <c r="F387" s="957">
        <v>9</v>
      </c>
      <c r="G387" s="957">
        <v>1</v>
      </c>
      <c r="H387" s="973">
        <v>2130.9</v>
      </c>
      <c r="I387" s="973">
        <v>1912.3</v>
      </c>
      <c r="J387" s="973">
        <v>1843.5</v>
      </c>
      <c r="K387" s="957">
        <v>82</v>
      </c>
      <c r="L387" s="971">
        <v>16559001.150000002</v>
      </c>
      <c r="M387" s="974">
        <v>0</v>
      </c>
      <c r="N387" s="974">
        <v>0</v>
      </c>
      <c r="O387" s="975">
        <v>16559001.150000002</v>
      </c>
      <c r="P387" s="974">
        <v>0</v>
      </c>
      <c r="Q387" s="974">
        <v>0</v>
      </c>
      <c r="R387" s="956">
        <v>2025</v>
      </c>
      <c r="S387" s="1006" t="s">
        <v>1588</v>
      </c>
      <c r="U387" s="967"/>
    </row>
    <row r="388" spans="1:21" s="966" customFormat="1" ht="40.15" customHeight="1">
      <c r="A388" s="956">
        <v>3</v>
      </c>
      <c r="B388" s="972" t="s">
        <v>2011</v>
      </c>
      <c r="C388" s="957">
        <v>1990</v>
      </c>
      <c r="D388" s="957"/>
      <c r="E388" s="956" t="s">
        <v>219</v>
      </c>
      <c r="F388" s="957">
        <v>10</v>
      </c>
      <c r="G388" s="957">
        <v>3</v>
      </c>
      <c r="H388" s="973">
        <v>7874.6</v>
      </c>
      <c r="I388" s="973">
        <v>7119.3</v>
      </c>
      <c r="J388" s="973">
        <v>6937.9</v>
      </c>
      <c r="K388" s="957">
        <v>316</v>
      </c>
      <c r="L388" s="971">
        <v>27373618.789999999</v>
      </c>
      <c r="M388" s="974">
        <v>0</v>
      </c>
      <c r="N388" s="974">
        <v>0</v>
      </c>
      <c r="O388" s="975">
        <v>27373618.789999999</v>
      </c>
      <c r="P388" s="974">
        <v>0</v>
      </c>
      <c r="Q388" s="974">
        <v>0</v>
      </c>
      <c r="R388" s="956">
        <v>2025</v>
      </c>
      <c r="S388" s="1006" t="s">
        <v>1588</v>
      </c>
      <c r="U388" s="967"/>
    </row>
    <row r="389" spans="1:21" s="966" customFormat="1" ht="40.15" customHeight="1">
      <c r="A389" s="956">
        <v>4</v>
      </c>
      <c r="B389" s="972" t="s">
        <v>2012</v>
      </c>
      <c r="C389" s="957">
        <v>1989</v>
      </c>
      <c r="D389" s="957"/>
      <c r="E389" s="956" t="s">
        <v>218</v>
      </c>
      <c r="F389" s="957">
        <v>9</v>
      </c>
      <c r="G389" s="957">
        <v>1</v>
      </c>
      <c r="H389" s="973">
        <v>4798.8999999999996</v>
      </c>
      <c r="I389" s="973">
        <v>4112.6000000000004</v>
      </c>
      <c r="J389" s="973">
        <v>3139.1</v>
      </c>
      <c r="K389" s="957">
        <v>169</v>
      </c>
      <c r="L389" s="971">
        <v>4706272.7300000004</v>
      </c>
      <c r="M389" s="974">
        <v>0</v>
      </c>
      <c r="N389" s="974">
        <v>0</v>
      </c>
      <c r="O389" s="975">
        <v>4706272.7300000004</v>
      </c>
      <c r="P389" s="974">
        <v>0</v>
      </c>
      <c r="Q389" s="974">
        <v>0</v>
      </c>
      <c r="R389" s="956">
        <v>2025</v>
      </c>
      <c r="S389" s="1006" t="s">
        <v>1588</v>
      </c>
      <c r="U389" s="967"/>
    </row>
    <row r="390" spans="1:21" s="1015" customFormat="1" ht="42.6" customHeight="1">
      <c r="A390" s="956">
        <v>5</v>
      </c>
      <c r="B390" s="972" t="s">
        <v>1638</v>
      </c>
      <c r="C390" s="957">
        <v>1951</v>
      </c>
      <c r="D390" s="957"/>
      <c r="E390" s="956" t="s">
        <v>220</v>
      </c>
      <c r="F390" s="957">
        <v>2</v>
      </c>
      <c r="G390" s="957">
        <v>1</v>
      </c>
      <c r="H390" s="973">
        <v>559.9</v>
      </c>
      <c r="I390" s="973">
        <v>515.29999999999995</v>
      </c>
      <c r="J390" s="973">
        <v>515.29999999999995</v>
      </c>
      <c r="K390" s="957">
        <v>24</v>
      </c>
      <c r="L390" s="971">
        <v>6506317.5099999998</v>
      </c>
      <c r="M390" s="974">
        <v>0</v>
      </c>
      <c r="N390" s="974">
        <v>0</v>
      </c>
      <c r="O390" s="975">
        <v>6506317.5099999998</v>
      </c>
      <c r="P390" s="974">
        <v>0</v>
      </c>
      <c r="Q390" s="974">
        <v>0</v>
      </c>
      <c r="R390" s="956">
        <v>2025</v>
      </c>
      <c r="S390" s="1006" t="s">
        <v>1588</v>
      </c>
      <c r="U390" s="967"/>
    </row>
    <row r="391" spans="1:21" s="1015" customFormat="1" ht="42.6" customHeight="1">
      <c r="A391" s="956">
        <v>6</v>
      </c>
      <c r="B391" s="972" t="s">
        <v>1924</v>
      </c>
      <c r="C391" s="957">
        <v>1961</v>
      </c>
      <c r="D391" s="957"/>
      <c r="E391" s="956" t="s">
        <v>218</v>
      </c>
      <c r="F391" s="957">
        <v>5</v>
      </c>
      <c r="G391" s="957">
        <v>4</v>
      </c>
      <c r="H391" s="973">
        <v>3477.9</v>
      </c>
      <c r="I391" s="973">
        <v>3233.1</v>
      </c>
      <c r="J391" s="973">
        <v>2505</v>
      </c>
      <c r="K391" s="957">
        <v>132</v>
      </c>
      <c r="L391" s="971">
        <v>14877184.949999999</v>
      </c>
      <c r="M391" s="974">
        <v>0</v>
      </c>
      <c r="N391" s="974">
        <v>0</v>
      </c>
      <c r="O391" s="975">
        <v>14877184.949999999</v>
      </c>
      <c r="P391" s="974">
        <v>0</v>
      </c>
      <c r="Q391" s="974">
        <v>0</v>
      </c>
      <c r="R391" s="956">
        <v>2025</v>
      </c>
      <c r="S391" s="1006" t="s">
        <v>1588</v>
      </c>
      <c r="U391" s="967"/>
    </row>
    <row r="392" spans="1:21" s="1015" customFormat="1" ht="39" customHeight="1">
      <c r="A392" s="956">
        <v>7</v>
      </c>
      <c r="B392" s="972" t="s">
        <v>1639</v>
      </c>
      <c r="C392" s="957">
        <v>1950</v>
      </c>
      <c r="D392" s="957"/>
      <c r="E392" s="956" t="s">
        <v>218</v>
      </c>
      <c r="F392" s="957">
        <v>2</v>
      </c>
      <c r="G392" s="957">
        <v>1</v>
      </c>
      <c r="H392" s="973">
        <v>403.1</v>
      </c>
      <c r="I392" s="973">
        <v>371</v>
      </c>
      <c r="J392" s="973">
        <v>371</v>
      </c>
      <c r="K392" s="957">
        <v>16</v>
      </c>
      <c r="L392" s="971">
        <v>424555.56</v>
      </c>
      <c r="M392" s="974">
        <v>0</v>
      </c>
      <c r="N392" s="974">
        <v>0</v>
      </c>
      <c r="O392" s="975">
        <v>424555.56</v>
      </c>
      <c r="P392" s="974">
        <v>0</v>
      </c>
      <c r="Q392" s="974">
        <v>0</v>
      </c>
      <c r="R392" s="956">
        <v>2025</v>
      </c>
      <c r="S392" s="1006" t="s">
        <v>1588</v>
      </c>
      <c r="U392" s="967"/>
    </row>
    <row r="393" spans="1:21" s="966" customFormat="1" ht="37.9" customHeight="1">
      <c r="A393" s="956">
        <v>8</v>
      </c>
      <c r="B393" s="972" t="s">
        <v>2013</v>
      </c>
      <c r="C393" s="957">
        <v>1961</v>
      </c>
      <c r="D393" s="957"/>
      <c r="E393" s="956" t="s">
        <v>218</v>
      </c>
      <c r="F393" s="957">
        <v>5</v>
      </c>
      <c r="G393" s="957">
        <v>4</v>
      </c>
      <c r="H393" s="968">
        <v>3582.3</v>
      </c>
      <c r="I393" s="968">
        <v>3334</v>
      </c>
      <c r="J393" s="968">
        <v>2551.3000000000002</v>
      </c>
      <c r="K393" s="958">
        <v>117</v>
      </c>
      <c r="L393" s="971">
        <v>8740866.1400000006</v>
      </c>
      <c r="M393" s="1007">
        <v>0</v>
      </c>
      <c r="N393" s="1007">
        <v>0</v>
      </c>
      <c r="O393" s="1007">
        <v>8740866.1400000006</v>
      </c>
      <c r="P393" s="1007">
        <v>0</v>
      </c>
      <c r="Q393" s="1007">
        <v>0</v>
      </c>
      <c r="R393" s="956">
        <v>2025</v>
      </c>
      <c r="S393" s="1006" t="s">
        <v>1588</v>
      </c>
      <c r="U393" s="967"/>
    </row>
    <row r="394" spans="1:21" s="966" customFormat="1" ht="37.9" customHeight="1">
      <c r="A394" s="956">
        <v>9</v>
      </c>
      <c r="B394" s="972" t="s">
        <v>2014</v>
      </c>
      <c r="C394" s="957">
        <v>1967</v>
      </c>
      <c r="D394" s="957"/>
      <c r="E394" s="956" t="s">
        <v>218</v>
      </c>
      <c r="F394" s="957">
        <v>5</v>
      </c>
      <c r="G394" s="957">
        <v>2</v>
      </c>
      <c r="H394" s="968">
        <v>1958.2</v>
      </c>
      <c r="I394" s="968">
        <v>1805.9</v>
      </c>
      <c r="J394" s="968">
        <v>1765</v>
      </c>
      <c r="K394" s="958">
        <v>97</v>
      </c>
      <c r="L394" s="971">
        <v>2066589.97</v>
      </c>
      <c r="M394" s="1007">
        <v>0</v>
      </c>
      <c r="N394" s="1007">
        <v>0</v>
      </c>
      <c r="O394" s="1007">
        <v>2066589.97</v>
      </c>
      <c r="P394" s="1007">
        <v>0</v>
      </c>
      <c r="Q394" s="1007">
        <v>0</v>
      </c>
      <c r="R394" s="956">
        <v>2025</v>
      </c>
      <c r="S394" s="1006" t="s">
        <v>1588</v>
      </c>
      <c r="U394" s="967"/>
    </row>
    <row r="395" spans="1:21" s="966" customFormat="1" ht="37.9" customHeight="1">
      <c r="A395" s="956">
        <v>10</v>
      </c>
      <c r="B395" s="972" t="s">
        <v>2015</v>
      </c>
      <c r="C395" s="957">
        <v>1950</v>
      </c>
      <c r="D395" s="957"/>
      <c r="E395" s="956" t="s">
        <v>220</v>
      </c>
      <c r="F395" s="957">
        <v>2</v>
      </c>
      <c r="G395" s="957">
        <v>3</v>
      </c>
      <c r="H395" s="968">
        <v>1313.5</v>
      </c>
      <c r="I395" s="968">
        <v>1198.2</v>
      </c>
      <c r="J395" s="968">
        <v>985.2</v>
      </c>
      <c r="K395" s="958">
        <v>53</v>
      </c>
      <c r="L395" s="971">
        <v>1371051.24</v>
      </c>
      <c r="M395" s="1007">
        <v>0</v>
      </c>
      <c r="N395" s="1007">
        <v>0</v>
      </c>
      <c r="O395" s="1007">
        <v>1371051.24</v>
      </c>
      <c r="P395" s="1007">
        <v>0</v>
      </c>
      <c r="Q395" s="1007">
        <v>0</v>
      </c>
      <c r="R395" s="956">
        <v>2025</v>
      </c>
      <c r="S395" s="1006" t="s">
        <v>1588</v>
      </c>
      <c r="U395" s="967"/>
    </row>
    <row r="396" spans="1:21" s="966" customFormat="1" ht="37.9" customHeight="1">
      <c r="A396" s="956">
        <v>11</v>
      </c>
      <c r="B396" s="972" t="s">
        <v>2016</v>
      </c>
      <c r="C396" s="957">
        <v>1950</v>
      </c>
      <c r="D396" s="957"/>
      <c r="E396" s="956" t="s">
        <v>220</v>
      </c>
      <c r="F396" s="957">
        <v>2</v>
      </c>
      <c r="G396" s="957">
        <v>2</v>
      </c>
      <c r="H396" s="968">
        <v>777.7</v>
      </c>
      <c r="I396" s="968">
        <v>701.7</v>
      </c>
      <c r="J396" s="968">
        <v>666.2</v>
      </c>
      <c r="K396" s="958">
        <v>42</v>
      </c>
      <c r="L396" s="971">
        <v>2978210.49</v>
      </c>
      <c r="M396" s="1007">
        <v>0</v>
      </c>
      <c r="N396" s="1007">
        <v>0</v>
      </c>
      <c r="O396" s="1007">
        <v>2978210.49</v>
      </c>
      <c r="P396" s="1007">
        <v>0</v>
      </c>
      <c r="Q396" s="1007">
        <v>0</v>
      </c>
      <c r="R396" s="956">
        <v>2025</v>
      </c>
      <c r="S396" s="1006" t="s">
        <v>1588</v>
      </c>
      <c r="U396" s="967"/>
    </row>
    <row r="397" spans="1:21" s="966" customFormat="1" ht="45" customHeight="1">
      <c r="A397" s="956">
        <v>12</v>
      </c>
      <c r="B397" s="976" t="s">
        <v>2017</v>
      </c>
      <c r="C397" s="957">
        <v>1949</v>
      </c>
      <c r="D397" s="957"/>
      <c r="E397" s="956" t="s">
        <v>220</v>
      </c>
      <c r="F397" s="957">
        <v>2</v>
      </c>
      <c r="G397" s="957">
        <v>1</v>
      </c>
      <c r="H397" s="968">
        <v>394.4</v>
      </c>
      <c r="I397" s="968">
        <v>362.6</v>
      </c>
      <c r="J397" s="968">
        <v>309.39999999999998</v>
      </c>
      <c r="K397" s="958">
        <v>15</v>
      </c>
      <c r="L397" s="971">
        <v>3139828.39</v>
      </c>
      <c r="M397" s="1007">
        <v>0</v>
      </c>
      <c r="N397" s="1007">
        <v>0</v>
      </c>
      <c r="O397" s="1007">
        <v>3139828.39</v>
      </c>
      <c r="P397" s="1007">
        <v>0</v>
      </c>
      <c r="Q397" s="1007">
        <v>0</v>
      </c>
      <c r="R397" s="956">
        <v>2025</v>
      </c>
      <c r="S397" s="1006" t="s">
        <v>1588</v>
      </c>
      <c r="U397" s="967"/>
    </row>
    <row r="398" spans="1:21" s="966" customFormat="1" ht="37.9" customHeight="1">
      <c r="A398" s="956">
        <v>13</v>
      </c>
      <c r="B398" s="972" t="s">
        <v>2010</v>
      </c>
      <c r="C398" s="957">
        <v>1946</v>
      </c>
      <c r="D398" s="957"/>
      <c r="E398" s="956" t="s">
        <v>218</v>
      </c>
      <c r="F398" s="957">
        <v>3</v>
      </c>
      <c r="G398" s="957">
        <v>3</v>
      </c>
      <c r="H398" s="968">
        <v>2002.8</v>
      </c>
      <c r="I398" s="968">
        <v>1847.4</v>
      </c>
      <c r="J398" s="968">
        <v>1294.5999999999999</v>
      </c>
      <c r="K398" s="958">
        <v>34</v>
      </c>
      <c r="L398" s="971">
        <v>2124379.88</v>
      </c>
      <c r="M398" s="1007">
        <v>0</v>
      </c>
      <c r="N398" s="1007">
        <v>0</v>
      </c>
      <c r="O398" s="1007">
        <v>2124379.88</v>
      </c>
      <c r="P398" s="1007">
        <v>0</v>
      </c>
      <c r="Q398" s="1007">
        <v>0</v>
      </c>
      <c r="R398" s="956">
        <v>2025</v>
      </c>
      <c r="S398" s="1006" t="s">
        <v>1588</v>
      </c>
      <c r="U398" s="967"/>
    </row>
    <row r="399" spans="1:21" s="966" customFormat="1" ht="37.9" customHeight="1">
      <c r="A399" s="956">
        <v>14</v>
      </c>
      <c r="B399" s="972" t="s">
        <v>2018</v>
      </c>
      <c r="C399" s="957">
        <v>1969</v>
      </c>
      <c r="D399" s="957"/>
      <c r="E399" s="956" t="s">
        <v>219</v>
      </c>
      <c r="F399" s="957">
        <v>5</v>
      </c>
      <c r="G399" s="957">
        <v>3</v>
      </c>
      <c r="H399" s="968">
        <v>2785.4</v>
      </c>
      <c r="I399" s="968">
        <v>2579.1</v>
      </c>
      <c r="J399" s="968">
        <v>2363.5</v>
      </c>
      <c r="K399" s="958">
        <v>124</v>
      </c>
      <c r="L399" s="971">
        <v>17319264.649999999</v>
      </c>
      <c r="M399" s="1007">
        <v>0</v>
      </c>
      <c r="N399" s="1007">
        <v>0</v>
      </c>
      <c r="O399" s="1007">
        <v>17319264.649999999</v>
      </c>
      <c r="P399" s="1007">
        <v>0</v>
      </c>
      <c r="Q399" s="1007">
        <v>0</v>
      </c>
      <c r="R399" s="956">
        <v>2025</v>
      </c>
      <c r="S399" s="1006" t="s">
        <v>1588</v>
      </c>
      <c r="U399" s="967"/>
    </row>
    <row r="400" spans="1:21" s="966" customFormat="1" ht="37.9" customHeight="1">
      <c r="A400" s="956">
        <v>15</v>
      </c>
      <c r="B400" s="972" t="s">
        <v>1640</v>
      </c>
      <c r="C400" s="957">
        <v>1959</v>
      </c>
      <c r="D400" s="957"/>
      <c r="E400" s="956" t="s">
        <v>218</v>
      </c>
      <c r="F400" s="957">
        <v>4</v>
      </c>
      <c r="G400" s="957">
        <v>4</v>
      </c>
      <c r="H400" s="968">
        <v>3092.6</v>
      </c>
      <c r="I400" s="968">
        <v>2791.8</v>
      </c>
      <c r="J400" s="968">
        <v>1892.8</v>
      </c>
      <c r="K400" s="958">
        <v>87</v>
      </c>
      <c r="L400" s="971">
        <v>10364582.4</v>
      </c>
      <c r="M400" s="1007">
        <v>0</v>
      </c>
      <c r="N400" s="1007">
        <v>0</v>
      </c>
      <c r="O400" s="1007">
        <v>10364582.4</v>
      </c>
      <c r="P400" s="1007">
        <v>0</v>
      </c>
      <c r="Q400" s="1007">
        <v>0</v>
      </c>
      <c r="R400" s="956">
        <v>2025</v>
      </c>
      <c r="S400" s="1006" t="s">
        <v>1588</v>
      </c>
      <c r="U400" s="967"/>
    </row>
    <row r="401" spans="1:21" s="966" customFormat="1" ht="37.9" customHeight="1">
      <c r="A401" s="956">
        <v>16</v>
      </c>
      <c r="B401" s="972" t="s">
        <v>1641</v>
      </c>
      <c r="C401" s="957">
        <v>1965</v>
      </c>
      <c r="D401" s="957"/>
      <c r="E401" s="956" t="s">
        <v>218</v>
      </c>
      <c r="F401" s="957">
        <v>5</v>
      </c>
      <c r="G401" s="957">
        <v>4</v>
      </c>
      <c r="H401" s="968">
        <v>4172.8</v>
      </c>
      <c r="I401" s="968">
        <v>3906.9</v>
      </c>
      <c r="J401" s="968">
        <v>2823.9</v>
      </c>
      <c r="K401" s="958">
        <v>132</v>
      </c>
      <c r="L401" s="971">
        <v>3463963.03</v>
      </c>
      <c r="M401" s="1007">
        <v>0</v>
      </c>
      <c r="N401" s="1007">
        <v>0</v>
      </c>
      <c r="O401" s="1007">
        <v>3463963.03</v>
      </c>
      <c r="P401" s="1007">
        <v>0</v>
      </c>
      <c r="Q401" s="1007">
        <v>0</v>
      </c>
      <c r="R401" s="956">
        <v>2025</v>
      </c>
      <c r="S401" s="1006" t="s">
        <v>1588</v>
      </c>
      <c r="U401" s="967"/>
    </row>
    <row r="402" spans="1:21" s="966" customFormat="1" ht="37.9" customHeight="1">
      <c r="A402" s="956">
        <v>17</v>
      </c>
      <c r="B402" s="972" t="s">
        <v>2019</v>
      </c>
      <c r="C402" s="956" t="s">
        <v>2020</v>
      </c>
      <c r="D402" s="957"/>
      <c r="E402" s="956" t="s">
        <v>218</v>
      </c>
      <c r="F402" s="957">
        <v>5</v>
      </c>
      <c r="G402" s="957">
        <v>2</v>
      </c>
      <c r="H402" s="968">
        <v>3801.5</v>
      </c>
      <c r="I402" s="968">
        <v>3636.9</v>
      </c>
      <c r="J402" s="968">
        <v>3263.6</v>
      </c>
      <c r="K402" s="958">
        <v>278</v>
      </c>
      <c r="L402" s="971">
        <v>30493468.489999998</v>
      </c>
      <c r="M402" s="1007">
        <v>0</v>
      </c>
      <c r="N402" s="1007">
        <v>0</v>
      </c>
      <c r="O402" s="1007">
        <v>30493468.489999998</v>
      </c>
      <c r="P402" s="1007">
        <v>0</v>
      </c>
      <c r="Q402" s="1007">
        <v>0</v>
      </c>
      <c r="R402" s="956">
        <v>2025</v>
      </c>
      <c r="S402" s="956">
        <v>2025</v>
      </c>
      <c r="U402" s="967"/>
    </row>
    <row r="403" spans="1:21" s="1015" customFormat="1" ht="42" customHeight="1">
      <c r="A403" s="1172" t="s">
        <v>2053</v>
      </c>
      <c r="B403" s="1173"/>
      <c r="C403" s="1173"/>
      <c r="D403" s="1173"/>
      <c r="E403" s="1173"/>
      <c r="F403" s="1173"/>
      <c r="G403" s="1174"/>
      <c r="H403" s="963">
        <f>SUM(H404:H408)</f>
        <v>5412.6</v>
      </c>
      <c r="I403" s="963">
        <f t="shared" ref="I403:Q403" si="84">SUM(I404:I408)</f>
        <v>5354</v>
      </c>
      <c r="J403" s="963">
        <f t="shared" si="84"/>
        <v>4652.7299999999996</v>
      </c>
      <c r="K403" s="977">
        <f t="shared" si="84"/>
        <v>182</v>
      </c>
      <c r="L403" s="965">
        <f t="shared" si="84"/>
        <v>38996940.149999999</v>
      </c>
      <c r="M403" s="963">
        <f t="shared" si="84"/>
        <v>0</v>
      </c>
      <c r="N403" s="963">
        <f t="shared" si="84"/>
        <v>0</v>
      </c>
      <c r="O403" s="963">
        <f t="shared" si="84"/>
        <v>38996940.149999999</v>
      </c>
      <c r="P403" s="963">
        <f t="shared" si="84"/>
        <v>0</v>
      </c>
      <c r="Q403" s="963">
        <f t="shared" si="84"/>
        <v>0</v>
      </c>
      <c r="R403" s="968" t="s">
        <v>40</v>
      </c>
      <c r="S403" s="968" t="s">
        <v>40</v>
      </c>
      <c r="U403" s="967"/>
    </row>
    <row r="404" spans="1:21" s="1015" customFormat="1" ht="42" customHeight="1">
      <c r="A404" s="956">
        <v>18</v>
      </c>
      <c r="B404" s="976" t="s">
        <v>1607</v>
      </c>
      <c r="C404" s="956">
        <v>1958</v>
      </c>
      <c r="D404" s="956"/>
      <c r="E404" s="956" t="s">
        <v>218</v>
      </c>
      <c r="F404" s="956">
        <v>2</v>
      </c>
      <c r="G404" s="956">
        <v>2</v>
      </c>
      <c r="H404" s="963">
        <v>886.7</v>
      </c>
      <c r="I404" s="963">
        <v>886.7</v>
      </c>
      <c r="J404" s="963">
        <v>826.9</v>
      </c>
      <c r="K404" s="956">
        <v>36</v>
      </c>
      <c r="L404" s="965">
        <v>8192871.4000000004</v>
      </c>
      <c r="M404" s="968">
        <v>0</v>
      </c>
      <c r="N404" s="968">
        <v>0</v>
      </c>
      <c r="O404" s="963">
        <v>8192871.4000000004</v>
      </c>
      <c r="P404" s="968">
        <v>0</v>
      </c>
      <c r="Q404" s="968">
        <v>0</v>
      </c>
      <c r="R404" s="956">
        <v>2025</v>
      </c>
      <c r="S404" s="956">
        <v>2025</v>
      </c>
      <c r="U404" s="967"/>
    </row>
    <row r="405" spans="1:21" s="1015" customFormat="1" ht="42" customHeight="1">
      <c r="A405" s="956">
        <v>19</v>
      </c>
      <c r="B405" s="976" t="s">
        <v>1608</v>
      </c>
      <c r="C405" s="956">
        <v>1962</v>
      </c>
      <c r="D405" s="956"/>
      <c r="E405" s="956" t="s">
        <v>218</v>
      </c>
      <c r="F405" s="956">
        <v>3</v>
      </c>
      <c r="G405" s="956">
        <v>2</v>
      </c>
      <c r="H405" s="963">
        <v>996.7</v>
      </c>
      <c r="I405" s="963">
        <v>996.7</v>
      </c>
      <c r="J405" s="963">
        <v>974.9</v>
      </c>
      <c r="K405" s="956">
        <v>44</v>
      </c>
      <c r="L405" s="965">
        <v>4285565.57</v>
      </c>
      <c r="M405" s="968">
        <v>0</v>
      </c>
      <c r="N405" s="968">
        <v>0</v>
      </c>
      <c r="O405" s="963">
        <v>4285565.57</v>
      </c>
      <c r="P405" s="968">
        <v>0</v>
      </c>
      <c r="Q405" s="968">
        <v>0</v>
      </c>
      <c r="R405" s="956">
        <v>2025</v>
      </c>
      <c r="S405" s="956">
        <v>2025</v>
      </c>
      <c r="U405" s="967"/>
    </row>
    <row r="406" spans="1:21" s="1015" customFormat="1" ht="42" customHeight="1">
      <c r="A406" s="956">
        <v>20</v>
      </c>
      <c r="B406" s="976" t="s">
        <v>1609</v>
      </c>
      <c r="C406" s="956">
        <v>1955</v>
      </c>
      <c r="D406" s="956"/>
      <c r="E406" s="956" t="s">
        <v>218</v>
      </c>
      <c r="F406" s="956">
        <v>2</v>
      </c>
      <c r="G406" s="956">
        <v>2</v>
      </c>
      <c r="H406" s="963">
        <v>903.7</v>
      </c>
      <c r="I406" s="963">
        <v>845.1</v>
      </c>
      <c r="J406" s="963">
        <v>845.6</v>
      </c>
      <c r="K406" s="956">
        <v>29</v>
      </c>
      <c r="L406" s="965">
        <v>9478775.0600000005</v>
      </c>
      <c r="M406" s="968">
        <v>0</v>
      </c>
      <c r="N406" s="968">
        <v>0</v>
      </c>
      <c r="O406" s="963">
        <v>9478775.0600000005</v>
      </c>
      <c r="P406" s="968">
        <v>0</v>
      </c>
      <c r="Q406" s="968">
        <v>0</v>
      </c>
      <c r="R406" s="956">
        <v>2025</v>
      </c>
      <c r="S406" s="956">
        <v>2025</v>
      </c>
      <c r="U406" s="967"/>
    </row>
    <row r="407" spans="1:21" s="1015" customFormat="1" ht="42" customHeight="1">
      <c r="A407" s="956">
        <v>21</v>
      </c>
      <c r="B407" s="976" t="s">
        <v>2126</v>
      </c>
      <c r="C407" s="956">
        <v>1925</v>
      </c>
      <c r="D407" s="956"/>
      <c r="E407" s="956" t="s">
        <v>221</v>
      </c>
      <c r="F407" s="956">
        <v>2</v>
      </c>
      <c r="G407" s="956">
        <v>2</v>
      </c>
      <c r="H407" s="963">
        <v>639.4</v>
      </c>
      <c r="I407" s="963">
        <v>639.4</v>
      </c>
      <c r="J407" s="963">
        <v>670.93</v>
      </c>
      <c r="K407" s="956">
        <v>18</v>
      </c>
      <c r="L407" s="965">
        <v>5003188.3600000003</v>
      </c>
      <c r="M407" s="968">
        <v>0</v>
      </c>
      <c r="N407" s="968">
        <v>0</v>
      </c>
      <c r="O407" s="963">
        <v>5003188.3600000003</v>
      </c>
      <c r="P407" s="968">
        <v>0</v>
      </c>
      <c r="Q407" s="968">
        <v>0</v>
      </c>
      <c r="R407" s="956">
        <v>2025</v>
      </c>
      <c r="S407" s="956">
        <v>2025</v>
      </c>
      <c r="U407" s="967"/>
    </row>
    <row r="408" spans="1:21" s="1015" customFormat="1" ht="42" customHeight="1">
      <c r="A408" s="956">
        <v>22</v>
      </c>
      <c r="B408" s="970" t="s">
        <v>2127</v>
      </c>
      <c r="C408" s="956">
        <v>1957</v>
      </c>
      <c r="D408" s="956"/>
      <c r="E408" s="956" t="s">
        <v>218</v>
      </c>
      <c r="F408" s="956">
        <v>3</v>
      </c>
      <c r="G408" s="956">
        <v>3</v>
      </c>
      <c r="H408" s="963">
        <v>1986.1</v>
      </c>
      <c r="I408" s="963">
        <v>1986.1</v>
      </c>
      <c r="J408" s="963">
        <v>1334.4</v>
      </c>
      <c r="K408" s="956">
        <v>55</v>
      </c>
      <c r="L408" s="965">
        <v>12036539.76</v>
      </c>
      <c r="M408" s="968">
        <v>0</v>
      </c>
      <c r="N408" s="968">
        <v>0</v>
      </c>
      <c r="O408" s="963">
        <v>12036539.76</v>
      </c>
      <c r="P408" s="968">
        <v>0</v>
      </c>
      <c r="Q408" s="968">
        <v>0</v>
      </c>
      <c r="R408" s="956">
        <v>2025</v>
      </c>
      <c r="S408" s="956">
        <v>2025</v>
      </c>
      <c r="U408" s="967"/>
    </row>
    <row r="409" spans="1:21" s="1015" customFormat="1" ht="37.9" customHeight="1">
      <c r="A409" s="1172" t="s">
        <v>1186</v>
      </c>
      <c r="B409" s="1173"/>
      <c r="C409" s="1173"/>
      <c r="D409" s="1173"/>
      <c r="E409" s="1173"/>
      <c r="F409" s="1173"/>
      <c r="G409" s="1174"/>
      <c r="H409" s="968">
        <f>SUM(H410:H415)</f>
        <v>21754.300000000003</v>
      </c>
      <c r="I409" s="968">
        <f t="shared" ref="I409:Q409" si="85">SUM(I410:I415)</f>
        <v>21754.300000000003</v>
      </c>
      <c r="J409" s="968">
        <f t="shared" si="85"/>
        <v>16285.600000000002</v>
      </c>
      <c r="K409" s="958">
        <f t="shared" si="85"/>
        <v>703</v>
      </c>
      <c r="L409" s="971">
        <f t="shared" si="85"/>
        <v>50076551.32</v>
      </c>
      <c r="M409" s="968">
        <f t="shared" si="85"/>
        <v>0</v>
      </c>
      <c r="N409" s="968">
        <f t="shared" si="85"/>
        <v>0</v>
      </c>
      <c r="O409" s="968">
        <f t="shared" si="85"/>
        <v>50076551.32</v>
      </c>
      <c r="P409" s="968">
        <f t="shared" si="85"/>
        <v>0</v>
      </c>
      <c r="Q409" s="968">
        <f t="shared" si="85"/>
        <v>0</v>
      </c>
      <c r="R409" s="968" t="s">
        <v>40</v>
      </c>
      <c r="S409" s="968" t="s">
        <v>40</v>
      </c>
      <c r="U409" s="967"/>
    </row>
    <row r="410" spans="1:21" s="1015" customFormat="1" ht="37.9" customHeight="1">
      <c r="A410" s="956">
        <v>23</v>
      </c>
      <c r="B410" s="989" t="s">
        <v>1925</v>
      </c>
      <c r="C410" s="956">
        <v>1963</v>
      </c>
      <c r="D410" s="956"/>
      <c r="E410" s="956" t="s">
        <v>218</v>
      </c>
      <c r="F410" s="956">
        <v>4</v>
      </c>
      <c r="G410" s="956">
        <v>2</v>
      </c>
      <c r="H410" s="963">
        <v>1701</v>
      </c>
      <c r="I410" s="963">
        <v>1701</v>
      </c>
      <c r="J410" s="963">
        <v>745.9</v>
      </c>
      <c r="K410" s="956">
        <v>44</v>
      </c>
      <c r="L410" s="965">
        <v>5687265.04</v>
      </c>
      <c r="M410" s="968">
        <v>0</v>
      </c>
      <c r="N410" s="968">
        <v>0</v>
      </c>
      <c r="O410" s="963">
        <v>5687265.04</v>
      </c>
      <c r="P410" s="968">
        <v>0</v>
      </c>
      <c r="Q410" s="968">
        <v>0</v>
      </c>
      <c r="R410" s="956">
        <v>2025</v>
      </c>
      <c r="S410" s="956">
        <v>2025</v>
      </c>
      <c r="U410" s="967"/>
    </row>
    <row r="411" spans="1:21" s="1015" customFormat="1" ht="39.6" customHeight="1">
      <c r="A411" s="956">
        <v>24</v>
      </c>
      <c r="B411" s="989" t="s">
        <v>1926</v>
      </c>
      <c r="C411" s="956">
        <v>1976</v>
      </c>
      <c r="D411" s="956"/>
      <c r="E411" s="956" t="s">
        <v>220</v>
      </c>
      <c r="F411" s="956">
        <v>5</v>
      </c>
      <c r="G411" s="956">
        <v>4</v>
      </c>
      <c r="H411" s="963">
        <v>2982.8</v>
      </c>
      <c r="I411" s="963">
        <v>2982.8</v>
      </c>
      <c r="J411" s="963">
        <v>2456.6999999999998</v>
      </c>
      <c r="K411" s="956">
        <v>127</v>
      </c>
      <c r="L411" s="965">
        <v>5168837.16</v>
      </c>
      <c r="M411" s="968">
        <v>0</v>
      </c>
      <c r="N411" s="968">
        <v>0</v>
      </c>
      <c r="O411" s="963">
        <v>5168837.16</v>
      </c>
      <c r="P411" s="968">
        <v>0</v>
      </c>
      <c r="Q411" s="968">
        <v>0</v>
      </c>
      <c r="R411" s="956">
        <v>2025</v>
      </c>
      <c r="S411" s="956">
        <v>2025</v>
      </c>
      <c r="U411" s="967"/>
    </row>
    <row r="412" spans="1:21" s="1015" customFormat="1" ht="37.9" customHeight="1">
      <c r="A412" s="956">
        <v>25</v>
      </c>
      <c r="B412" s="989" t="s">
        <v>1927</v>
      </c>
      <c r="C412" s="956">
        <v>1924</v>
      </c>
      <c r="D412" s="956"/>
      <c r="E412" s="956" t="s">
        <v>218</v>
      </c>
      <c r="F412" s="956">
        <v>3</v>
      </c>
      <c r="G412" s="956">
        <v>3</v>
      </c>
      <c r="H412" s="963">
        <v>1505.6</v>
      </c>
      <c r="I412" s="963">
        <v>1505.6</v>
      </c>
      <c r="J412" s="963">
        <v>958.2</v>
      </c>
      <c r="K412" s="956">
        <v>26</v>
      </c>
      <c r="L412" s="965">
        <v>10983342.529999999</v>
      </c>
      <c r="M412" s="968">
        <v>0</v>
      </c>
      <c r="N412" s="968">
        <v>0</v>
      </c>
      <c r="O412" s="963">
        <v>10983342.529999999</v>
      </c>
      <c r="P412" s="968">
        <v>0</v>
      </c>
      <c r="Q412" s="968">
        <v>0</v>
      </c>
      <c r="R412" s="956">
        <v>2025</v>
      </c>
      <c r="S412" s="956">
        <v>2025</v>
      </c>
      <c r="U412" s="967"/>
    </row>
    <row r="413" spans="1:21" s="1015" customFormat="1" ht="37.9" customHeight="1">
      <c r="A413" s="956">
        <v>26</v>
      </c>
      <c r="B413" s="989" t="s">
        <v>1928</v>
      </c>
      <c r="C413" s="956">
        <v>1989</v>
      </c>
      <c r="D413" s="956"/>
      <c r="E413" s="956" t="s">
        <v>218</v>
      </c>
      <c r="F413" s="956">
        <v>5</v>
      </c>
      <c r="G413" s="956">
        <v>6</v>
      </c>
      <c r="H413" s="963">
        <v>6013.5</v>
      </c>
      <c r="I413" s="963">
        <v>6013.5</v>
      </c>
      <c r="J413" s="963">
        <v>4025.4</v>
      </c>
      <c r="K413" s="956">
        <v>187</v>
      </c>
      <c r="L413" s="965">
        <v>9698829.2699999996</v>
      </c>
      <c r="M413" s="968">
        <v>0</v>
      </c>
      <c r="N413" s="968">
        <v>0</v>
      </c>
      <c r="O413" s="963">
        <v>9698829.2699999996</v>
      </c>
      <c r="P413" s="968">
        <v>0</v>
      </c>
      <c r="Q413" s="968">
        <v>0</v>
      </c>
      <c r="R413" s="956">
        <v>2025</v>
      </c>
      <c r="S413" s="956">
        <v>2025</v>
      </c>
      <c r="U413" s="967"/>
    </row>
    <row r="414" spans="1:21" s="1015" customFormat="1" ht="37.9" customHeight="1">
      <c r="A414" s="956">
        <v>27</v>
      </c>
      <c r="B414" s="989" t="s">
        <v>1929</v>
      </c>
      <c r="C414" s="956">
        <v>1957</v>
      </c>
      <c r="D414" s="956"/>
      <c r="E414" s="956" t="s">
        <v>218</v>
      </c>
      <c r="F414" s="956">
        <v>2</v>
      </c>
      <c r="G414" s="956">
        <v>2</v>
      </c>
      <c r="H414" s="963">
        <v>626.70000000000005</v>
      </c>
      <c r="I414" s="963">
        <v>626.70000000000005</v>
      </c>
      <c r="J414" s="963">
        <v>470.1</v>
      </c>
      <c r="K414" s="956">
        <v>23</v>
      </c>
      <c r="L414" s="965">
        <v>5598997.0800000001</v>
      </c>
      <c r="M414" s="968">
        <v>0</v>
      </c>
      <c r="N414" s="968">
        <v>0</v>
      </c>
      <c r="O414" s="963">
        <v>5598997.0800000001</v>
      </c>
      <c r="P414" s="968">
        <v>0</v>
      </c>
      <c r="Q414" s="968">
        <v>0</v>
      </c>
      <c r="R414" s="956">
        <v>2025</v>
      </c>
      <c r="S414" s="956">
        <v>2025</v>
      </c>
      <c r="U414" s="967"/>
    </row>
    <row r="415" spans="1:21" s="1015" customFormat="1" ht="37.9" customHeight="1">
      <c r="A415" s="956">
        <v>28</v>
      </c>
      <c r="B415" s="989" t="s">
        <v>1930</v>
      </c>
      <c r="C415" s="956">
        <v>1992</v>
      </c>
      <c r="D415" s="956"/>
      <c r="E415" s="956" t="s">
        <v>219</v>
      </c>
      <c r="F415" s="956">
        <v>9</v>
      </c>
      <c r="G415" s="956">
        <v>4</v>
      </c>
      <c r="H415" s="963">
        <v>8924.7000000000007</v>
      </c>
      <c r="I415" s="963">
        <v>8924.7000000000007</v>
      </c>
      <c r="J415" s="963">
        <v>7629.3</v>
      </c>
      <c r="K415" s="956">
        <v>296</v>
      </c>
      <c r="L415" s="965">
        <v>12939280.24</v>
      </c>
      <c r="M415" s="968">
        <v>0</v>
      </c>
      <c r="N415" s="968">
        <v>0</v>
      </c>
      <c r="O415" s="963">
        <v>12939280.24</v>
      </c>
      <c r="P415" s="968">
        <v>0</v>
      </c>
      <c r="Q415" s="968">
        <v>0</v>
      </c>
      <c r="R415" s="956">
        <v>2025</v>
      </c>
      <c r="S415" s="956">
        <v>2025</v>
      </c>
      <c r="U415" s="967"/>
    </row>
    <row r="416" spans="1:21" s="1015" customFormat="1" ht="37.9" customHeight="1">
      <c r="A416" s="1163" t="s">
        <v>2272</v>
      </c>
      <c r="B416" s="1164"/>
      <c r="C416" s="1164"/>
      <c r="D416" s="1164"/>
      <c r="E416" s="1164"/>
      <c r="F416" s="1164"/>
      <c r="G416" s="1165"/>
      <c r="H416" s="968">
        <f t="shared" ref="H416:Q416" si="86">SUM(H417:H420)</f>
        <v>2279.2000000000003</v>
      </c>
      <c r="I416" s="968">
        <f t="shared" si="86"/>
        <v>1730.2</v>
      </c>
      <c r="J416" s="968">
        <f t="shared" si="86"/>
        <v>1730.2</v>
      </c>
      <c r="K416" s="958">
        <f t="shared" si="86"/>
        <v>69</v>
      </c>
      <c r="L416" s="971">
        <f t="shared" si="86"/>
        <v>17209242.719999999</v>
      </c>
      <c r="M416" s="968">
        <f t="shared" si="86"/>
        <v>0</v>
      </c>
      <c r="N416" s="968">
        <f t="shared" si="86"/>
        <v>0</v>
      </c>
      <c r="O416" s="968">
        <f t="shared" si="86"/>
        <v>17209242.719999999</v>
      </c>
      <c r="P416" s="968">
        <f t="shared" si="86"/>
        <v>0</v>
      </c>
      <c r="Q416" s="968">
        <f t="shared" si="86"/>
        <v>0</v>
      </c>
      <c r="R416" s="968" t="s">
        <v>40</v>
      </c>
      <c r="S416" s="968" t="s">
        <v>40</v>
      </c>
      <c r="U416" s="967"/>
    </row>
    <row r="417" spans="1:21" s="1015" customFormat="1" ht="40.15" customHeight="1">
      <c r="A417" s="957">
        <v>29</v>
      </c>
      <c r="B417" s="972" t="s">
        <v>1313</v>
      </c>
      <c r="C417" s="957">
        <v>1964</v>
      </c>
      <c r="D417" s="957"/>
      <c r="E417" s="956" t="s">
        <v>218</v>
      </c>
      <c r="F417" s="957">
        <v>3</v>
      </c>
      <c r="G417" s="957">
        <v>2</v>
      </c>
      <c r="H417" s="968">
        <v>946</v>
      </c>
      <c r="I417" s="968">
        <v>618.5</v>
      </c>
      <c r="J417" s="968">
        <v>618.5</v>
      </c>
      <c r="K417" s="959">
        <v>32</v>
      </c>
      <c r="L417" s="971">
        <v>4445495.3499999996</v>
      </c>
      <c r="M417" s="968">
        <v>0</v>
      </c>
      <c r="N417" s="968">
        <v>0</v>
      </c>
      <c r="O417" s="968">
        <f>L417</f>
        <v>4445495.3499999996</v>
      </c>
      <c r="P417" s="968">
        <v>0</v>
      </c>
      <c r="Q417" s="968">
        <v>0</v>
      </c>
      <c r="R417" s="964">
        <v>2025</v>
      </c>
      <c r="S417" s="964">
        <v>2025</v>
      </c>
      <c r="U417" s="967"/>
    </row>
    <row r="418" spans="1:21" s="1015" customFormat="1" ht="41.45" customHeight="1">
      <c r="A418" s="957">
        <v>30</v>
      </c>
      <c r="B418" s="972" t="s">
        <v>1339</v>
      </c>
      <c r="C418" s="957">
        <v>1994</v>
      </c>
      <c r="D418" s="957"/>
      <c r="E418" s="956" t="s">
        <v>218</v>
      </c>
      <c r="F418" s="957">
        <v>2</v>
      </c>
      <c r="G418" s="957">
        <v>1</v>
      </c>
      <c r="H418" s="968">
        <v>660.2</v>
      </c>
      <c r="I418" s="968">
        <v>559.1</v>
      </c>
      <c r="J418" s="968">
        <v>559.1</v>
      </c>
      <c r="K418" s="959">
        <v>13</v>
      </c>
      <c r="L418" s="971">
        <v>6018269.8799999999</v>
      </c>
      <c r="M418" s="968">
        <v>0</v>
      </c>
      <c r="N418" s="968">
        <v>0</v>
      </c>
      <c r="O418" s="968">
        <f>L418</f>
        <v>6018269.8799999999</v>
      </c>
      <c r="P418" s="968">
        <v>0</v>
      </c>
      <c r="Q418" s="968">
        <v>0</v>
      </c>
      <c r="R418" s="964">
        <v>2025</v>
      </c>
      <c r="S418" s="964">
        <v>2025</v>
      </c>
      <c r="U418" s="967"/>
    </row>
    <row r="419" spans="1:21" s="966" customFormat="1" ht="37.9" customHeight="1">
      <c r="A419" s="957">
        <v>31</v>
      </c>
      <c r="B419" s="972" t="s">
        <v>1314</v>
      </c>
      <c r="C419" s="957">
        <v>1956</v>
      </c>
      <c r="D419" s="957"/>
      <c r="E419" s="956" t="s">
        <v>218</v>
      </c>
      <c r="F419" s="957">
        <v>2</v>
      </c>
      <c r="G419" s="957">
        <v>1</v>
      </c>
      <c r="H419" s="968">
        <v>437.6</v>
      </c>
      <c r="I419" s="968">
        <v>395.4</v>
      </c>
      <c r="J419" s="968">
        <v>395.4</v>
      </c>
      <c r="K419" s="959">
        <v>12</v>
      </c>
      <c r="L419" s="971">
        <v>4012179.92</v>
      </c>
      <c r="M419" s="968">
        <v>0</v>
      </c>
      <c r="N419" s="968">
        <v>0</v>
      </c>
      <c r="O419" s="968">
        <f>L419</f>
        <v>4012179.92</v>
      </c>
      <c r="P419" s="968">
        <v>0</v>
      </c>
      <c r="Q419" s="968">
        <v>0</v>
      </c>
      <c r="R419" s="964">
        <v>2025</v>
      </c>
      <c r="S419" s="964">
        <v>2025</v>
      </c>
      <c r="U419" s="967"/>
    </row>
    <row r="420" spans="1:21" s="966" customFormat="1" ht="37.9" customHeight="1">
      <c r="A420" s="957">
        <v>32</v>
      </c>
      <c r="B420" s="972" t="s">
        <v>1315</v>
      </c>
      <c r="C420" s="957">
        <v>1917</v>
      </c>
      <c r="D420" s="957"/>
      <c r="E420" s="956" t="s">
        <v>218</v>
      </c>
      <c r="F420" s="957">
        <v>2</v>
      </c>
      <c r="G420" s="957">
        <v>1</v>
      </c>
      <c r="H420" s="968">
        <v>235.4</v>
      </c>
      <c r="I420" s="968">
        <v>157.19999999999999</v>
      </c>
      <c r="J420" s="968">
        <v>157.19999999999999</v>
      </c>
      <c r="K420" s="959">
        <v>12</v>
      </c>
      <c r="L420" s="971">
        <v>2733297.57</v>
      </c>
      <c r="M420" s="968">
        <v>0</v>
      </c>
      <c r="N420" s="968">
        <v>0</v>
      </c>
      <c r="O420" s="968">
        <f>L420</f>
        <v>2733297.57</v>
      </c>
      <c r="P420" s="968">
        <v>0</v>
      </c>
      <c r="Q420" s="968">
        <v>0</v>
      </c>
      <c r="R420" s="964">
        <v>2025</v>
      </c>
      <c r="S420" s="964">
        <v>2025</v>
      </c>
      <c r="U420" s="967"/>
    </row>
    <row r="421" spans="1:21" s="966" customFormat="1" ht="37.9" customHeight="1">
      <c r="A421" s="1163" t="s">
        <v>2054</v>
      </c>
      <c r="B421" s="1164"/>
      <c r="C421" s="1164"/>
      <c r="D421" s="1164"/>
      <c r="E421" s="1164"/>
      <c r="F421" s="1164"/>
      <c r="G421" s="1165"/>
      <c r="H421" s="968">
        <f t="shared" ref="H421:Q421" si="87">SUM(H422:H422)</f>
        <v>4596.5</v>
      </c>
      <c r="I421" s="968">
        <f t="shared" si="87"/>
        <v>4079</v>
      </c>
      <c r="J421" s="968">
        <f t="shared" si="87"/>
        <v>2810.2</v>
      </c>
      <c r="K421" s="958">
        <f t="shared" si="87"/>
        <v>209</v>
      </c>
      <c r="L421" s="971">
        <f t="shared" si="87"/>
        <v>14152964.67</v>
      </c>
      <c r="M421" s="968">
        <f t="shared" si="87"/>
        <v>0</v>
      </c>
      <c r="N421" s="968">
        <f t="shared" si="87"/>
        <v>0</v>
      </c>
      <c r="O421" s="968">
        <f t="shared" si="87"/>
        <v>14152964.67</v>
      </c>
      <c r="P421" s="968">
        <f t="shared" si="87"/>
        <v>0</v>
      </c>
      <c r="Q421" s="968">
        <f t="shared" si="87"/>
        <v>0</v>
      </c>
      <c r="R421" s="957" t="s">
        <v>40</v>
      </c>
      <c r="S421" s="968" t="s">
        <v>40</v>
      </c>
      <c r="U421" s="967"/>
    </row>
    <row r="422" spans="1:21" s="966" customFormat="1" ht="37.9" customHeight="1">
      <c r="A422" s="956">
        <v>33</v>
      </c>
      <c r="B422" s="986" t="s">
        <v>1460</v>
      </c>
      <c r="C422" s="956">
        <v>1963</v>
      </c>
      <c r="D422" s="986"/>
      <c r="E422" s="956" t="s">
        <v>218</v>
      </c>
      <c r="F422" s="956">
        <v>5</v>
      </c>
      <c r="G422" s="956">
        <v>5</v>
      </c>
      <c r="H422" s="963">
        <v>4596.5</v>
      </c>
      <c r="I422" s="963">
        <v>4079</v>
      </c>
      <c r="J422" s="963">
        <v>2810.2</v>
      </c>
      <c r="K422" s="964">
        <v>209</v>
      </c>
      <c r="L422" s="965">
        <v>14152964.67</v>
      </c>
      <c r="M422" s="968">
        <v>0</v>
      </c>
      <c r="N422" s="968">
        <v>0</v>
      </c>
      <c r="O422" s="963">
        <v>14152964.67</v>
      </c>
      <c r="P422" s="968">
        <v>0</v>
      </c>
      <c r="Q422" s="968">
        <v>0</v>
      </c>
      <c r="R422" s="964">
        <v>2025</v>
      </c>
      <c r="S422" s="964">
        <v>2025</v>
      </c>
      <c r="U422" s="967"/>
    </row>
    <row r="423" spans="1:21" s="966" customFormat="1" ht="37.9" customHeight="1">
      <c r="A423" s="1163" t="s">
        <v>2055</v>
      </c>
      <c r="B423" s="1164"/>
      <c r="C423" s="1164"/>
      <c r="D423" s="1164"/>
      <c r="E423" s="1164"/>
      <c r="F423" s="1164"/>
      <c r="G423" s="1165"/>
      <c r="H423" s="963">
        <f>H424</f>
        <v>2653.2</v>
      </c>
      <c r="I423" s="963">
        <f t="shared" ref="I423:Q423" si="88">I424</f>
        <v>2140.6</v>
      </c>
      <c r="J423" s="963">
        <f t="shared" si="88"/>
        <v>1996.6</v>
      </c>
      <c r="K423" s="964">
        <f t="shared" si="88"/>
        <v>70</v>
      </c>
      <c r="L423" s="965">
        <f t="shared" si="88"/>
        <v>2284818.39</v>
      </c>
      <c r="M423" s="963">
        <f t="shared" si="88"/>
        <v>0</v>
      </c>
      <c r="N423" s="963">
        <f t="shared" si="88"/>
        <v>0</v>
      </c>
      <c r="O423" s="963">
        <f t="shared" si="88"/>
        <v>2284818.39</v>
      </c>
      <c r="P423" s="963">
        <f t="shared" si="88"/>
        <v>0</v>
      </c>
      <c r="Q423" s="963">
        <f t="shared" si="88"/>
        <v>0</v>
      </c>
      <c r="R423" s="957" t="s">
        <v>40</v>
      </c>
      <c r="S423" s="968" t="s">
        <v>40</v>
      </c>
      <c r="U423" s="967"/>
    </row>
    <row r="424" spans="1:21" s="966" customFormat="1" ht="37.9" customHeight="1">
      <c r="A424" s="956">
        <v>34</v>
      </c>
      <c r="B424" s="986" t="s">
        <v>1382</v>
      </c>
      <c r="C424" s="956">
        <v>1966</v>
      </c>
      <c r="D424" s="986">
        <v>2012</v>
      </c>
      <c r="E424" s="956" t="s">
        <v>218</v>
      </c>
      <c r="F424" s="956">
        <v>4</v>
      </c>
      <c r="G424" s="956">
        <v>3</v>
      </c>
      <c r="H424" s="963">
        <v>2653.2</v>
      </c>
      <c r="I424" s="963">
        <v>2140.6</v>
      </c>
      <c r="J424" s="963">
        <v>1996.6</v>
      </c>
      <c r="K424" s="964">
        <v>70</v>
      </c>
      <c r="L424" s="965">
        <v>2284818.39</v>
      </c>
      <c r="M424" s="968">
        <v>0</v>
      </c>
      <c r="N424" s="968">
        <v>0</v>
      </c>
      <c r="O424" s="963">
        <v>2284818.39</v>
      </c>
      <c r="P424" s="968">
        <v>0</v>
      </c>
      <c r="Q424" s="968">
        <v>0</v>
      </c>
      <c r="R424" s="964">
        <v>2025</v>
      </c>
      <c r="S424" s="964">
        <v>2025</v>
      </c>
      <c r="U424" s="967"/>
    </row>
    <row r="425" spans="1:21" s="966" customFormat="1" ht="39" customHeight="1">
      <c r="A425" s="1163" t="s">
        <v>1053</v>
      </c>
      <c r="B425" s="1164"/>
      <c r="C425" s="1164"/>
      <c r="D425" s="1164"/>
      <c r="E425" s="1164"/>
      <c r="F425" s="1164"/>
      <c r="G425" s="1165"/>
      <c r="H425" s="968">
        <f>SUM(H426:H427)</f>
        <v>1699.2</v>
      </c>
      <c r="I425" s="968">
        <f t="shared" ref="I425:Q425" si="89">SUM(I426:I427)</f>
        <v>1559.8</v>
      </c>
      <c r="J425" s="968">
        <f t="shared" si="89"/>
        <v>1514.8</v>
      </c>
      <c r="K425" s="958">
        <f t="shared" si="89"/>
        <v>48</v>
      </c>
      <c r="L425" s="971">
        <f t="shared" si="89"/>
        <v>13399978.800000001</v>
      </c>
      <c r="M425" s="968">
        <f t="shared" si="89"/>
        <v>0</v>
      </c>
      <c r="N425" s="968">
        <f t="shared" si="89"/>
        <v>0</v>
      </c>
      <c r="O425" s="968">
        <f t="shared" si="89"/>
        <v>13399978.800000001</v>
      </c>
      <c r="P425" s="968">
        <f t="shared" si="89"/>
        <v>0</v>
      </c>
      <c r="Q425" s="968">
        <f t="shared" si="89"/>
        <v>0</v>
      </c>
      <c r="R425" s="957" t="s">
        <v>40</v>
      </c>
      <c r="S425" s="968" t="s">
        <v>40</v>
      </c>
      <c r="U425" s="967"/>
    </row>
    <row r="426" spans="1:21" s="966" customFormat="1" ht="43.15" customHeight="1">
      <c r="A426" s="956">
        <v>35</v>
      </c>
      <c r="B426" s="986" t="s">
        <v>1431</v>
      </c>
      <c r="C426" s="957">
        <v>1977</v>
      </c>
      <c r="D426" s="957"/>
      <c r="E426" s="956" t="s">
        <v>218</v>
      </c>
      <c r="F426" s="957">
        <v>2</v>
      </c>
      <c r="G426" s="957">
        <v>2</v>
      </c>
      <c r="H426" s="968">
        <v>839.6</v>
      </c>
      <c r="I426" s="968">
        <v>762.4</v>
      </c>
      <c r="J426" s="968">
        <v>717.4</v>
      </c>
      <c r="K426" s="959">
        <v>30</v>
      </c>
      <c r="L426" s="971">
        <v>6572251.6200000001</v>
      </c>
      <c r="M426" s="985">
        <v>0</v>
      </c>
      <c r="N426" s="985">
        <v>0</v>
      </c>
      <c r="O426" s="985">
        <v>6572251.6200000001</v>
      </c>
      <c r="P426" s="963">
        <v>0</v>
      </c>
      <c r="Q426" s="985">
        <v>0</v>
      </c>
      <c r="R426" s="964">
        <v>2025</v>
      </c>
      <c r="S426" s="964">
        <v>2025</v>
      </c>
      <c r="U426" s="967"/>
    </row>
    <row r="427" spans="1:21" s="966" customFormat="1" ht="42" customHeight="1">
      <c r="A427" s="956">
        <v>36</v>
      </c>
      <c r="B427" s="986" t="s">
        <v>1432</v>
      </c>
      <c r="C427" s="957">
        <v>1978</v>
      </c>
      <c r="D427" s="957"/>
      <c r="E427" s="956" t="s">
        <v>218</v>
      </c>
      <c r="F427" s="957">
        <v>2</v>
      </c>
      <c r="G427" s="957">
        <v>2</v>
      </c>
      <c r="H427" s="968">
        <v>859.6</v>
      </c>
      <c r="I427" s="968">
        <v>797.4</v>
      </c>
      <c r="J427" s="968">
        <v>797.4</v>
      </c>
      <c r="K427" s="959">
        <v>18</v>
      </c>
      <c r="L427" s="971">
        <v>6827727.1799999997</v>
      </c>
      <c r="M427" s="985">
        <v>0</v>
      </c>
      <c r="N427" s="985">
        <v>0</v>
      </c>
      <c r="O427" s="985">
        <f>L427</f>
        <v>6827727.1799999997</v>
      </c>
      <c r="P427" s="963">
        <v>0</v>
      </c>
      <c r="Q427" s="985">
        <v>0</v>
      </c>
      <c r="R427" s="964">
        <v>2025</v>
      </c>
      <c r="S427" s="964">
        <v>2025</v>
      </c>
      <c r="U427" s="967"/>
    </row>
    <row r="428" spans="1:21" s="966" customFormat="1" ht="37.9" customHeight="1">
      <c r="A428" s="1172" t="s">
        <v>1973</v>
      </c>
      <c r="B428" s="1173"/>
      <c r="C428" s="1173"/>
      <c r="D428" s="1173"/>
      <c r="E428" s="1173"/>
      <c r="F428" s="1173"/>
      <c r="G428" s="1174"/>
      <c r="H428" s="968">
        <f>SUM(H429:H430)</f>
        <v>4390.3999999999996</v>
      </c>
      <c r="I428" s="968">
        <f t="shared" ref="I428:Q428" si="90">SUM(I429:I430)</f>
        <v>4390.3999999999996</v>
      </c>
      <c r="J428" s="968">
        <f t="shared" si="90"/>
        <v>4165.2</v>
      </c>
      <c r="K428" s="958">
        <f t="shared" si="90"/>
        <v>147</v>
      </c>
      <c r="L428" s="971">
        <f t="shared" si="90"/>
        <v>26339961.170000002</v>
      </c>
      <c r="M428" s="968">
        <f t="shared" si="90"/>
        <v>0</v>
      </c>
      <c r="N428" s="968">
        <f t="shared" si="90"/>
        <v>0</v>
      </c>
      <c r="O428" s="968">
        <f t="shared" si="90"/>
        <v>26339961.170000002</v>
      </c>
      <c r="P428" s="968">
        <f t="shared" si="90"/>
        <v>0</v>
      </c>
      <c r="Q428" s="968">
        <f t="shared" si="90"/>
        <v>0</v>
      </c>
      <c r="R428" s="968" t="s">
        <v>40</v>
      </c>
      <c r="S428" s="973" t="s">
        <v>40</v>
      </c>
      <c r="U428" s="967"/>
    </row>
    <row r="429" spans="1:21" s="966" customFormat="1" ht="45" customHeight="1">
      <c r="A429" s="956">
        <v>37</v>
      </c>
      <c r="B429" s="986" t="s">
        <v>1356</v>
      </c>
      <c r="C429" s="957">
        <v>1965</v>
      </c>
      <c r="D429" s="998"/>
      <c r="E429" s="956" t="s">
        <v>218</v>
      </c>
      <c r="F429" s="957">
        <v>4</v>
      </c>
      <c r="G429" s="957">
        <v>4</v>
      </c>
      <c r="H429" s="968">
        <v>2533.8000000000002</v>
      </c>
      <c r="I429" s="968">
        <v>2533.8000000000002</v>
      </c>
      <c r="J429" s="968">
        <v>2461.9</v>
      </c>
      <c r="K429" s="959">
        <v>81</v>
      </c>
      <c r="L429" s="971">
        <v>12538062.25</v>
      </c>
      <c r="M429" s="968">
        <v>0</v>
      </c>
      <c r="N429" s="968">
        <v>0</v>
      </c>
      <c r="O429" s="968">
        <v>12538062.25</v>
      </c>
      <c r="P429" s="968">
        <v>0</v>
      </c>
      <c r="Q429" s="968">
        <v>0</v>
      </c>
      <c r="R429" s="964">
        <v>2025</v>
      </c>
      <c r="S429" s="964">
        <v>2025</v>
      </c>
      <c r="U429" s="967"/>
    </row>
    <row r="430" spans="1:21" s="966" customFormat="1" ht="37.9" customHeight="1">
      <c r="A430" s="956">
        <v>38</v>
      </c>
      <c r="B430" s="976" t="s">
        <v>1355</v>
      </c>
      <c r="C430" s="956">
        <v>1956</v>
      </c>
      <c r="D430" s="956"/>
      <c r="E430" s="956" t="s">
        <v>218</v>
      </c>
      <c r="F430" s="956">
        <v>3</v>
      </c>
      <c r="G430" s="956">
        <v>3</v>
      </c>
      <c r="H430" s="963">
        <v>1856.6</v>
      </c>
      <c r="I430" s="963">
        <v>1856.6</v>
      </c>
      <c r="J430" s="963">
        <v>1703.3</v>
      </c>
      <c r="K430" s="964">
        <v>66</v>
      </c>
      <c r="L430" s="971">
        <v>13801898.92</v>
      </c>
      <c r="M430" s="963">
        <v>0</v>
      </c>
      <c r="N430" s="963">
        <v>0</v>
      </c>
      <c r="O430" s="963">
        <v>13801898.92</v>
      </c>
      <c r="P430" s="963">
        <v>0</v>
      </c>
      <c r="Q430" s="963">
        <v>0</v>
      </c>
      <c r="R430" s="964">
        <v>2025</v>
      </c>
      <c r="S430" s="964">
        <v>2025</v>
      </c>
      <c r="U430" s="967"/>
    </row>
    <row r="431" spans="1:21" s="966" customFormat="1" ht="37.9" customHeight="1">
      <c r="A431" s="1172" t="s">
        <v>1174</v>
      </c>
      <c r="B431" s="1173"/>
      <c r="C431" s="1173"/>
      <c r="D431" s="1173"/>
      <c r="E431" s="1173"/>
      <c r="F431" s="1173"/>
      <c r="G431" s="1174"/>
      <c r="H431" s="963">
        <f>H432</f>
        <v>1844.3</v>
      </c>
      <c r="I431" s="963">
        <f t="shared" ref="I431:Q431" si="91">I432</f>
        <v>1284.2</v>
      </c>
      <c r="J431" s="963">
        <f t="shared" si="91"/>
        <v>832.2</v>
      </c>
      <c r="K431" s="963">
        <f t="shared" si="91"/>
        <v>42</v>
      </c>
      <c r="L431" s="965">
        <f t="shared" si="91"/>
        <v>1469580.17</v>
      </c>
      <c r="M431" s="963">
        <f t="shared" si="91"/>
        <v>0</v>
      </c>
      <c r="N431" s="963">
        <f t="shared" si="91"/>
        <v>0</v>
      </c>
      <c r="O431" s="963">
        <f t="shared" si="91"/>
        <v>1469580.17</v>
      </c>
      <c r="P431" s="963">
        <f t="shared" si="91"/>
        <v>0</v>
      </c>
      <c r="Q431" s="963">
        <f t="shared" si="91"/>
        <v>0</v>
      </c>
      <c r="R431" s="968" t="s">
        <v>40</v>
      </c>
      <c r="S431" s="973" t="s">
        <v>40</v>
      </c>
      <c r="U431" s="967"/>
    </row>
    <row r="432" spans="1:21" s="966" customFormat="1" ht="37.9" customHeight="1">
      <c r="A432" s="956">
        <v>39</v>
      </c>
      <c r="B432" s="986" t="s">
        <v>1301</v>
      </c>
      <c r="C432" s="956">
        <v>1981</v>
      </c>
      <c r="D432" s="986"/>
      <c r="E432" s="956" t="s">
        <v>218</v>
      </c>
      <c r="F432" s="956">
        <v>3</v>
      </c>
      <c r="G432" s="956">
        <v>3</v>
      </c>
      <c r="H432" s="963">
        <v>1844.3</v>
      </c>
      <c r="I432" s="963">
        <v>1284.2</v>
      </c>
      <c r="J432" s="963">
        <v>832.2</v>
      </c>
      <c r="K432" s="964">
        <v>42</v>
      </c>
      <c r="L432" s="965">
        <v>1469580.17</v>
      </c>
      <c r="M432" s="985">
        <v>0</v>
      </c>
      <c r="N432" s="985">
        <v>0</v>
      </c>
      <c r="O432" s="985">
        <f>L432</f>
        <v>1469580.17</v>
      </c>
      <c r="P432" s="963">
        <v>0</v>
      </c>
      <c r="Q432" s="985">
        <v>0</v>
      </c>
      <c r="R432" s="964">
        <v>2025</v>
      </c>
      <c r="S432" s="964">
        <v>2025</v>
      </c>
      <c r="U432" s="967"/>
    </row>
    <row r="433" spans="1:21" s="966" customFormat="1" ht="37.9" customHeight="1">
      <c r="A433" s="1163" t="s">
        <v>1978</v>
      </c>
      <c r="B433" s="1164"/>
      <c r="C433" s="1164"/>
      <c r="D433" s="1164"/>
      <c r="E433" s="1164"/>
      <c r="F433" s="1164"/>
      <c r="G433" s="1165"/>
      <c r="H433" s="968">
        <f>SUM(H434:H436)</f>
        <v>7976.6</v>
      </c>
      <c r="I433" s="968">
        <f t="shared" ref="I433:Q433" si="92">SUM(I434:I436)</f>
        <v>7976.6</v>
      </c>
      <c r="J433" s="968">
        <f t="shared" si="92"/>
        <v>7243.6</v>
      </c>
      <c r="K433" s="958">
        <f t="shared" si="92"/>
        <v>242</v>
      </c>
      <c r="L433" s="971">
        <f t="shared" si="92"/>
        <v>23904968.270000003</v>
      </c>
      <c r="M433" s="968">
        <f t="shared" si="92"/>
        <v>0</v>
      </c>
      <c r="N433" s="968">
        <f t="shared" si="92"/>
        <v>0</v>
      </c>
      <c r="O433" s="968">
        <f t="shared" si="92"/>
        <v>23904968.270000003</v>
      </c>
      <c r="P433" s="968">
        <f t="shared" si="92"/>
        <v>0</v>
      </c>
      <c r="Q433" s="968">
        <f t="shared" si="92"/>
        <v>0</v>
      </c>
      <c r="R433" s="968" t="s">
        <v>40</v>
      </c>
      <c r="S433" s="968" t="s">
        <v>40</v>
      </c>
      <c r="U433" s="967"/>
    </row>
    <row r="434" spans="1:21" s="966" customFormat="1" ht="37.9" customHeight="1">
      <c r="A434" s="956">
        <v>40</v>
      </c>
      <c r="B434" s="986" t="s">
        <v>1500</v>
      </c>
      <c r="C434" s="956">
        <v>1977</v>
      </c>
      <c r="D434" s="956"/>
      <c r="E434" s="956" t="s">
        <v>219</v>
      </c>
      <c r="F434" s="957">
        <v>5</v>
      </c>
      <c r="G434" s="957">
        <v>8</v>
      </c>
      <c r="H434" s="985">
        <v>6748.6</v>
      </c>
      <c r="I434" s="985">
        <v>6748.6</v>
      </c>
      <c r="J434" s="985">
        <v>6171.6</v>
      </c>
      <c r="K434" s="959">
        <v>202</v>
      </c>
      <c r="L434" s="971">
        <v>11150749.82</v>
      </c>
      <c r="M434" s="985">
        <v>0</v>
      </c>
      <c r="N434" s="985">
        <v>0</v>
      </c>
      <c r="O434" s="985">
        <f>L434</f>
        <v>11150749.82</v>
      </c>
      <c r="P434" s="963">
        <v>0</v>
      </c>
      <c r="Q434" s="985">
        <v>0</v>
      </c>
      <c r="R434" s="964">
        <v>2025</v>
      </c>
      <c r="S434" s="964">
        <v>2025</v>
      </c>
      <c r="U434" s="967"/>
    </row>
    <row r="435" spans="1:21" s="966" customFormat="1" ht="41.45" customHeight="1">
      <c r="A435" s="956">
        <v>41</v>
      </c>
      <c r="B435" s="986" t="s">
        <v>1501</v>
      </c>
      <c r="C435" s="956">
        <v>1928</v>
      </c>
      <c r="D435" s="956"/>
      <c r="E435" s="956" t="s">
        <v>221</v>
      </c>
      <c r="F435" s="957">
        <v>2</v>
      </c>
      <c r="G435" s="957">
        <v>2</v>
      </c>
      <c r="H435" s="985">
        <v>347.3</v>
      </c>
      <c r="I435" s="985">
        <v>347.3</v>
      </c>
      <c r="J435" s="985">
        <v>347.3</v>
      </c>
      <c r="K435" s="959">
        <v>17</v>
      </c>
      <c r="L435" s="971">
        <v>5276518.12</v>
      </c>
      <c r="M435" s="985">
        <v>0</v>
      </c>
      <c r="N435" s="985">
        <v>0</v>
      </c>
      <c r="O435" s="985">
        <v>5276518.12</v>
      </c>
      <c r="P435" s="963">
        <v>0</v>
      </c>
      <c r="Q435" s="985">
        <v>0</v>
      </c>
      <c r="R435" s="964">
        <v>2025</v>
      </c>
      <c r="S435" s="964">
        <v>2025</v>
      </c>
      <c r="U435" s="967"/>
    </row>
    <row r="436" spans="1:21" s="966" customFormat="1" ht="42.6" customHeight="1">
      <c r="A436" s="956">
        <v>42</v>
      </c>
      <c r="B436" s="986" t="s">
        <v>1502</v>
      </c>
      <c r="C436" s="956">
        <v>1936</v>
      </c>
      <c r="D436" s="956"/>
      <c r="E436" s="956" t="s">
        <v>218</v>
      </c>
      <c r="F436" s="957">
        <v>2</v>
      </c>
      <c r="G436" s="957">
        <v>1</v>
      </c>
      <c r="H436" s="985">
        <v>880.7</v>
      </c>
      <c r="I436" s="985">
        <v>880.7</v>
      </c>
      <c r="J436" s="985">
        <v>724.7</v>
      </c>
      <c r="K436" s="959">
        <v>23</v>
      </c>
      <c r="L436" s="971">
        <v>7477700.3300000001</v>
      </c>
      <c r="M436" s="985">
        <v>0</v>
      </c>
      <c r="N436" s="985">
        <v>0</v>
      </c>
      <c r="O436" s="985">
        <f>L436</f>
        <v>7477700.3300000001</v>
      </c>
      <c r="P436" s="963">
        <v>0</v>
      </c>
      <c r="Q436" s="985">
        <v>0</v>
      </c>
      <c r="R436" s="964">
        <v>2025</v>
      </c>
      <c r="S436" s="964">
        <v>2025</v>
      </c>
      <c r="U436" s="967"/>
    </row>
    <row r="437" spans="1:21" s="966" customFormat="1" ht="42.6" customHeight="1">
      <c r="A437" s="1163" t="s">
        <v>1052</v>
      </c>
      <c r="B437" s="1164"/>
      <c r="C437" s="1164"/>
      <c r="D437" s="1164"/>
      <c r="E437" s="1164"/>
      <c r="F437" s="1164"/>
      <c r="G437" s="1165"/>
      <c r="H437" s="968">
        <f>H438</f>
        <v>537.4</v>
      </c>
      <c r="I437" s="968">
        <f t="shared" ref="I437:Q437" si="93">I438</f>
        <v>537.4</v>
      </c>
      <c r="J437" s="968">
        <f t="shared" si="93"/>
        <v>537.4</v>
      </c>
      <c r="K437" s="968">
        <f t="shared" si="93"/>
        <v>12</v>
      </c>
      <c r="L437" s="971">
        <f t="shared" si="93"/>
        <v>4844707.25</v>
      </c>
      <c r="M437" s="968">
        <f t="shared" si="93"/>
        <v>0</v>
      </c>
      <c r="N437" s="968">
        <f t="shared" si="93"/>
        <v>0</v>
      </c>
      <c r="O437" s="968">
        <f t="shared" si="93"/>
        <v>4844707.25</v>
      </c>
      <c r="P437" s="968">
        <f t="shared" si="93"/>
        <v>0</v>
      </c>
      <c r="Q437" s="968">
        <f t="shared" si="93"/>
        <v>0</v>
      </c>
      <c r="R437" s="968" t="s">
        <v>40</v>
      </c>
      <c r="S437" s="968" t="s">
        <v>40</v>
      </c>
      <c r="U437" s="967"/>
    </row>
    <row r="438" spans="1:21" s="966" customFormat="1" ht="37.9" customHeight="1">
      <c r="A438" s="956">
        <v>43</v>
      </c>
      <c r="B438" s="986" t="s">
        <v>1483</v>
      </c>
      <c r="C438" s="956">
        <v>1970</v>
      </c>
      <c r="D438" s="957"/>
      <c r="E438" s="956" t="s">
        <v>218</v>
      </c>
      <c r="F438" s="957">
        <v>2</v>
      </c>
      <c r="G438" s="957">
        <v>2</v>
      </c>
      <c r="H438" s="968">
        <v>537.4</v>
      </c>
      <c r="I438" s="968">
        <v>537.4</v>
      </c>
      <c r="J438" s="968">
        <v>537.4</v>
      </c>
      <c r="K438" s="959">
        <v>12</v>
      </c>
      <c r="L438" s="971">
        <v>4844707.25</v>
      </c>
      <c r="M438" s="985">
        <v>0</v>
      </c>
      <c r="N438" s="985">
        <v>0</v>
      </c>
      <c r="O438" s="985">
        <v>4844707.25</v>
      </c>
      <c r="P438" s="963">
        <v>0</v>
      </c>
      <c r="Q438" s="985">
        <v>0</v>
      </c>
      <c r="R438" s="964">
        <v>2025</v>
      </c>
      <c r="S438" s="964">
        <v>2025</v>
      </c>
      <c r="U438" s="967"/>
    </row>
    <row r="439" spans="1:21" s="966" customFormat="1" ht="37.9" customHeight="1">
      <c r="A439" s="1163" t="s">
        <v>1236</v>
      </c>
      <c r="B439" s="1164"/>
      <c r="C439" s="1164"/>
      <c r="D439" s="1164"/>
      <c r="E439" s="1164"/>
      <c r="F439" s="1164"/>
      <c r="G439" s="1165"/>
      <c r="H439" s="968">
        <f>H440</f>
        <v>491.9</v>
      </c>
      <c r="I439" s="968">
        <f t="shared" ref="I439:Q439" si="94">I440</f>
        <v>450.3</v>
      </c>
      <c r="J439" s="968">
        <f t="shared" si="94"/>
        <v>450.3</v>
      </c>
      <c r="K439" s="968">
        <f t="shared" si="94"/>
        <v>11</v>
      </c>
      <c r="L439" s="971">
        <f t="shared" si="94"/>
        <v>4007164.7</v>
      </c>
      <c r="M439" s="968">
        <f t="shared" si="94"/>
        <v>0</v>
      </c>
      <c r="N439" s="968">
        <f t="shared" si="94"/>
        <v>0</v>
      </c>
      <c r="O439" s="968">
        <f t="shared" si="94"/>
        <v>4007164.7</v>
      </c>
      <c r="P439" s="968">
        <f t="shared" si="94"/>
        <v>0</v>
      </c>
      <c r="Q439" s="968">
        <f t="shared" si="94"/>
        <v>0</v>
      </c>
      <c r="R439" s="968" t="s">
        <v>40</v>
      </c>
      <c r="S439" s="968" t="s">
        <v>40</v>
      </c>
      <c r="U439" s="967"/>
    </row>
    <row r="440" spans="1:21" s="966" customFormat="1" ht="37.9" customHeight="1">
      <c r="A440" s="956">
        <v>44</v>
      </c>
      <c r="B440" s="986" t="s">
        <v>1341</v>
      </c>
      <c r="C440" s="957">
        <v>1960</v>
      </c>
      <c r="D440" s="1027"/>
      <c r="E440" s="956" t="s">
        <v>218</v>
      </c>
      <c r="F440" s="957">
        <v>2</v>
      </c>
      <c r="G440" s="957">
        <v>2</v>
      </c>
      <c r="H440" s="968">
        <v>491.9</v>
      </c>
      <c r="I440" s="968">
        <v>450.3</v>
      </c>
      <c r="J440" s="968">
        <v>450.3</v>
      </c>
      <c r="K440" s="959">
        <v>11</v>
      </c>
      <c r="L440" s="971">
        <v>4007164.7</v>
      </c>
      <c r="M440" s="985">
        <v>0</v>
      </c>
      <c r="N440" s="985">
        <v>0</v>
      </c>
      <c r="O440" s="985">
        <v>4007164.7</v>
      </c>
      <c r="P440" s="963">
        <v>0</v>
      </c>
      <c r="Q440" s="985">
        <v>0</v>
      </c>
      <c r="R440" s="964">
        <v>2025</v>
      </c>
      <c r="S440" s="964">
        <v>2025</v>
      </c>
      <c r="U440" s="967"/>
    </row>
    <row r="441" spans="1:21" s="966" customFormat="1" ht="40.15" customHeight="1">
      <c r="A441" s="1163" t="s">
        <v>1056</v>
      </c>
      <c r="B441" s="1164"/>
      <c r="C441" s="1164"/>
      <c r="D441" s="1164"/>
      <c r="E441" s="1164"/>
      <c r="F441" s="1164"/>
      <c r="G441" s="1165"/>
      <c r="H441" s="968">
        <f>H442</f>
        <v>571.79999999999995</v>
      </c>
      <c r="I441" s="968">
        <f t="shared" ref="I441:Q441" si="95">I442</f>
        <v>571.79999999999995</v>
      </c>
      <c r="J441" s="968">
        <f t="shared" si="95"/>
        <v>521.4</v>
      </c>
      <c r="K441" s="968">
        <f t="shared" si="95"/>
        <v>14</v>
      </c>
      <c r="L441" s="971">
        <f t="shared" si="95"/>
        <v>4714311.41</v>
      </c>
      <c r="M441" s="968">
        <f t="shared" si="95"/>
        <v>0</v>
      </c>
      <c r="N441" s="968">
        <f t="shared" si="95"/>
        <v>0</v>
      </c>
      <c r="O441" s="968">
        <f t="shared" si="95"/>
        <v>4714311.41</v>
      </c>
      <c r="P441" s="968">
        <f t="shared" si="95"/>
        <v>0</v>
      </c>
      <c r="Q441" s="968">
        <f t="shared" si="95"/>
        <v>0</v>
      </c>
      <c r="R441" s="968" t="s">
        <v>40</v>
      </c>
      <c r="S441" s="968" t="s">
        <v>40</v>
      </c>
      <c r="U441" s="967"/>
    </row>
    <row r="442" spans="1:21" s="966" customFormat="1" ht="40.15" customHeight="1">
      <c r="A442" s="956">
        <v>45</v>
      </c>
      <c r="B442" s="976" t="s">
        <v>1491</v>
      </c>
      <c r="C442" s="957">
        <v>1974</v>
      </c>
      <c r="D442" s="957"/>
      <c r="E442" s="956" t="s">
        <v>218</v>
      </c>
      <c r="F442" s="957">
        <v>2</v>
      </c>
      <c r="G442" s="957">
        <v>2</v>
      </c>
      <c r="H442" s="968">
        <v>571.79999999999995</v>
      </c>
      <c r="I442" s="968">
        <v>571.79999999999995</v>
      </c>
      <c r="J442" s="968">
        <v>521.4</v>
      </c>
      <c r="K442" s="959">
        <v>14</v>
      </c>
      <c r="L442" s="971">
        <v>4714311.41</v>
      </c>
      <c r="M442" s="968">
        <v>0</v>
      </c>
      <c r="N442" s="968">
        <v>0</v>
      </c>
      <c r="O442" s="968">
        <f>L442</f>
        <v>4714311.41</v>
      </c>
      <c r="P442" s="968">
        <v>0</v>
      </c>
      <c r="Q442" s="968">
        <v>0</v>
      </c>
      <c r="R442" s="956">
        <v>2025</v>
      </c>
      <c r="S442" s="956">
        <v>2025</v>
      </c>
      <c r="U442" s="967"/>
    </row>
    <row r="443" spans="1:21" s="966" customFormat="1" ht="37.9" customHeight="1">
      <c r="A443" s="1163" t="s">
        <v>1979</v>
      </c>
      <c r="B443" s="1164"/>
      <c r="C443" s="1164"/>
      <c r="D443" s="1164"/>
      <c r="E443" s="1164"/>
      <c r="F443" s="1164"/>
      <c r="G443" s="1165"/>
      <c r="H443" s="968">
        <f>SUM(H444:H450)</f>
        <v>8271.6</v>
      </c>
      <c r="I443" s="968">
        <f t="shared" ref="I443:Q443" si="96">SUM(I444:I450)</f>
        <v>7592.9000000000005</v>
      </c>
      <c r="J443" s="968">
        <f t="shared" si="96"/>
        <v>5237.1000000000004</v>
      </c>
      <c r="K443" s="958">
        <f t="shared" si="96"/>
        <v>430</v>
      </c>
      <c r="L443" s="971">
        <f t="shared" si="96"/>
        <v>33915873.759999998</v>
      </c>
      <c r="M443" s="968">
        <f t="shared" si="96"/>
        <v>0</v>
      </c>
      <c r="N443" s="968">
        <f t="shared" si="96"/>
        <v>0</v>
      </c>
      <c r="O443" s="968">
        <f t="shared" si="96"/>
        <v>33915873.759999998</v>
      </c>
      <c r="P443" s="968">
        <f t="shared" si="96"/>
        <v>0</v>
      </c>
      <c r="Q443" s="968">
        <f t="shared" si="96"/>
        <v>0</v>
      </c>
      <c r="R443" s="968" t="s">
        <v>40</v>
      </c>
      <c r="S443" s="968" t="s">
        <v>40</v>
      </c>
      <c r="U443" s="967"/>
    </row>
    <row r="444" spans="1:21" s="966" customFormat="1" ht="37.9" customHeight="1">
      <c r="A444" s="956">
        <v>46</v>
      </c>
      <c r="B444" s="984" t="s">
        <v>1446</v>
      </c>
      <c r="C444" s="984">
        <v>1985</v>
      </c>
      <c r="D444" s="984"/>
      <c r="E444" s="956" t="s">
        <v>218</v>
      </c>
      <c r="F444" s="984">
        <v>5</v>
      </c>
      <c r="G444" s="984">
        <v>2</v>
      </c>
      <c r="H444" s="968">
        <v>1603.4</v>
      </c>
      <c r="I444" s="968">
        <v>1603.4</v>
      </c>
      <c r="J444" s="968">
        <v>1265.5</v>
      </c>
      <c r="K444" s="959">
        <v>89</v>
      </c>
      <c r="L444" s="971">
        <v>5499014.8499999996</v>
      </c>
      <c r="M444" s="968">
        <v>0</v>
      </c>
      <c r="N444" s="968">
        <v>0</v>
      </c>
      <c r="O444" s="968">
        <v>5499014.8499999996</v>
      </c>
      <c r="P444" s="968">
        <v>0</v>
      </c>
      <c r="Q444" s="968">
        <v>0</v>
      </c>
      <c r="R444" s="964">
        <v>2025</v>
      </c>
      <c r="S444" s="964">
        <v>2025</v>
      </c>
      <c r="U444" s="967"/>
    </row>
    <row r="445" spans="1:21" s="966" customFormat="1" ht="36" customHeight="1">
      <c r="A445" s="956">
        <v>47</v>
      </c>
      <c r="B445" s="984" t="s">
        <v>1770</v>
      </c>
      <c r="C445" s="957">
        <v>1976</v>
      </c>
      <c r="D445" s="957"/>
      <c r="E445" s="956" t="s">
        <v>218</v>
      </c>
      <c r="F445" s="957">
        <v>2</v>
      </c>
      <c r="G445" s="957">
        <v>3</v>
      </c>
      <c r="H445" s="968">
        <v>853</v>
      </c>
      <c r="I445" s="968">
        <v>853</v>
      </c>
      <c r="J445" s="968">
        <v>492.8</v>
      </c>
      <c r="K445" s="959">
        <v>36</v>
      </c>
      <c r="L445" s="971">
        <v>7723446.3499999996</v>
      </c>
      <c r="M445" s="985">
        <v>0</v>
      </c>
      <c r="N445" s="985">
        <v>0</v>
      </c>
      <c r="O445" s="985">
        <f>L445</f>
        <v>7723446.3499999996</v>
      </c>
      <c r="P445" s="963">
        <v>0</v>
      </c>
      <c r="Q445" s="985">
        <v>0</v>
      </c>
      <c r="R445" s="964">
        <v>2025</v>
      </c>
      <c r="S445" s="964">
        <v>2025</v>
      </c>
      <c r="U445" s="967"/>
    </row>
    <row r="446" spans="1:21" s="966" customFormat="1" ht="44.45" customHeight="1">
      <c r="A446" s="956">
        <v>48</v>
      </c>
      <c r="B446" s="986" t="s">
        <v>1337</v>
      </c>
      <c r="C446" s="957">
        <v>1970</v>
      </c>
      <c r="D446" s="957"/>
      <c r="E446" s="956" t="s">
        <v>218</v>
      </c>
      <c r="F446" s="957">
        <v>2</v>
      </c>
      <c r="G446" s="957">
        <v>2</v>
      </c>
      <c r="H446" s="968">
        <v>545</v>
      </c>
      <c r="I446" s="968">
        <v>545</v>
      </c>
      <c r="J446" s="968">
        <v>545</v>
      </c>
      <c r="K446" s="959">
        <v>36</v>
      </c>
      <c r="L446" s="971">
        <v>2206919.2400000002</v>
      </c>
      <c r="M446" s="985">
        <v>0</v>
      </c>
      <c r="N446" s="985">
        <v>0</v>
      </c>
      <c r="O446" s="985">
        <v>2206919.2400000002</v>
      </c>
      <c r="P446" s="963">
        <v>0</v>
      </c>
      <c r="Q446" s="985">
        <v>0</v>
      </c>
      <c r="R446" s="964">
        <v>2025</v>
      </c>
      <c r="S446" s="964">
        <v>2025</v>
      </c>
      <c r="U446" s="967"/>
    </row>
    <row r="447" spans="1:21" s="966" customFormat="1" ht="44.45" customHeight="1">
      <c r="A447" s="956">
        <v>49</v>
      </c>
      <c r="B447" s="986" t="s">
        <v>2032</v>
      </c>
      <c r="C447" s="957">
        <v>1914</v>
      </c>
      <c r="D447" s="957"/>
      <c r="E447" s="956" t="s">
        <v>218</v>
      </c>
      <c r="F447" s="957">
        <v>2</v>
      </c>
      <c r="G447" s="957">
        <v>2</v>
      </c>
      <c r="H447" s="968">
        <v>337.2</v>
      </c>
      <c r="I447" s="968">
        <v>267.2</v>
      </c>
      <c r="J447" s="968">
        <v>267.2</v>
      </c>
      <c r="K447" s="959">
        <v>13</v>
      </c>
      <c r="L447" s="971">
        <v>3071323.73</v>
      </c>
      <c r="M447" s="985">
        <v>0</v>
      </c>
      <c r="N447" s="985">
        <v>0</v>
      </c>
      <c r="O447" s="985">
        <v>3071323.73</v>
      </c>
      <c r="P447" s="963">
        <v>0</v>
      </c>
      <c r="Q447" s="985">
        <v>0</v>
      </c>
      <c r="R447" s="964">
        <v>2025</v>
      </c>
      <c r="S447" s="964">
        <v>2025</v>
      </c>
      <c r="U447" s="967"/>
    </row>
    <row r="448" spans="1:21" s="966" customFormat="1" ht="37.9" customHeight="1">
      <c r="A448" s="956">
        <v>50</v>
      </c>
      <c r="B448" s="986" t="s">
        <v>1558</v>
      </c>
      <c r="C448" s="957">
        <v>1980</v>
      </c>
      <c r="D448" s="957"/>
      <c r="E448" s="956" t="s">
        <v>218</v>
      </c>
      <c r="F448" s="957">
        <v>5</v>
      </c>
      <c r="G448" s="957">
        <v>4</v>
      </c>
      <c r="H448" s="968">
        <v>3407.8</v>
      </c>
      <c r="I448" s="968">
        <v>3082.5</v>
      </c>
      <c r="J448" s="968">
        <v>2054</v>
      </c>
      <c r="K448" s="959">
        <v>167</v>
      </c>
      <c r="L448" s="971">
        <v>6046377.9299999997</v>
      </c>
      <c r="M448" s="985">
        <v>0</v>
      </c>
      <c r="N448" s="985">
        <v>0</v>
      </c>
      <c r="O448" s="985">
        <v>6046377.9299999997</v>
      </c>
      <c r="P448" s="963">
        <v>0</v>
      </c>
      <c r="Q448" s="985">
        <v>0</v>
      </c>
      <c r="R448" s="964">
        <v>2025</v>
      </c>
      <c r="S448" s="964">
        <v>2025</v>
      </c>
      <c r="U448" s="967"/>
    </row>
    <row r="449" spans="1:21" s="966" customFormat="1" ht="37.9" customHeight="1">
      <c r="A449" s="956">
        <v>51</v>
      </c>
      <c r="B449" s="986" t="s">
        <v>1792</v>
      </c>
      <c r="C449" s="957">
        <v>1984</v>
      </c>
      <c r="D449" s="957"/>
      <c r="E449" s="956" t="s">
        <v>219</v>
      </c>
      <c r="F449" s="957">
        <v>2</v>
      </c>
      <c r="G449" s="957">
        <v>3</v>
      </c>
      <c r="H449" s="968">
        <v>862.5</v>
      </c>
      <c r="I449" s="968">
        <v>579.1</v>
      </c>
      <c r="J449" s="968">
        <v>500.6</v>
      </c>
      <c r="K449" s="959">
        <v>54</v>
      </c>
      <c r="L449" s="971">
        <v>6164112.6200000001</v>
      </c>
      <c r="M449" s="985">
        <v>0</v>
      </c>
      <c r="N449" s="985">
        <v>0</v>
      </c>
      <c r="O449" s="985">
        <v>6164112.6200000001</v>
      </c>
      <c r="P449" s="963">
        <v>0</v>
      </c>
      <c r="Q449" s="985">
        <v>0</v>
      </c>
      <c r="R449" s="964">
        <v>2025</v>
      </c>
      <c r="S449" s="964">
        <v>2025</v>
      </c>
      <c r="U449" s="967"/>
    </row>
    <row r="450" spans="1:21" s="966" customFormat="1" ht="37.9" customHeight="1">
      <c r="A450" s="956">
        <v>52</v>
      </c>
      <c r="B450" s="986" t="s">
        <v>2049</v>
      </c>
      <c r="C450" s="957">
        <v>1972</v>
      </c>
      <c r="D450" s="957"/>
      <c r="E450" s="956" t="s">
        <v>218</v>
      </c>
      <c r="F450" s="957">
        <v>2</v>
      </c>
      <c r="G450" s="957">
        <v>1</v>
      </c>
      <c r="H450" s="968">
        <v>662.7</v>
      </c>
      <c r="I450" s="968">
        <v>662.7</v>
      </c>
      <c r="J450" s="968">
        <v>112</v>
      </c>
      <c r="K450" s="959">
        <v>35</v>
      </c>
      <c r="L450" s="971">
        <v>3204679.04</v>
      </c>
      <c r="M450" s="985">
        <v>0</v>
      </c>
      <c r="N450" s="985">
        <v>0</v>
      </c>
      <c r="O450" s="985">
        <v>3204679.04</v>
      </c>
      <c r="P450" s="963">
        <v>0</v>
      </c>
      <c r="Q450" s="985">
        <v>0</v>
      </c>
      <c r="R450" s="964">
        <v>2025</v>
      </c>
      <c r="S450" s="964">
        <v>2025</v>
      </c>
      <c r="U450" s="967"/>
    </row>
    <row r="451" spans="1:21" s="966" customFormat="1" ht="42.6" customHeight="1">
      <c r="A451" s="1163" t="s">
        <v>1974</v>
      </c>
      <c r="B451" s="1164"/>
      <c r="C451" s="1164"/>
      <c r="D451" s="1164"/>
      <c r="E451" s="1164"/>
      <c r="F451" s="1164"/>
      <c r="G451" s="1165"/>
      <c r="H451" s="968">
        <f>SUM(H452:H453)</f>
        <v>8139.4</v>
      </c>
      <c r="I451" s="968">
        <f t="shared" ref="I451:Q451" si="97">SUM(I452:I453)</f>
        <v>7283.2</v>
      </c>
      <c r="J451" s="968">
        <f t="shared" si="97"/>
        <v>6554.85</v>
      </c>
      <c r="K451" s="958">
        <f t="shared" si="97"/>
        <v>260</v>
      </c>
      <c r="L451" s="971">
        <f t="shared" si="97"/>
        <v>12776900.84</v>
      </c>
      <c r="M451" s="968">
        <f t="shared" si="97"/>
        <v>0</v>
      </c>
      <c r="N451" s="968">
        <f t="shared" si="97"/>
        <v>0</v>
      </c>
      <c r="O451" s="968">
        <f t="shared" si="97"/>
        <v>12776900.84</v>
      </c>
      <c r="P451" s="968">
        <f t="shared" si="97"/>
        <v>0</v>
      </c>
      <c r="Q451" s="968">
        <f t="shared" si="97"/>
        <v>0</v>
      </c>
      <c r="R451" s="968" t="s">
        <v>40</v>
      </c>
      <c r="S451" s="968" t="s">
        <v>40</v>
      </c>
      <c r="U451" s="967"/>
    </row>
    <row r="452" spans="1:21" s="966" customFormat="1" ht="43.9" customHeight="1">
      <c r="A452" s="956">
        <v>53</v>
      </c>
      <c r="B452" s="1020" t="s">
        <v>1372</v>
      </c>
      <c r="C452" s="1017">
        <v>1988</v>
      </c>
      <c r="D452" s="1016"/>
      <c r="E452" s="956" t="s">
        <v>218</v>
      </c>
      <c r="F452" s="1017">
        <v>5</v>
      </c>
      <c r="G452" s="1017">
        <v>6</v>
      </c>
      <c r="H452" s="1017">
        <v>5279.4</v>
      </c>
      <c r="I452" s="1021">
        <v>4721.5</v>
      </c>
      <c r="J452" s="1021">
        <v>4249.3500000000004</v>
      </c>
      <c r="K452" s="1022">
        <v>179</v>
      </c>
      <c r="L452" s="1023">
        <v>8130755.0800000001</v>
      </c>
      <c r="M452" s="963">
        <v>0</v>
      </c>
      <c r="N452" s="963">
        <v>0</v>
      </c>
      <c r="O452" s="1028">
        <v>8130755.0800000001</v>
      </c>
      <c r="P452" s="963">
        <v>0</v>
      </c>
      <c r="Q452" s="963">
        <v>0</v>
      </c>
      <c r="R452" s="956">
        <v>2025</v>
      </c>
      <c r="S452" s="956">
        <v>2025</v>
      </c>
      <c r="U452" s="967"/>
    </row>
    <row r="453" spans="1:21" s="966" customFormat="1" ht="43.9" customHeight="1">
      <c r="A453" s="956">
        <v>54</v>
      </c>
      <c r="B453" s="1020" t="s">
        <v>1373</v>
      </c>
      <c r="C453" s="1017">
        <v>1993</v>
      </c>
      <c r="D453" s="1016"/>
      <c r="E453" s="956" t="s">
        <v>218</v>
      </c>
      <c r="F453" s="1017">
        <v>5</v>
      </c>
      <c r="G453" s="1017">
        <v>4</v>
      </c>
      <c r="H453" s="1017">
        <v>2860</v>
      </c>
      <c r="I453" s="1021">
        <v>2561.6999999999998</v>
      </c>
      <c r="J453" s="1021">
        <v>2305.5</v>
      </c>
      <c r="K453" s="1022">
        <v>81</v>
      </c>
      <c r="L453" s="1023">
        <v>4646145.76</v>
      </c>
      <c r="M453" s="963">
        <v>0</v>
      </c>
      <c r="N453" s="963">
        <v>0</v>
      </c>
      <c r="O453" s="1028">
        <v>4646145.76</v>
      </c>
      <c r="P453" s="963">
        <v>0</v>
      </c>
      <c r="Q453" s="963">
        <v>0</v>
      </c>
      <c r="R453" s="956">
        <v>2025</v>
      </c>
      <c r="S453" s="956">
        <v>2025</v>
      </c>
      <c r="U453" s="967"/>
    </row>
    <row r="454" spans="1:21" s="966" customFormat="1" ht="46.15" customHeight="1">
      <c r="A454" s="1163" t="s">
        <v>1248</v>
      </c>
      <c r="B454" s="1164"/>
      <c r="C454" s="1164"/>
      <c r="D454" s="1164"/>
      <c r="E454" s="1164"/>
      <c r="F454" s="1164"/>
      <c r="G454" s="1165"/>
      <c r="H454" s="968">
        <f>SUM(H455:H458)</f>
        <v>6196.5999999999995</v>
      </c>
      <c r="I454" s="968">
        <f t="shared" ref="I454:Q454" si="98">SUM(I455:I458)</f>
        <v>5036.0999999999995</v>
      </c>
      <c r="J454" s="968">
        <f t="shared" si="98"/>
        <v>3705.7999999999997</v>
      </c>
      <c r="K454" s="958">
        <f t="shared" si="98"/>
        <v>149</v>
      </c>
      <c r="L454" s="971">
        <f t="shared" si="98"/>
        <v>20209721.780000001</v>
      </c>
      <c r="M454" s="968">
        <f t="shared" si="98"/>
        <v>0</v>
      </c>
      <c r="N454" s="968">
        <f t="shared" si="98"/>
        <v>0</v>
      </c>
      <c r="O454" s="968">
        <f t="shared" si="98"/>
        <v>20209721.780000001</v>
      </c>
      <c r="P454" s="968">
        <f t="shared" si="98"/>
        <v>0</v>
      </c>
      <c r="Q454" s="968">
        <f t="shared" si="98"/>
        <v>0</v>
      </c>
      <c r="R454" s="968" t="s">
        <v>40</v>
      </c>
      <c r="S454" s="968" t="s">
        <v>40</v>
      </c>
      <c r="U454" s="967"/>
    </row>
    <row r="455" spans="1:21" s="966" customFormat="1" ht="42" customHeight="1">
      <c r="A455" s="956">
        <v>55</v>
      </c>
      <c r="B455" s="986" t="s">
        <v>1424</v>
      </c>
      <c r="C455" s="957">
        <v>1985</v>
      </c>
      <c r="D455" s="957"/>
      <c r="E455" s="956" t="s">
        <v>218</v>
      </c>
      <c r="F455" s="957">
        <v>3</v>
      </c>
      <c r="G455" s="957">
        <v>1</v>
      </c>
      <c r="H455" s="968">
        <v>454.2</v>
      </c>
      <c r="I455" s="968">
        <v>272.7</v>
      </c>
      <c r="J455" s="968">
        <v>272.7</v>
      </c>
      <c r="K455" s="959">
        <v>17</v>
      </c>
      <c r="L455" s="971">
        <v>4548323.82</v>
      </c>
      <c r="M455" s="968">
        <v>0</v>
      </c>
      <c r="N455" s="968">
        <v>0</v>
      </c>
      <c r="O455" s="968">
        <v>4548323.82</v>
      </c>
      <c r="P455" s="968">
        <v>0</v>
      </c>
      <c r="Q455" s="968">
        <v>0</v>
      </c>
      <c r="R455" s="957">
        <v>2025</v>
      </c>
      <c r="S455" s="957">
        <v>2025</v>
      </c>
      <c r="U455" s="967"/>
    </row>
    <row r="456" spans="1:21" s="966" customFormat="1" ht="42.6" customHeight="1">
      <c r="A456" s="956">
        <v>56</v>
      </c>
      <c r="B456" s="976" t="s">
        <v>1425</v>
      </c>
      <c r="C456" s="956">
        <v>1974</v>
      </c>
      <c r="D456" s="956"/>
      <c r="E456" s="956" t="s">
        <v>218</v>
      </c>
      <c r="F456" s="956">
        <v>5</v>
      </c>
      <c r="G456" s="956">
        <v>4</v>
      </c>
      <c r="H456" s="963">
        <v>4703.8999999999996</v>
      </c>
      <c r="I456" s="963">
        <v>4127</v>
      </c>
      <c r="J456" s="963">
        <v>2796.7</v>
      </c>
      <c r="K456" s="964">
        <v>84</v>
      </c>
      <c r="L456" s="965">
        <v>5409275.21</v>
      </c>
      <c r="M456" s="963">
        <v>0</v>
      </c>
      <c r="N456" s="963">
        <v>0</v>
      </c>
      <c r="O456" s="963">
        <v>5409275.21</v>
      </c>
      <c r="P456" s="963">
        <v>0</v>
      </c>
      <c r="Q456" s="963">
        <v>0</v>
      </c>
      <c r="R456" s="957">
        <v>2025</v>
      </c>
      <c r="S456" s="957">
        <v>2025</v>
      </c>
      <c r="U456" s="967"/>
    </row>
    <row r="457" spans="1:21" s="966" customFormat="1" ht="42.6" customHeight="1">
      <c r="A457" s="956">
        <v>57</v>
      </c>
      <c r="B457" s="986" t="s">
        <v>1426</v>
      </c>
      <c r="C457" s="957">
        <v>1963</v>
      </c>
      <c r="D457" s="957"/>
      <c r="E457" s="956" t="s">
        <v>218</v>
      </c>
      <c r="F457" s="957">
        <v>2</v>
      </c>
      <c r="G457" s="957">
        <v>2</v>
      </c>
      <c r="H457" s="968">
        <v>462.9</v>
      </c>
      <c r="I457" s="968">
        <v>298</v>
      </c>
      <c r="J457" s="968">
        <v>298</v>
      </c>
      <c r="K457" s="959">
        <v>26</v>
      </c>
      <c r="L457" s="971">
        <v>4645101.3099999996</v>
      </c>
      <c r="M457" s="968">
        <v>0</v>
      </c>
      <c r="N457" s="968">
        <v>0</v>
      </c>
      <c r="O457" s="968">
        <v>4645101.3099999996</v>
      </c>
      <c r="P457" s="968">
        <v>0</v>
      </c>
      <c r="Q457" s="968">
        <v>0</v>
      </c>
      <c r="R457" s="957">
        <v>2025</v>
      </c>
      <c r="S457" s="957">
        <v>2025</v>
      </c>
      <c r="U457" s="967"/>
    </row>
    <row r="458" spans="1:21" s="966" customFormat="1" ht="42.6" customHeight="1">
      <c r="A458" s="956">
        <v>58</v>
      </c>
      <c r="B458" s="986" t="s">
        <v>1427</v>
      </c>
      <c r="C458" s="956">
        <v>1989</v>
      </c>
      <c r="D458" s="956"/>
      <c r="E458" s="956" t="s">
        <v>218</v>
      </c>
      <c r="F458" s="956">
        <v>2</v>
      </c>
      <c r="G458" s="956">
        <v>2</v>
      </c>
      <c r="H458" s="963">
        <v>575.6</v>
      </c>
      <c r="I458" s="963">
        <v>338.4</v>
      </c>
      <c r="J458" s="963">
        <v>338.4</v>
      </c>
      <c r="K458" s="964">
        <v>22</v>
      </c>
      <c r="L458" s="965">
        <v>5607021.4400000004</v>
      </c>
      <c r="M458" s="963">
        <v>0</v>
      </c>
      <c r="N458" s="963">
        <v>0</v>
      </c>
      <c r="O458" s="963">
        <v>5607021.4400000004</v>
      </c>
      <c r="P458" s="963">
        <v>0</v>
      </c>
      <c r="Q458" s="963">
        <v>0</v>
      </c>
      <c r="R458" s="957">
        <v>2025</v>
      </c>
      <c r="S458" s="957">
        <v>2025</v>
      </c>
      <c r="U458" s="967"/>
    </row>
    <row r="459" spans="1:21" s="966" customFormat="1" ht="46.15" customHeight="1">
      <c r="A459" s="1163" t="s">
        <v>1185</v>
      </c>
      <c r="B459" s="1164"/>
      <c r="C459" s="1164"/>
      <c r="D459" s="1164"/>
      <c r="E459" s="1164"/>
      <c r="F459" s="1164"/>
      <c r="G459" s="1165"/>
      <c r="H459" s="968">
        <f>SUM(H460:H463)</f>
        <v>3598.6</v>
      </c>
      <c r="I459" s="968">
        <f t="shared" ref="I459:Q459" si="99">SUM(I460:I463)</f>
        <v>2937.5</v>
      </c>
      <c r="J459" s="968">
        <f t="shared" si="99"/>
        <v>2368.6999999999998</v>
      </c>
      <c r="K459" s="958">
        <f t="shared" si="99"/>
        <v>73</v>
      </c>
      <c r="L459" s="971">
        <f t="shared" si="99"/>
        <v>20850496.600000001</v>
      </c>
      <c r="M459" s="968">
        <f t="shared" si="99"/>
        <v>0</v>
      </c>
      <c r="N459" s="968">
        <f t="shared" si="99"/>
        <v>0</v>
      </c>
      <c r="O459" s="968">
        <f t="shared" si="99"/>
        <v>20850496.600000001</v>
      </c>
      <c r="P459" s="968">
        <f t="shared" si="99"/>
        <v>0</v>
      </c>
      <c r="Q459" s="968">
        <f t="shared" si="99"/>
        <v>0</v>
      </c>
      <c r="R459" s="968" t="s">
        <v>40</v>
      </c>
      <c r="S459" s="968" t="s">
        <v>40</v>
      </c>
      <c r="U459" s="967"/>
    </row>
    <row r="460" spans="1:21" s="944" customFormat="1" ht="43.15" customHeight="1">
      <c r="A460" s="956">
        <v>59</v>
      </c>
      <c r="B460" s="984" t="s">
        <v>1331</v>
      </c>
      <c r="C460" s="956">
        <v>1961</v>
      </c>
      <c r="D460" s="957"/>
      <c r="E460" s="956" t="s">
        <v>218</v>
      </c>
      <c r="F460" s="957">
        <v>2</v>
      </c>
      <c r="G460" s="957">
        <v>2</v>
      </c>
      <c r="H460" s="968">
        <v>507.7</v>
      </c>
      <c r="I460" s="968">
        <v>446</v>
      </c>
      <c r="J460" s="968">
        <v>400.7</v>
      </c>
      <c r="K460" s="964">
        <v>14</v>
      </c>
      <c r="L460" s="971">
        <v>4366254.8</v>
      </c>
      <c r="M460" s="968">
        <v>0</v>
      </c>
      <c r="N460" s="968">
        <v>0</v>
      </c>
      <c r="O460" s="968">
        <v>4366254.8</v>
      </c>
      <c r="P460" s="968">
        <v>0</v>
      </c>
      <c r="Q460" s="968">
        <v>0</v>
      </c>
      <c r="R460" s="957">
        <v>2025</v>
      </c>
      <c r="S460" s="957">
        <v>2025</v>
      </c>
      <c r="U460" s="967"/>
    </row>
    <row r="461" spans="1:21" s="944" customFormat="1" ht="39.6" customHeight="1">
      <c r="A461" s="956">
        <v>60</v>
      </c>
      <c r="B461" s="984" t="s">
        <v>1332</v>
      </c>
      <c r="C461" s="956">
        <v>1959</v>
      </c>
      <c r="D461" s="957"/>
      <c r="E461" s="956" t="s">
        <v>218</v>
      </c>
      <c r="F461" s="957">
        <v>2</v>
      </c>
      <c r="G461" s="957">
        <v>2</v>
      </c>
      <c r="H461" s="968">
        <v>1279.5999999999999</v>
      </c>
      <c r="I461" s="968">
        <v>722.4</v>
      </c>
      <c r="J461" s="968">
        <v>722.4</v>
      </c>
      <c r="K461" s="964">
        <v>12</v>
      </c>
      <c r="L461" s="971">
        <v>7003460.6600000001</v>
      </c>
      <c r="M461" s="968">
        <v>0</v>
      </c>
      <c r="N461" s="968">
        <v>0</v>
      </c>
      <c r="O461" s="968">
        <v>7003460.6600000001</v>
      </c>
      <c r="P461" s="968">
        <v>0</v>
      </c>
      <c r="Q461" s="968">
        <v>0</v>
      </c>
      <c r="R461" s="957">
        <v>2025</v>
      </c>
      <c r="S461" s="957">
        <v>2025</v>
      </c>
      <c r="U461" s="967"/>
    </row>
    <row r="462" spans="1:21" s="944" customFormat="1" ht="40.9" customHeight="1">
      <c r="A462" s="956">
        <v>61</v>
      </c>
      <c r="B462" s="984" t="s">
        <v>1333</v>
      </c>
      <c r="C462" s="956">
        <v>1960</v>
      </c>
      <c r="D462" s="957"/>
      <c r="E462" s="956" t="s">
        <v>218</v>
      </c>
      <c r="F462" s="957">
        <v>2</v>
      </c>
      <c r="G462" s="957">
        <v>2</v>
      </c>
      <c r="H462" s="968">
        <v>498.2</v>
      </c>
      <c r="I462" s="968">
        <v>456</v>
      </c>
      <c r="J462" s="968">
        <v>456</v>
      </c>
      <c r="K462" s="964">
        <v>16</v>
      </c>
      <c r="L462" s="971">
        <v>4313093.41</v>
      </c>
      <c r="M462" s="968">
        <v>0</v>
      </c>
      <c r="N462" s="968">
        <v>0</v>
      </c>
      <c r="O462" s="968">
        <v>4313093.41</v>
      </c>
      <c r="P462" s="968">
        <v>0</v>
      </c>
      <c r="Q462" s="968">
        <v>0</v>
      </c>
      <c r="R462" s="957">
        <v>2025</v>
      </c>
      <c r="S462" s="957">
        <v>2025</v>
      </c>
      <c r="U462" s="967"/>
    </row>
    <row r="463" spans="1:21" s="966" customFormat="1" ht="46.15" customHeight="1">
      <c r="A463" s="956">
        <v>62</v>
      </c>
      <c r="B463" s="986" t="s">
        <v>1477</v>
      </c>
      <c r="C463" s="956">
        <v>1968</v>
      </c>
      <c r="D463" s="956"/>
      <c r="E463" s="956" t="s">
        <v>218</v>
      </c>
      <c r="F463" s="956">
        <v>4</v>
      </c>
      <c r="G463" s="956">
        <v>2</v>
      </c>
      <c r="H463" s="963">
        <v>1313.1</v>
      </c>
      <c r="I463" s="963">
        <v>1313.1</v>
      </c>
      <c r="J463" s="963">
        <v>789.6</v>
      </c>
      <c r="K463" s="964">
        <v>31</v>
      </c>
      <c r="L463" s="965">
        <v>5167687.7300000004</v>
      </c>
      <c r="M463" s="963">
        <v>0</v>
      </c>
      <c r="N463" s="963">
        <v>0</v>
      </c>
      <c r="O463" s="963">
        <v>5167687.7300000004</v>
      </c>
      <c r="P463" s="963">
        <v>0</v>
      </c>
      <c r="Q463" s="963">
        <v>0</v>
      </c>
      <c r="R463" s="957">
        <v>2025</v>
      </c>
      <c r="S463" s="957">
        <v>2025</v>
      </c>
      <c r="U463" s="967"/>
    </row>
    <row r="464" spans="1:21" s="966" customFormat="1" ht="40.15" customHeight="1">
      <c r="A464" s="1163" t="s">
        <v>1977</v>
      </c>
      <c r="B464" s="1164"/>
      <c r="C464" s="1164"/>
      <c r="D464" s="1164"/>
      <c r="E464" s="1164"/>
      <c r="F464" s="1164"/>
      <c r="G464" s="1165"/>
      <c r="H464" s="968">
        <f>SUM(H465:H474)</f>
        <v>29070.399999999994</v>
      </c>
      <c r="I464" s="968">
        <f t="shared" ref="I464:Q464" si="100">SUM(I465:I474)</f>
        <v>26524.699999999997</v>
      </c>
      <c r="J464" s="968">
        <f t="shared" si="100"/>
        <v>25265.4</v>
      </c>
      <c r="K464" s="958">
        <f t="shared" si="100"/>
        <v>1123</v>
      </c>
      <c r="L464" s="971">
        <f t="shared" si="100"/>
        <v>72935585.960000008</v>
      </c>
      <c r="M464" s="968">
        <f t="shared" si="100"/>
        <v>0</v>
      </c>
      <c r="N464" s="968">
        <f t="shared" si="100"/>
        <v>1623368.24</v>
      </c>
      <c r="O464" s="968">
        <f t="shared" si="100"/>
        <v>71312217.719999999</v>
      </c>
      <c r="P464" s="968">
        <f t="shared" si="100"/>
        <v>0</v>
      </c>
      <c r="Q464" s="968">
        <f t="shared" si="100"/>
        <v>0</v>
      </c>
      <c r="R464" s="968" t="s">
        <v>40</v>
      </c>
      <c r="S464" s="968" t="s">
        <v>40</v>
      </c>
      <c r="U464" s="967"/>
    </row>
    <row r="465" spans="1:21" s="966" customFormat="1" ht="39.75" customHeight="1">
      <c r="A465" s="956">
        <v>63</v>
      </c>
      <c r="B465" s="986" t="s">
        <v>1532</v>
      </c>
      <c r="C465" s="959">
        <v>1965</v>
      </c>
      <c r="D465" s="959"/>
      <c r="E465" s="956" t="s">
        <v>219</v>
      </c>
      <c r="F465" s="958">
        <v>5</v>
      </c>
      <c r="G465" s="958">
        <v>4</v>
      </c>
      <c r="H465" s="963">
        <v>3948.7</v>
      </c>
      <c r="I465" s="963">
        <v>3538.7</v>
      </c>
      <c r="J465" s="963">
        <f>3323.2-99.9</f>
        <v>3223.2999999999997</v>
      </c>
      <c r="K465" s="956">
        <v>147</v>
      </c>
      <c r="L465" s="971">
        <v>13488809.460000001</v>
      </c>
      <c r="M465" s="985">
        <v>0</v>
      </c>
      <c r="N465" s="985">
        <v>0</v>
      </c>
      <c r="O465" s="968">
        <f t="shared" ref="O465:O470" si="101">L465</f>
        <v>13488809.460000001</v>
      </c>
      <c r="P465" s="963">
        <v>0</v>
      </c>
      <c r="Q465" s="985">
        <v>0</v>
      </c>
      <c r="R465" s="964">
        <v>2025</v>
      </c>
      <c r="S465" s="964">
        <v>2025</v>
      </c>
      <c r="U465" s="967"/>
    </row>
    <row r="466" spans="1:21" s="966" customFormat="1" ht="42.6" customHeight="1">
      <c r="A466" s="956">
        <v>64</v>
      </c>
      <c r="B466" s="986" t="s">
        <v>1533</v>
      </c>
      <c r="C466" s="959">
        <v>1974</v>
      </c>
      <c r="D466" s="959"/>
      <c r="E466" s="956" t="s">
        <v>219</v>
      </c>
      <c r="F466" s="957">
        <v>5</v>
      </c>
      <c r="G466" s="957">
        <v>8</v>
      </c>
      <c r="H466" s="963">
        <v>4260.8999999999996</v>
      </c>
      <c r="I466" s="963">
        <v>3819.1</v>
      </c>
      <c r="J466" s="963">
        <f>I466-94.7</f>
        <v>3724.4</v>
      </c>
      <c r="K466" s="956">
        <v>165</v>
      </c>
      <c r="L466" s="971">
        <v>3967260.42</v>
      </c>
      <c r="M466" s="985">
        <v>0</v>
      </c>
      <c r="N466" s="985">
        <v>0</v>
      </c>
      <c r="O466" s="968">
        <f t="shared" si="101"/>
        <v>3967260.42</v>
      </c>
      <c r="P466" s="963">
        <v>0</v>
      </c>
      <c r="Q466" s="985">
        <v>0</v>
      </c>
      <c r="R466" s="964">
        <v>2025</v>
      </c>
      <c r="S466" s="964">
        <v>2025</v>
      </c>
      <c r="U466" s="967"/>
    </row>
    <row r="467" spans="1:21" s="966" customFormat="1" ht="47.45" customHeight="1">
      <c r="A467" s="956">
        <v>65</v>
      </c>
      <c r="B467" s="986" t="s">
        <v>1534</v>
      </c>
      <c r="C467" s="959">
        <v>1966</v>
      </c>
      <c r="D467" s="959"/>
      <c r="E467" s="956" t="s">
        <v>220</v>
      </c>
      <c r="F467" s="957">
        <v>5</v>
      </c>
      <c r="G467" s="957">
        <v>4</v>
      </c>
      <c r="H467" s="963">
        <v>3907.6</v>
      </c>
      <c r="I467" s="963">
        <v>3540.9</v>
      </c>
      <c r="J467" s="963">
        <f>I467-0</f>
        <v>3540.9</v>
      </c>
      <c r="K467" s="956">
        <v>142</v>
      </c>
      <c r="L467" s="971">
        <v>13525630.359999999</v>
      </c>
      <c r="M467" s="985">
        <v>0</v>
      </c>
      <c r="N467" s="985">
        <v>0</v>
      </c>
      <c r="O467" s="968">
        <f t="shared" si="101"/>
        <v>13525630.359999999</v>
      </c>
      <c r="P467" s="963">
        <v>0</v>
      </c>
      <c r="Q467" s="985">
        <v>0</v>
      </c>
      <c r="R467" s="964">
        <v>2025</v>
      </c>
      <c r="S467" s="964">
        <v>2025</v>
      </c>
      <c r="U467" s="967"/>
    </row>
    <row r="468" spans="1:21" s="966" customFormat="1" ht="41.45" customHeight="1">
      <c r="A468" s="956">
        <v>66</v>
      </c>
      <c r="B468" s="986" t="s">
        <v>1535</v>
      </c>
      <c r="C468" s="959">
        <v>1985</v>
      </c>
      <c r="D468" s="959"/>
      <c r="E468" s="956" t="s">
        <v>219</v>
      </c>
      <c r="F468" s="957">
        <v>9</v>
      </c>
      <c r="G468" s="957">
        <v>2</v>
      </c>
      <c r="H468" s="963">
        <v>4240.3999999999996</v>
      </c>
      <c r="I468" s="963">
        <v>3712</v>
      </c>
      <c r="J468" s="963">
        <f>I468-108</f>
        <v>3604</v>
      </c>
      <c r="K468" s="956">
        <v>152</v>
      </c>
      <c r="L468" s="971">
        <v>17827168.989999998</v>
      </c>
      <c r="M468" s="985">
        <v>0</v>
      </c>
      <c r="N468" s="985">
        <v>0</v>
      </c>
      <c r="O468" s="968">
        <f t="shared" si="101"/>
        <v>17827168.989999998</v>
      </c>
      <c r="P468" s="963">
        <v>0</v>
      </c>
      <c r="Q468" s="985">
        <v>0</v>
      </c>
      <c r="R468" s="964">
        <v>2025</v>
      </c>
      <c r="S468" s="964">
        <v>2025</v>
      </c>
      <c r="U468" s="967"/>
    </row>
    <row r="469" spans="1:21" s="966" customFormat="1" ht="42.6" customHeight="1">
      <c r="A469" s="956">
        <v>67</v>
      </c>
      <c r="B469" s="986" t="s">
        <v>1536</v>
      </c>
      <c r="C469" s="959">
        <v>1981</v>
      </c>
      <c r="D469" s="959"/>
      <c r="E469" s="956" t="s">
        <v>219</v>
      </c>
      <c r="F469" s="957">
        <v>9</v>
      </c>
      <c r="G469" s="957">
        <v>3</v>
      </c>
      <c r="H469" s="963">
        <v>5889.3</v>
      </c>
      <c r="I469" s="963">
        <v>5803.5</v>
      </c>
      <c r="J469" s="963">
        <f>I469-161.6</f>
        <v>5641.9</v>
      </c>
      <c r="K469" s="956">
        <v>231</v>
      </c>
      <c r="L469" s="971">
        <v>5749605.3799999999</v>
      </c>
      <c r="M469" s="985">
        <v>0</v>
      </c>
      <c r="N469" s="985">
        <v>0</v>
      </c>
      <c r="O469" s="968">
        <f t="shared" si="101"/>
        <v>5749605.3799999999</v>
      </c>
      <c r="P469" s="963">
        <v>0</v>
      </c>
      <c r="Q469" s="985">
        <v>0</v>
      </c>
      <c r="R469" s="964">
        <v>2025</v>
      </c>
      <c r="S469" s="964">
        <v>2025</v>
      </c>
      <c r="U469" s="967"/>
    </row>
    <row r="470" spans="1:21" s="966" customFormat="1" ht="42.6" customHeight="1">
      <c r="A470" s="956">
        <v>68</v>
      </c>
      <c r="B470" s="986" t="s">
        <v>1537</v>
      </c>
      <c r="C470" s="959">
        <v>1982</v>
      </c>
      <c r="D470" s="959"/>
      <c r="E470" s="956" t="s">
        <v>218</v>
      </c>
      <c r="F470" s="957">
        <v>12</v>
      </c>
      <c r="G470" s="957">
        <v>2</v>
      </c>
      <c r="H470" s="963">
        <v>4588.8</v>
      </c>
      <c r="I470" s="963">
        <v>3914.4</v>
      </c>
      <c r="J470" s="963">
        <f>I470-74.4</f>
        <v>3840</v>
      </c>
      <c r="K470" s="956">
        <v>146</v>
      </c>
      <c r="L470" s="971">
        <v>3730855.05</v>
      </c>
      <c r="M470" s="985">
        <v>0</v>
      </c>
      <c r="N470" s="985">
        <v>0</v>
      </c>
      <c r="O470" s="968">
        <f t="shared" si="101"/>
        <v>3730855.05</v>
      </c>
      <c r="P470" s="963">
        <v>0</v>
      </c>
      <c r="Q470" s="985">
        <v>0</v>
      </c>
      <c r="R470" s="964">
        <v>2025</v>
      </c>
      <c r="S470" s="964">
        <v>2025</v>
      </c>
      <c r="U470" s="967"/>
    </row>
    <row r="471" spans="1:21" s="966" customFormat="1" ht="42.6" customHeight="1">
      <c r="A471" s="956">
        <v>69</v>
      </c>
      <c r="B471" s="986" t="s">
        <v>1791</v>
      </c>
      <c r="C471" s="959">
        <v>1967</v>
      </c>
      <c r="D471" s="959"/>
      <c r="E471" s="956" t="s">
        <v>218</v>
      </c>
      <c r="F471" s="957">
        <v>2</v>
      </c>
      <c r="G471" s="957">
        <v>3</v>
      </c>
      <c r="H471" s="963">
        <v>717</v>
      </c>
      <c r="I471" s="963">
        <v>717</v>
      </c>
      <c r="J471" s="963">
        <v>442</v>
      </c>
      <c r="K471" s="956">
        <v>74</v>
      </c>
      <c r="L471" s="971">
        <v>4434126.26</v>
      </c>
      <c r="M471" s="985">
        <v>0</v>
      </c>
      <c r="N471" s="985">
        <v>0</v>
      </c>
      <c r="O471" s="968">
        <v>4434126.26</v>
      </c>
      <c r="P471" s="963">
        <v>0</v>
      </c>
      <c r="Q471" s="985">
        <v>0</v>
      </c>
      <c r="R471" s="964">
        <v>2025</v>
      </c>
      <c r="S471" s="964">
        <v>2025</v>
      </c>
      <c r="U471" s="967"/>
    </row>
    <row r="472" spans="1:21" s="966" customFormat="1" ht="37.9" customHeight="1">
      <c r="A472" s="956">
        <v>70</v>
      </c>
      <c r="B472" s="986" t="s">
        <v>1343</v>
      </c>
      <c r="C472" s="957">
        <v>1956</v>
      </c>
      <c r="D472" s="959"/>
      <c r="E472" s="956" t="s">
        <v>220</v>
      </c>
      <c r="F472" s="959">
        <v>2</v>
      </c>
      <c r="G472" s="959">
        <v>2</v>
      </c>
      <c r="H472" s="963">
        <v>573.79999999999995</v>
      </c>
      <c r="I472" s="963">
        <v>573.79999999999995</v>
      </c>
      <c r="J472" s="963">
        <v>573.79999999999995</v>
      </c>
      <c r="K472" s="964">
        <v>16</v>
      </c>
      <c r="L472" s="971">
        <v>5536808.29</v>
      </c>
      <c r="M472" s="985">
        <v>0</v>
      </c>
      <c r="N472" s="985">
        <v>0</v>
      </c>
      <c r="O472" s="968">
        <v>5536808.29</v>
      </c>
      <c r="P472" s="963">
        <v>0</v>
      </c>
      <c r="Q472" s="985">
        <v>0</v>
      </c>
      <c r="R472" s="964">
        <v>2025</v>
      </c>
      <c r="S472" s="964">
        <v>2025</v>
      </c>
      <c r="U472" s="967"/>
    </row>
    <row r="473" spans="1:21" s="966" customFormat="1" ht="40.15" customHeight="1">
      <c r="A473" s="956">
        <v>71</v>
      </c>
      <c r="B473" s="986" t="s">
        <v>1488</v>
      </c>
      <c r="C473" s="956">
        <v>1950</v>
      </c>
      <c r="D473" s="957"/>
      <c r="E473" s="956" t="s">
        <v>218</v>
      </c>
      <c r="F473" s="956">
        <v>2</v>
      </c>
      <c r="G473" s="956">
        <v>1</v>
      </c>
      <c r="H473" s="963">
        <v>418.8</v>
      </c>
      <c r="I473" s="963">
        <v>380.2</v>
      </c>
      <c r="J473" s="963">
        <v>380.2</v>
      </c>
      <c r="K473" s="964">
        <v>16</v>
      </c>
      <c r="L473" s="965">
        <v>1309575.52</v>
      </c>
      <c r="M473" s="963">
        <v>0</v>
      </c>
      <c r="N473" s="963">
        <v>0</v>
      </c>
      <c r="O473" s="963">
        <f>L473</f>
        <v>1309575.52</v>
      </c>
      <c r="P473" s="963">
        <v>0</v>
      </c>
      <c r="Q473" s="963">
        <v>0</v>
      </c>
      <c r="R473" s="964">
        <v>2025</v>
      </c>
      <c r="S473" s="964">
        <v>2025</v>
      </c>
      <c r="U473" s="967"/>
    </row>
    <row r="474" spans="1:21" s="966" customFormat="1" ht="44.45" customHeight="1">
      <c r="A474" s="956">
        <v>72</v>
      </c>
      <c r="B474" s="986" t="s">
        <v>1586</v>
      </c>
      <c r="C474" s="956">
        <v>1967</v>
      </c>
      <c r="D474" s="957"/>
      <c r="E474" s="956" t="s">
        <v>218</v>
      </c>
      <c r="F474" s="956">
        <v>2</v>
      </c>
      <c r="G474" s="956">
        <v>2</v>
      </c>
      <c r="H474" s="963">
        <v>525.1</v>
      </c>
      <c r="I474" s="963">
        <v>525.1</v>
      </c>
      <c r="J474" s="963">
        <v>294.89999999999998</v>
      </c>
      <c r="K474" s="964">
        <v>34</v>
      </c>
      <c r="L474" s="965">
        <v>3365746.23</v>
      </c>
      <c r="M474" s="963">
        <v>0</v>
      </c>
      <c r="N474" s="963">
        <v>1623368.24</v>
      </c>
      <c r="O474" s="963">
        <v>1742377.99</v>
      </c>
      <c r="P474" s="963">
        <v>0</v>
      </c>
      <c r="Q474" s="963">
        <v>0</v>
      </c>
      <c r="R474" s="964">
        <v>2025</v>
      </c>
      <c r="S474" s="964">
        <v>2025</v>
      </c>
      <c r="U474" s="967"/>
    </row>
    <row r="475" spans="1:21" ht="36" customHeight="1">
      <c r="A475" s="1163" t="s">
        <v>1057</v>
      </c>
      <c r="B475" s="1164"/>
      <c r="C475" s="1164"/>
      <c r="D475" s="1164"/>
      <c r="E475" s="1164"/>
      <c r="F475" s="1164"/>
      <c r="G475" s="1165"/>
      <c r="H475" s="968">
        <f>H476</f>
        <v>1910.1</v>
      </c>
      <c r="I475" s="968">
        <f t="shared" ref="I475:Q475" si="102">I476</f>
        <v>1765.5</v>
      </c>
      <c r="J475" s="968">
        <f t="shared" si="102"/>
        <v>1765.5</v>
      </c>
      <c r="K475" s="959">
        <f t="shared" si="102"/>
        <v>68</v>
      </c>
      <c r="L475" s="971">
        <f t="shared" si="102"/>
        <v>12301343.630000001</v>
      </c>
      <c r="M475" s="968">
        <f t="shared" si="102"/>
        <v>0</v>
      </c>
      <c r="N475" s="968">
        <f t="shared" si="102"/>
        <v>0</v>
      </c>
      <c r="O475" s="968">
        <f t="shared" si="102"/>
        <v>12301343.630000001</v>
      </c>
      <c r="P475" s="968">
        <f t="shared" si="102"/>
        <v>0</v>
      </c>
      <c r="Q475" s="968">
        <f t="shared" si="102"/>
        <v>0</v>
      </c>
      <c r="R475" s="968" t="s">
        <v>40</v>
      </c>
      <c r="S475" s="968" t="s">
        <v>40</v>
      </c>
      <c r="U475" s="967"/>
    </row>
    <row r="476" spans="1:21" s="966" customFormat="1" ht="44.45" customHeight="1">
      <c r="A476" s="956">
        <v>73</v>
      </c>
      <c r="B476" s="986" t="s">
        <v>1449</v>
      </c>
      <c r="C476" s="956">
        <v>1982</v>
      </c>
      <c r="D476" s="956"/>
      <c r="E476" s="956" t="s">
        <v>218</v>
      </c>
      <c r="F476" s="957">
        <v>3</v>
      </c>
      <c r="G476" s="957">
        <v>3</v>
      </c>
      <c r="H476" s="968">
        <v>1910.1</v>
      </c>
      <c r="I476" s="968">
        <v>1765.5</v>
      </c>
      <c r="J476" s="968">
        <v>1765.5</v>
      </c>
      <c r="K476" s="959">
        <v>68</v>
      </c>
      <c r="L476" s="971">
        <v>12301343.630000001</v>
      </c>
      <c r="M476" s="968">
        <v>0</v>
      </c>
      <c r="N476" s="968">
        <v>0</v>
      </c>
      <c r="O476" s="968">
        <v>12301343.630000001</v>
      </c>
      <c r="P476" s="963">
        <v>0</v>
      </c>
      <c r="Q476" s="968">
        <v>0</v>
      </c>
      <c r="R476" s="964">
        <v>2025</v>
      </c>
      <c r="S476" s="964">
        <v>2025</v>
      </c>
      <c r="U476" s="967"/>
    </row>
    <row r="477" spans="1:21" ht="43.15" customHeight="1">
      <c r="A477" s="1163" t="s">
        <v>1976</v>
      </c>
      <c r="B477" s="1164"/>
      <c r="C477" s="1164"/>
      <c r="D477" s="1164"/>
      <c r="E477" s="1164"/>
      <c r="F477" s="1164"/>
      <c r="G477" s="1165"/>
      <c r="H477" s="968">
        <f>H478</f>
        <v>4475.1000000000004</v>
      </c>
      <c r="I477" s="968">
        <f t="shared" ref="I477:Q477" si="103">I478</f>
        <v>4432.7</v>
      </c>
      <c r="J477" s="968">
        <f t="shared" si="103"/>
        <v>4398.1000000000004</v>
      </c>
      <c r="K477" s="958">
        <f t="shared" si="103"/>
        <v>148</v>
      </c>
      <c r="L477" s="971">
        <f t="shared" si="103"/>
        <v>11676241.529999999</v>
      </c>
      <c r="M477" s="968">
        <f t="shared" si="103"/>
        <v>0</v>
      </c>
      <c r="N477" s="968">
        <f t="shared" si="103"/>
        <v>0</v>
      </c>
      <c r="O477" s="968">
        <f t="shared" si="103"/>
        <v>11676241.529999999</v>
      </c>
      <c r="P477" s="968">
        <f t="shared" si="103"/>
        <v>0</v>
      </c>
      <c r="Q477" s="968">
        <f t="shared" si="103"/>
        <v>0</v>
      </c>
      <c r="R477" s="968" t="s">
        <v>40</v>
      </c>
      <c r="S477" s="968" t="s">
        <v>40</v>
      </c>
      <c r="U477" s="967"/>
    </row>
    <row r="478" spans="1:21" ht="42" customHeight="1">
      <c r="A478" s="956">
        <v>74</v>
      </c>
      <c r="B478" s="986" t="s">
        <v>1953</v>
      </c>
      <c r="C478" s="991" t="s">
        <v>1437</v>
      </c>
      <c r="D478" s="957"/>
      <c r="E478" s="956" t="s">
        <v>218</v>
      </c>
      <c r="F478" s="957">
        <v>5</v>
      </c>
      <c r="G478" s="957">
        <v>6</v>
      </c>
      <c r="H478" s="968">
        <v>4475.1000000000004</v>
      </c>
      <c r="I478" s="968">
        <v>4432.7</v>
      </c>
      <c r="J478" s="968">
        <v>4398.1000000000004</v>
      </c>
      <c r="K478" s="959">
        <v>148</v>
      </c>
      <c r="L478" s="971">
        <v>11676241.529999999</v>
      </c>
      <c r="M478" s="985">
        <v>0</v>
      </c>
      <c r="N478" s="985">
        <v>0</v>
      </c>
      <c r="O478" s="985">
        <v>11676241.529999999</v>
      </c>
      <c r="P478" s="963">
        <v>0</v>
      </c>
      <c r="Q478" s="985">
        <v>0</v>
      </c>
      <c r="R478" s="964">
        <v>2025</v>
      </c>
      <c r="S478" s="964">
        <v>2025</v>
      </c>
      <c r="U478" s="967"/>
    </row>
    <row r="479" spans="1:21" s="1015" customFormat="1" ht="41.25" customHeight="1">
      <c r="A479" s="1163" t="s">
        <v>1070</v>
      </c>
      <c r="B479" s="1164"/>
      <c r="C479" s="1164"/>
      <c r="D479" s="1164"/>
      <c r="E479" s="1164"/>
      <c r="F479" s="1164"/>
      <c r="G479" s="1165"/>
      <c r="H479" s="968">
        <f>SUM(H480:H482)</f>
        <v>5761.6</v>
      </c>
      <c r="I479" s="968">
        <f t="shared" ref="I479:Q479" si="104">SUM(I480:I482)</f>
        <v>5761.6</v>
      </c>
      <c r="J479" s="968">
        <f t="shared" si="104"/>
        <v>5231.7</v>
      </c>
      <c r="K479" s="958">
        <f t="shared" si="104"/>
        <v>254</v>
      </c>
      <c r="L479" s="971">
        <f t="shared" si="104"/>
        <v>19861037.490000002</v>
      </c>
      <c r="M479" s="968">
        <f t="shared" si="104"/>
        <v>0</v>
      </c>
      <c r="N479" s="968">
        <f t="shared" si="104"/>
        <v>0</v>
      </c>
      <c r="O479" s="968">
        <f t="shared" si="104"/>
        <v>19861037.490000002</v>
      </c>
      <c r="P479" s="968">
        <f t="shared" si="104"/>
        <v>0</v>
      </c>
      <c r="Q479" s="968">
        <f t="shared" si="104"/>
        <v>0</v>
      </c>
      <c r="R479" s="968" t="s">
        <v>40</v>
      </c>
      <c r="S479" s="968" t="s">
        <v>40</v>
      </c>
      <c r="U479" s="967"/>
    </row>
    <row r="480" spans="1:21" s="1015" customFormat="1" ht="44.45" customHeight="1">
      <c r="A480" s="956">
        <v>75</v>
      </c>
      <c r="B480" s="986" t="s">
        <v>1392</v>
      </c>
      <c r="C480" s="956">
        <v>1969</v>
      </c>
      <c r="D480" s="956"/>
      <c r="E480" s="956" t="s">
        <v>219</v>
      </c>
      <c r="F480" s="957">
        <v>5</v>
      </c>
      <c r="G480" s="957">
        <v>6</v>
      </c>
      <c r="H480" s="968">
        <v>4385.6000000000004</v>
      </c>
      <c r="I480" s="968">
        <v>4385.6000000000004</v>
      </c>
      <c r="J480" s="968">
        <v>4214.1000000000004</v>
      </c>
      <c r="K480" s="959">
        <v>192</v>
      </c>
      <c r="L480" s="971">
        <v>6372188.9100000001</v>
      </c>
      <c r="M480" s="968">
        <v>0</v>
      </c>
      <c r="N480" s="968">
        <v>0</v>
      </c>
      <c r="O480" s="968">
        <v>6372188.9100000001</v>
      </c>
      <c r="P480" s="963">
        <v>0</v>
      </c>
      <c r="Q480" s="968">
        <v>0</v>
      </c>
      <c r="R480" s="964">
        <v>2025</v>
      </c>
      <c r="S480" s="964">
        <v>2025</v>
      </c>
      <c r="U480" s="967"/>
    </row>
    <row r="481" spans="1:21" s="1015" customFormat="1" ht="41.25" customHeight="1">
      <c r="A481" s="956">
        <v>76</v>
      </c>
      <c r="B481" s="986" t="s">
        <v>1393</v>
      </c>
      <c r="C481" s="956">
        <v>1958</v>
      </c>
      <c r="D481" s="956"/>
      <c r="E481" s="956" t="s">
        <v>218</v>
      </c>
      <c r="F481" s="956">
        <v>2</v>
      </c>
      <c r="G481" s="956">
        <v>3</v>
      </c>
      <c r="H481" s="968">
        <v>988.1</v>
      </c>
      <c r="I481" s="968">
        <v>988.1</v>
      </c>
      <c r="J481" s="968">
        <v>629.70000000000005</v>
      </c>
      <c r="K481" s="959">
        <v>38</v>
      </c>
      <c r="L481" s="971">
        <v>9932151.3900000006</v>
      </c>
      <c r="M481" s="985">
        <v>0</v>
      </c>
      <c r="N481" s="985">
        <v>0</v>
      </c>
      <c r="O481" s="985">
        <v>9932151.3900000006</v>
      </c>
      <c r="P481" s="963">
        <v>0</v>
      </c>
      <c r="Q481" s="985">
        <v>0</v>
      </c>
      <c r="R481" s="964">
        <v>2025</v>
      </c>
      <c r="S481" s="964">
        <v>2025</v>
      </c>
      <c r="U481" s="967"/>
    </row>
    <row r="482" spans="1:21" s="1015" customFormat="1" ht="41.25" customHeight="1">
      <c r="A482" s="956">
        <v>77</v>
      </c>
      <c r="B482" s="986" t="s">
        <v>2128</v>
      </c>
      <c r="C482" s="956">
        <v>1938</v>
      </c>
      <c r="D482" s="957"/>
      <c r="E482" s="956" t="s">
        <v>218</v>
      </c>
      <c r="F482" s="957">
        <v>2</v>
      </c>
      <c r="G482" s="957">
        <v>2</v>
      </c>
      <c r="H482" s="968">
        <v>387.9</v>
      </c>
      <c r="I482" s="968">
        <v>387.9</v>
      </c>
      <c r="J482" s="968">
        <v>387.9</v>
      </c>
      <c r="K482" s="959">
        <v>24</v>
      </c>
      <c r="L482" s="971">
        <v>3556697.19</v>
      </c>
      <c r="M482" s="985">
        <v>0</v>
      </c>
      <c r="N482" s="985">
        <v>0</v>
      </c>
      <c r="O482" s="985">
        <f>L482</f>
        <v>3556697.19</v>
      </c>
      <c r="P482" s="963">
        <v>0</v>
      </c>
      <c r="Q482" s="985">
        <v>0</v>
      </c>
      <c r="R482" s="964">
        <v>2025</v>
      </c>
      <c r="S482" s="964">
        <v>2025</v>
      </c>
      <c r="U482" s="967"/>
    </row>
    <row r="483" spans="1:21" s="966" customFormat="1" ht="39.6" customHeight="1">
      <c r="A483" s="1163" t="s">
        <v>1824</v>
      </c>
      <c r="B483" s="1164"/>
      <c r="C483" s="1164"/>
      <c r="D483" s="1164"/>
      <c r="E483" s="1164"/>
      <c r="F483" s="1164"/>
      <c r="G483" s="1165"/>
      <c r="H483" s="968">
        <f>SUM(H484:H485)</f>
        <v>2608</v>
      </c>
      <c r="I483" s="968">
        <f t="shared" ref="I483:Q483" si="105">SUM(I484:I485)</f>
        <v>2608</v>
      </c>
      <c r="J483" s="968">
        <f t="shared" si="105"/>
        <v>1701.3999999999999</v>
      </c>
      <c r="K483" s="958">
        <f t="shared" si="105"/>
        <v>36</v>
      </c>
      <c r="L483" s="968">
        <f t="shared" si="105"/>
        <v>6125301.7300000004</v>
      </c>
      <c r="M483" s="968">
        <f t="shared" si="105"/>
        <v>0</v>
      </c>
      <c r="N483" s="968">
        <f t="shared" si="105"/>
        <v>0</v>
      </c>
      <c r="O483" s="968">
        <f t="shared" si="105"/>
        <v>6125301.7300000004</v>
      </c>
      <c r="P483" s="968">
        <f t="shared" si="105"/>
        <v>0</v>
      </c>
      <c r="Q483" s="968">
        <f t="shared" si="105"/>
        <v>0</v>
      </c>
      <c r="R483" s="968" t="s">
        <v>40</v>
      </c>
      <c r="S483" s="968" t="s">
        <v>40</v>
      </c>
      <c r="U483" s="967"/>
    </row>
    <row r="484" spans="1:21" s="966" customFormat="1" ht="39.6" customHeight="1">
      <c r="A484" s="956">
        <v>78</v>
      </c>
      <c r="B484" s="986" t="s">
        <v>1966</v>
      </c>
      <c r="C484" s="984">
        <v>1964</v>
      </c>
      <c r="D484" s="984"/>
      <c r="E484" s="956" t="s">
        <v>218</v>
      </c>
      <c r="F484" s="984">
        <v>2</v>
      </c>
      <c r="G484" s="984">
        <v>3</v>
      </c>
      <c r="H484" s="968">
        <v>469.9</v>
      </c>
      <c r="I484" s="968">
        <v>469.9</v>
      </c>
      <c r="J484" s="968">
        <v>295.3</v>
      </c>
      <c r="K484" s="959">
        <v>12</v>
      </c>
      <c r="L484" s="971">
        <v>2524538.77</v>
      </c>
      <c r="M484" s="985">
        <v>0</v>
      </c>
      <c r="N484" s="985">
        <v>0</v>
      </c>
      <c r="O484" s="985">
        <v>2524538.77</v>
      </c>
      <c r="P484" s="963">
        <v>0</v>
      </c>
      <c r="Q484" s="985">
        <v>0</v>
      </c>
      <c r="R484" s="991" t="s">
        <v>1588</v>
      </c>
      <c r="S484" s="991" t="s">
        <v>1588</v>
      </c>
      <c r="U484" s="967"/>
    </row>
    <row r="485" spans="1:21" s="966" customFormat="1" ht="39.6" customHeight="1">
      <c r="A485" s="956">
        <v>79</v>
      </c>
      <c r="B485" s="986" t="s">
        <v>2089</v>
      </c>
      <c r="C485" s="984">
        <v>1985</v>
      </c>
      <c r="D485" s="984"/>
      <c r="E485" s="956" t="s">
        <v>218</v>
      </c>
      <c r="F485" s="984">
        <v>3</v>
      </c>
      <c r="G485" s="984">
        <v>3</v>
      </c>
      <c r="H485" s="968">
        <v>2138.1</v>
      </c>
      <c r="I485" s="968">
        <v>2138.1</v>
      </c>
      <c r="J485" s="968">
        <v>1406.1</v>
      </c>
      <c r="K485" s="959">
        <v>24</v>
      </c>
      <c r="L485" s="971">
        <v>3600762.96</v>
      </c>
      <c r="M485" s="985">
        <v>0</v>
      </c>
      <c r="N485" s="985">
        <v>0</v>
      </c>
      <c r="O485" s="985">
        <v>3600762.96</v>
      </c>
      <c r="P485" s="963">
        <v>0</v>
      </c>
      <c r="Q485" s="985">
        <v>0</v>
      </c>
      <c r="R485" s="991" t="s">
        <v>1588</v>
      </c>
      <c r="S485" s="991" t="s">
        <v>1588</v>
      </c>
      <c r="U485" s="967"/>
    </row>
    <row r="486" spans="1:21" s="1015" customFormat="1" ht="45" customHeight="1">
      <c r="A486" s="1163" t="s">
        <v>1249</v>
      </c>
      <c r="B486" s="1164"/>
      <c r="C486" s="1164"/>
      <c r="D486" s="1164"/>
      <c r="E486" s="1164"/>
      <c r="F486" s="1164"/>
      <c r="G486" s="1165"/>
      <c r="H486" s="968">
        <f>SUM(H487:H488)</f>
        <v>1342.4</v>
      </c>
      <c r="I486" s="968">
        <f t="shared" ref="I486:Q486" si="106">SUM(I487:I488)</f>
        <v>827.59999999999991</v>
      </c>
      <c r="J486" s="968">
        <f t="shared" si="106"/>
        <v>827.59999999999991</v>
      </c>
      <c r="K486" s="958">
        <f t="shared" si="106"/>
        <v>39</v>
      </c>
      <c r="L486" s="971">
        <f t="shared" si="106"/>
        <v>9481784.1899999995</v>
      </c>
      <c r="M486" s="968">
        <f t="shared" si="106"/>
        <v>0</v>
      </c>
      <c r="N486" s="968">
        <f t="shared" si="106"/>
        <v>0</v>
      </c>
      <c r="O486" s="968">
        <f t="shared" si="106"/>
        <v>9481784.1899999995</v>
      </c>
      <c r="P486" s="968">
        <f t="shared" si="106"/>
        <v>0</v>
      </c>
      <c r="Q486" s="968">
        <f t="shared" si="106"/>
        <v>0</v>
      </c>
      <c r="R486" s="968" t="s">
        <v>40</v>
      </c>
      <c r="S486" s="968" t="s">
        <v>40</v>
      </c>
      <c r="U486" s="967"/>
    </row>
    <row r="487" spans="1:21" s="1015" customFormat="1" ht="41.25" customHeight="1">
      <c r="A487" s="956">
        <v>80</v>
      </c>
      <c r="B487" s="984" t="s">
        <v>1783</v>
      </c>
      <c r="C487" s="956">
        <v>1961</v>
      </c>
      <c r="D487" s="986"/>
      <c r="E487" s="956" t="s">
        <v>218</v>
      </c>
      <c r="F487" s="957">
        <v>2</v>
      </c>
      <c r="G487" s="957">
        <v>2</v>
      </c>
      <c r="H487" s="968">
        <v>689.1</v>
      </c>
      <c r="I487" s="968">
        <v>413.4</v>
      </c>
      <c r="J487" s="968">
        <v>413.4</v>
      </c>
      <c r="K487" s="959">
        <v>16</v>
      </c>
      <c r="L487" s="971">
        <v>4343184.76</v>
      </c>
      <c r="M487" s="985">
        <v>0</v>
      </c>
      <c r="N487" s="985">
        <v>0</v>
      </c>
      <c r="O487" s="968">
        <v>4343184.76</v>
      </c>
      <c r="P487" s="963">
        <v>0</v>
      </c>
      <c r="Q487" s="985">
        <v>0</v>
      </c>
      <c r="R487" s="964">
        <v>2025</v>
      </c>
      <c r="S487" s="964">
        <v>2025</v>
      </c>
      <c r="U487" s="967"/>
    </row>
    <row r="488" spans="1:21" s="1015" customFormat="1" ht="41.25" customHeight="1">
      <c r="A488" s="956">
        <v>81</v>
      </c>
      <c r="B488" s="984" t="s">
        <v>1784</v>
      </c>
      <c r="C488" s="956">
        <v>1958</v>
      </c>
      <c r="D488" s="986"/>
      <c r="E488" s="956" t="s">
        <v>218</v>
      </c>
      <c r="F488" s="957">
        <v>2</v>
      </c>
      <c r="G488" s="957">
        <v>2</v>
      </c>
      <c r="H488" s="968">
        <v>653.29999999999995</v>
      </c>
      <c r="I488" s="968">
        <v>414.2</v>
      </c>
      <c r="J488" s="968">
        <v>414.2</v>
      </c>
      <c r="K488" s="959">
        <v>23</v>
      </c>
      <c r="L488" s="971">
        <v>5138599.43</v>
      </c>
      <c r="M488" s="985">
        <v>0</v>
      </c>
      <c r="N488" s="985">
        <v>0</v>
      </c>
      <c r="O488" s="968">
        <v>5138599.43</v>
      </c>
      <c r="P488" s="963">
        <v>0</v>
      </c>
      <c r="Q488" s="985">
        <v>0</v>
      </c>
      <c r="R488" s="964">
        <v>2025</v>
      </c>
      <c r="S488" s="964">
        <v>2025</v>
      </c>
      <c r="U488" s="967"/>
    </row>
    <row r="489" spans="1:21" s="1015" customFormat="1" ht="41.25" customHeight="1">
      <c r="A489" s="1163" t="s">
        <v>1250</v>
      </c>
      <c r="B489" s="1164"/>
      <c r="C489" s="1164"/>
      <c r="D489" s="1164"/>
      <c r="E489" s="1164"/>
      <c r="F489" s="1164"/>
      <c r="G489" s="1165"/>
      <c r="H489" s="968">
        <f>SUM(H490:H494)</f>
        <v>13807.21</v>
      </c>
      <c r="I489" s="968">
        <f t="shared" ref="I489:Q489" si="107">SUM(I490:I494)</f>
        <v>13807.21</v>
      </c>
      <c r="J489" s="968">
        <f t="shared" si="107"/>
        <v>11750.11</v>
      </c>
      <c r="K489" s="958">
        <f t="shared" si="107"/>
        <v>451</v>
      </c>
      <c r="L489" s="971">
        <f t="shared" si="107"/>
        <v>29816233.869999997</v>
      </c>
      <c r="M489" s="968">
        <f t="shared" si="107"/>
        <v>0</v>
      </c>
      <c r="N489" s="968">
        <f t="shared" si="107"/>
        <v>0</v>
      </c>
      <c r="O489" s="968">
        <f t="shared" si="107"/>
        <v>29816233.869999997</v>
      </c>
      <c r="P489" s="968">
        <f t="shared" si="107"/>
        <v>0</v>
      </c>
      <c r="Q489" s="968">
        <f t="shared" si="107"/>
        <v>0</v>
      </c>
      <c r="R489" s="968" t="s">
        <v>40</v>
      </c>
      <c r="S489" s="968" t="s">
        <v>40</v>
      </c>
      <c r="U489" s="967"/>
    </row>
    <row r="490" spans="1:21" s="1015" customFormat="1" ht="41.25" customHeight="1">
      <c r="A490" s="956">
        <v>82</v>
      </c>
      <c r="B490" s="972" t="s">
        <v>1290</v>
      </c>
      <c r="C490" s="957">
        <v>1988</v>
      </c>
      <c r="D490" s="957"/>
      <c r="E490" s="956" t="s">
        <v>218</v>
      </c>
      <c r="F490" s="957">
        <v>5</v>
      </c>
      <c r="G490" s="957">
        <v>4</v>
      </c>
      <c r="H490" s="956">
        <v>3075.4</v>
      </c>
      <c r="I490" s="956">
        <v>3075.4</v>
      </c>
      <c r="J490" s="956">
        <v>2779.2</v>
      </c>
      <c r="K490" s="956">
        <v>102</v>
      </c>
      <c r="L490" s="971">
        <v>6281589.0599999996</v>
      </c>
      <c r="M490" s="968">
        <v>0</v>
      </c>
      <c r="N490" s="968">
        <v>0</v>
      </c>
      <c r="O490" s="963">
        <f>L490</f>
        <v>6281589.0599999996</v>
      </c>
      <c r="P490" s="968">
        <v>0</v>
      </c>
      <c r="Q490" s="968">
        <v>0</v>
      </c>
      <c r="R490" s="957">
        <v>2025</v>
      </c>
      <c r="S490" s="957">
        <v>2025</v>
      </c>
      <c r="U490" s="967"/>
    </row>
    <row r="491" spans="1:21" s="1015" customFormat="1" ht="41.25" customHeight="1">
      <c r="A491" s="956">
        <v>83</v>
      </c>
      <c r="B491" s="972" t="s">
        <v>1291</v>
      </c>
      <c r="C491" s="957">
        <v>1983</v>
      </c>
      <c r="D491" s="957"/>
      <c r="E491" s="956" t="s">
        <v>218</v>
      </c>
      <c r="F491" s="957">
        <v>5</v>
      </c>
      <c r="G491" s="957">
        <v>4</v>
      </c>
      <c r="H491" s="956">
        <v>3063.9</v>
      </c>
      <c r="I491" s="956">
        <v>3063.9</v>
      </c>
      <c r="J491" s="956">
        <v>2786.3</v>
      </c>
      <c r="K491" s="956">
        <v>123</v>
      </c>
      <c r="L491" s="971">
        <v>7201525.9299999997</v>
      </c>
      <c r="M491" s="968">
        <v>0</v>
      </c>
      <c r="N491" s="968">
        <v>0</v>
      </c>
      <c r="O491" s="963">
        <f>L491</f>
        <v>7201525.9299999997</v>
      </c>
      <c r="P491" s="968">
        <v>0</v>
      </c>
      <c r="Q491" s="968">
        <v>0</v>
      </c>
      <c r="R491" s="957">
        <v>2025</v>
      </c>
      <c r="S491" s="957">
        <v>2025</v>
      </c>
      <c r="U491" s="967"/>
    </row>
    <row r="492" spans="1:21" s="1015" customFormat="1" ht="41.25" customHeight="1">
      <c r="A492" s="956">
        <v>84</v>
      </c>
      <c r="B492" s="972" t="s">
        <v>1293</v>
      </c>
      <c r="C492" s="957">
        <v>1974</v>
      </c>
      <c r="D492" s="963"/>
      <c r="E492" s="956" t="s">
        <v>219</v>
      </c>
      <c r="F492" s="957">
        <v>2</v>
      </c>
      <c r="G492" s="957">
        <v>2</v>
      </c>
      <c r="H492" s="956">
        <v>388.61</v>
      </c>
      <c r="I492" s="956">
        <v>388.61</v>
      </c>
      <c r="J492" s="956">
        <v>340.61</v>
      </c>
      <c r="K492" s="956">
        <v>19</v>
      </c>
      <c r="L492" s="971">
        <v>2787687.46</v>
      </c>
      <c r="M492" s="968">
        <v>0</v>
      </c>
      <c r="N492" s="968">
        <v>0</v>
      </c>
      <c r="O492" s="963">
        <f>L492</f>
        <v>2787687.46</v>
      </c>
      <c r="P492" s="968">
        <v>0</v>
      </c>
      <c r="Q492" s="968">
        <v>0</v>
      </c>
      <c r="R492" s="957">
        <v>2025</v>
      </c>
      <c r="S492" s="957">
        <v>2025</v>
      </c>
      <c r="U492" s="967"/>
    </row>
    <row r="493" spans="1:21" s="1015" customFormat="1" ht="41.25" customHeight="1">
      <c r="A493" s="956">
        <v>85</v>
      </c>
      <c r="B493" s="972" t="s">
        <v>1292</v>
      </c>
      <c r="C493" s="957">
        <v>1983</v>
      </c>
      <c r="D493" s="963"/>
      <c r="E493" s="956" t="s">
        <v>219</v>
      </c>
      <c r="F493" s="957">
        <v>3</v>
      </c>
      <c r="G493" s="957">
        <v>3</v>
      </c>
      <c r="H493" s="956">
        <v>1383</v>
      </c>
      <c r="I493" s="956">
        <v>1383</v>
      </c>
      <c r="J493" s="956">
        <v>1349.4</v>
      </c>
      <c r="K493" s="956">
        <v>34</v>
      </c>
      <c r="L493" s="971">
        <v>3929477.7699999996</v>
      </c>
      <c r="M493" s="968">
        <v>0</v>
      </c>
      <c r="N493" s="968">
        <v>0</v>
      </c>
      <c r="O493" s="963">
        <f>L493</f>
        <v>3929477.7699999996</v>
      </c>
      <c r="P493" s="968">
        <v>0</v>
      </c>
      <c r="Q493" s="968">
        <v>0</v>
      </c>
      <c r="R493" s="957">
        <v>2025</v>
      </c>
      <c r="S493" s="957">
        <v>2025</v>
      </c>
      <c r="U493" s="967"/>
    </row>
    <row r="494" spans="1:21" s="1015" customFormat="1" ht="41.25" customHeight="1">
      <c r="A494" s="956">
        <v>86</v>
      </c>
      <c r="B494" s="972" t="s">
        <v>1294</v>
      </c>
      <c r="C494" s="957">
        <v>1968</v>
      </c>
      <c r="D494" s="991">
        <v>2019</v>
      </c>
      <c r="E494" s="956" t="s">
        <v>218</v>
      </c>
      <c r="F494" s="957">
        <v>5</v>
      </c>
      <c r="G494" s="957">
        <v>6</v>
      </c>
      <c r="H494" s="956">
        <v>5896.3</v>
      </c>
      <c r="I494" s="956">
        <v>5896.3</v>
      </c>
      <c r="J494" s="956">
        <v>4494.6000000000004</v>
      </c>
      <c r="K494" s="956">
        <v>173</v>
      </c>
      <c r="L494" s="971">
        <v>9615953.6500000004</v>
      </c>
      <c r="M494" s="968">
        <v>0</v>
      </c>
      <c r="N494" s="968">
        <v>0</v>
      </c>
      <c r="O494" s="963">
        <f>L494</f>
        <v>9615953.6500000004</v>
      </c>
      <c r="P494" s="968">
        <v>0</v>
      </c>
      <c r="Q494" s="968">
        <v>0</v>
      </c>
      <c r="R494" s="957">
        <v>2025</v>
      </c>
      <c r="S494" s="957">
        <v>2025</v>
      </c>
      <c r="U494" s="967"/>
    </row>
    <row r="495" spans="1:21" s="1015" customFormat="1" ht="41.25" customHeight="1">
      <c r="A495" s="1163" t="s">
        <v>1069</v>
      </c>
      <c r="B495" s="1164"/>
      <c r="C495" s="1164"/>
      <c r="D495" s="1164"/>
      <c r="E495" s="1164"/>
      <c r="F495" s="1164"/>
      <c r="G495" s="1165"/>
      <c r="H495" s="968">
        <f>H496</f>
        <v>1523.1</v>
      </c>
      <c r="I495" s="968">
        <f t="shared" ref="I495:Q495" si="108">I496</f>
        <v>1379.4</v>
      </c>
      <c r="J495" s="968">
        <f t="shared" si="108"/>
        <v>1293.9000000000001</v>
      </c>
      <c r="K495" s="958">
        <f t="shared" si="108"/>
        <v>47</v>
      </c>
      <c r="L495" s="971">
        <f t="shared" si="108"/>
        <v>6789799.4800000004</v>
      </c>
      <c r="M495" s="968">
        <f t="shared" si="108"/>
        <v>0</v>
      </c>
      <c r="N495" s="968">
        <f t="shared" si="108"/>
        <v>0</v>
      </c>
      <c r="O495" s="968">
        <f t="shared" si="108"/>
        <v>6789799.4800000004</v>
      </c>
      <c r="P495" s="968">
        <f t="shared" si="108"/>
        <v>0</v>
      </c>
      <c r="Q495" s="968">
        <f t="shared" si="108"/>
        <v>0</v>
      </c>
      <c r="R495" s="968" t="s">
        <v>40</v>
      </c>
      <c r="S495" s="968" t="s">
        <v>40</v>
      </c>
      <c r="U495" s="967"/>
    </row>
    <row r="496" spans="1:21" s="1015" customFormat="1" ht="41.25" customHeight="1">
      <c r="A496" s="956">
        <v>87</v>
      </c>
      <c r="B496" s="986" t="s">
        <v>1376</v>
      </c>
      <c r="C496" s="957">
        <v>1980</v>
      </c>
      <c r="D496" s="957"/>
      <c r="E496" s="956" t="s">
        <v>219</v>
      </c>
      <c r="F496" s="957">
        <v>3</v>
      </c>
      <c r="G496" s="957">
        <v>3</v>
      </c>
      <c r="H496" s="968">
        <v>1523.1</v>
      </c>
      <c r="I496" s="968">
        <v>1379.4</v>
      </c>
      <c r="J496" s="968">
        <v>1293.9000000000001</v>
      </c>
      <c r="K496" s="959">
        <v>47</v>
      </c>
      <c r="L496" s="971">
        <v>6789799.4800000004</v>
      </c>
      <c r="M496" s="985">
        <v>0</v>
      </c>
      <c r="N496" s="985">
        <v>0</v>
      </c>
      <c r="O496" s="985">
        <v>6789799.4800000004</v>
      </c>
      <c r="P496" s="963">
        <v>0</v>
      </c>
      <c r="Q496" s="985">
        <v>0</v>
      </c>
      <c r="R496" s="964">
        <v>2025</v>
      </c>
      <c r="S496" s="964">
        <v>2025</v>
      </c>
      <c r="U496" s="967"/>
    </row>
    <row r="497" spans="1:21" s="1015" customFormat="1" ht="41.25" customHeight="1">
      <c r="A497" s="1172" t="s">
        <v>1794</v>
      </c>
      <c r="B497" s="1173"/>
      <c r="C497" s="1173"/>
      <c r="D497" s="1173"/>
      <c r="E497" s="1173"/>
      <c r="F497" s="1173"/>
      <c r="G497" s="1174"/>
      <c r="H497" s="968">
        <f>H498</f>
        <v>626</v>
      </c>
      <c r="I497" s="968">
        <f t="shared" ref="I497:Q497" si="109">I498</f>
        <v>576.79999999999995</v>
      </c>
      <c r="J497" s="968">
        <f t="shared" si="109"/>
        <v>576.79999999999995</v>
      </c>
      <c r="K497" s="958">
        <f t="shared" si="109"/>
        <v>18</v>
      </c>
      <c r="L497" s="971">
        <f t="shared" si="109"/>
        <v>5436503.79</v>
      </c>
      <c r="M497" s="968">
        <f t="shared" si="109"/>
        <v>0</v>
      </c>
      <c r="N497" s="968">
        <f t="shared" si="109"/>
        <v>0</v>
      </c>
      <c r="O497" s="968">
        <f t="shared" si="109"/>
        <v>5436503.79</v>
      </c>
      <c r="P497" s="968">
        <f t="shared" si="109"/>
        <v>0</v>
      </c>
      <c r="Q497" s="968">
        <f t="shared" si="109"/>
        <v>0</v>
      </c>
      <c r="R497" s="968" t="s">
        <v>40</v>
      </c>
      <c r="S497" s="968" t="s">
        <v>40</v>
      </c>
      <c r="U497" s="967"/>
    </row>
    <row r="498" spans="1:21" s="1015" customFormat="1" ht="41.25" customHeight="1">
      <c r="A498" s="956">
        <v>88</v>
      </c>
      <c r="B498" s="986" t="s">
        <v>1796</v>
      </c>
      <c r="C498" s="957">
        <v>1981</v>
      </c>
      <c r="D498" s="957"/>
      <c r="E498" s="956" t="s">
        <v>218</v>
      </c>
      <c r="F498" s="957">
        <v>2</v>
      </c>
      <c r="G498" s="957">
        <v>2</v>
      </c>
      <c r="H498" s="968">
        <v>626</v>
      </c>
      <c r="I498" s="968">
        <v>576.79999999999995</v>
      </c>
      <c r="J498" s="968">
        <v>576.79999999999995</v>
      </c>
      <c r="K498" s="959">
        <v>18</v>
      </c>
      <c r="L498" s="971">
        <v>5436503.79</v>
      </c>
      <c r="M498" s="985">
        <v>0</v>
      </c>
      <c r="N498" s="985">
        <v>0</v>
      </c>
      <c r="O498" s="985">
        <v>5436503.79</v>
      </c>
      <c r="P498" s="963">
        <v>0</v>
      </c>
      <c r="Q498" s="985">
        <v>0</v>
      </c>
      <c r="R498" s="964">
        <v>2025</v>
      </c>
      <c r="S498" s="964">
        <v>2025</v>
      </c>
      <c r="U498" s="967"/>
    </row>
    <row r="499" spans="1:21" s="1015" customFormat="1" ht="41.25" customHeight="1">
      <c r="A499" s="1163" t="s">
        <v>1058</v>
      </c>
      <c r="B499" s="1164"/>
      <c r="C499" s="1164"/>
      <c r="D499" s="1164"/>
      <c r="E499" s="1164"/>
      <c r="F499" s="1164"/>
      <c r="G499" s="1165"/>
      <c r="H499" s="968">
        <f>H500</f>
        <v>575.4</v>
      </c>
      <c r="I499" s="968">
        <f t="shared" ref="I499:Q499" si="110">I500</f>
        <v>575.4</v>
      </c>
      <c r="J499" s="968">
        <f t="shared" si="110"/>
        <v>464.2</v>
      </c>
      <c r="K499" s="958">
        <f t="shared" si="110"/>
        <v>22</v>
      </c>
      <c r="L499" s="971">
        <f t="shared" si="110"/>
        <v>4511094.49</v>
      </c>
      <c r="M499" s="968">
        <f t="shared" si="110"/>
        <v>0</v>
      </c>
      <c r="N499" s="968">
        <f t="shared" si="110"/>
        <v>0</v>
      </c>
      <c r="O499" s="968">
        <f t="shared" si="110"/>
        <v>4511094.49</v>
      </c>
      <c r="P499" s="968">
        <f t="shared" si="110"/>
        <v>0</v>
      </c>
      <c r="Q499" s="968">
        <f t="shared" si="110"/>
        <v>0</v>
      </c>
      <c r="R499" s="968" t="s">
        <v>40</v>
      </c>
      <c r="S499" s="968" t="s">
        <v>40</v>
      </c>
      <c r="U499" s="967"/>
    </row>
    <row r="500" spans="1:21" s="1015" customFormat="1" ht="41.25" customHeight="1">
      <c r="A500" s="956">
        <v>89</v>
      </c>
      <c r="B500" s="986" t="s">
        <v>1574</v>
      </c>
      <c r="C500" s="957">
        <v>1975</v>
      </c>
      <c r="D500" s="957"/>
      <c r="E500" s="956" t="s">
        <v>218</v>
      </c>
      <c r="F500" s="957">
        <v>2</v>
      </c>
      <c r="G500" s="957">
        <v>2</v>
      </c>
      <c r="H500" s="968">
        <v>575.4</v>
      </c>
      <c r="I500" s="968">
        <v>575.4</v>
      </c>
      <c r="J500" s="968">
        <v>464.2</v>
      </c>
      <c r="K500" s="959">
        <v>22</v>
      </c>
      <c r="L500" s="971">
        <v>4511094.49</v>
      </c>
      <c r="M500" s="968">
        <v>0</v>
      </c>
      <c r="N500" s="968">
        <v>0</v>
      </c>
      <c r="O500" s="968">
        <v>4511094.49</v>
      </c>
      <c r="P500" s="963">
        <v>0</v>
      </c>
      <c r="Q500" s="968">
        <v>0</v>
      </c>
      <c r="R500" s="964">
        <v>2025</v>
      </c>
      <c r="S500" s="964">
        <v>2025</v>
      </c>
      <c r="U500" s="967"/>
    </row>
    <row r="501" spans="1:21" s="1015" customFormat="1" ht="41.25" customHeight="1">
      <c r="A501" s="1166" t="s">
        <v>1068</v>
      </c>
      <c r="B501" s="1167"/>
      <c r="C501" s="1167"/>
      <c r="D501" s="1167"/>
      <c r="E501" s="1167"/>
      <c r="F501" s="1167"/>
      <c r="G501" s="1168"/>
      <c r="H501" s="963">
        <f t="shared" ref="H501:Q501" si="111">H353+H502</f>
        <v>1365.8000000000002</v>
      </c>
      <c r="I501" s="963">
        <f t="shared" si="111"/>
        <v>1365.8000000000002</v>
      </c>
      <c r="J501" s="963">
        <f t="shared" si="111"/>
        <v>748.09999999999991</v>
      </c>
      <c r="K501" s="977">
        <f t="shared" si="111"/>
        <v>51</v>
      </c>
      <c r="L501" s="965">
        <f t="shared" si="111"/>
        <v>5751075.0700000003</v>
      </c>
      <c r="M501" s="963">
        <f t="shared" si="111"/>
        <v>0</v>
      </c>
      <c r="N501" s="963">
        <f t="shared" si="111"/>
        <v>0</v>
      </c>
      <c r="O501" s="963">
        <f t="shared" si="111"/>
        <v>5751075.0700000003</v>
      </c>
      <c r="P501" s="963">
        <f t="shared" si="111"/>
        <v>0</v>
      </c>
      <c r="Q501" s="963">
        <f t="shared" si="111"/>
        <v>0</v>
      </c>
      <c r="R501" s="968" t="s">
        <v>40</v>
      </c>
      <c r="S501" s="968" t="s">
        <v>40</v>
      </c>
      <c r="U501" s="967"/>
    </row>
    <row r="502" spans="1:21" s="1015" customFormat="1" ht="41.25" customHeight="1">
      <c r="A502" s="956">
        <v>90</v>
      </c>
      <c r="B502" s="995" t="s">
        <v>1275</v>
      </c>
      <c r="C502" s="959">
        <v>1978</v>
      </c>
      <c r="D502" s="996"/>
      <c r="E502" s="956" t="s">
        <v>218</v>
      </c>
      <c r="F502" s="964">
        <v>2</v>
      </c>
      <c r="G502" s="964">
        <v>2</v>
      </c>
      <c r="H502" s="963">
        <v>848.7</v>
      </c>
      <c r="I502" s="963">
        <v>848.7</v>
      </c>
      <c r="J502" s="963">
        <v>454.4</v>
      </c>
      <c r="K502" s="964">
        <v>30</v>
      </c>
      <c r="L502" s="971">
        <v>3577259.62</v>
      </c>
      <c r="M502" s="985">
        <v>0</v>
      </c>
      <c r="N502" s="985">
        <v>0</v>
      </c>
      <c r="O502" s="985">
        <v>3577259.62</v>
      </c>
      <c r="P502" s="963">
        <v>0</v>
      </c>
      <c r="Q502" s="985">
        <v>0</v>
      </c>
      <c r="R502" s="964">
        <v>2025</v>
      </c>
      <c r="S502" s="964">
        <v>2025</v>
      </c>
      <c r="U502" s="967"/>
    </row>
    <row r="503" spans="1:21" s="1015" customFormat="1" ht="41.25" customHeight="1">
      <c r="A503" s="1163" t="s">
        <v>1187</v>
      </c>
      <c r="B503" s="1164"/>
      <c r="C503" s="1164"/>
      <c r="D503" s="1164"/>
      <c r="E503" s="1164"/>
      <c r="F503" s="1164"/>
      <c r="G503" s="1165"/>
      <c r="H503" s="968">
        <f t="shared" ref="H503:Q503" si="112">SUM(H504:H504)</f>
        <v>4269.6000000000004</v>
      </c>
      <c r="I503" s="968">
        <f t="shared" si="112"/>
        <v>4269.6000000000004</v>
      </c>
      <c r="J503" s="968">
        <f t="shared" si="112"/>
        <v>4136.8999999999996</v>
      </c>
      <c r="K503" s="958">
        <f t="shared" si="112"/>
        <v>173</v>
      </c>
      <c r="L503" s="971">
        <f t="shared" si="112"/>
        <v>7602256</v>
      </c>
      <c r="M503" s="968">
        <f t="shared" si="112"/>
        <v>0</v>
      </c>
      <c r="N503" s="968">
        <f t="shared" si="112"/>
        <v>0</v>
      </c>
      <c r="O503" s="968">
        <f t="shared" si="112"/>
        <v>7602256</v>
      </c>
      <c r="P503" s="968">
        <f t="shared" si="112"/>
        <v>0</v>
      </c>
      <c r="Q503" s="968">
        <f t="shared" si="112"/>
        <v>0</v>
      </c>
      <c r="R503" s="968" t="s">
        <v>40</v>
      </c>
      <c r="S503" s="968" t="s">
        <v>40</v>
      </c>
      <c r="U503" s="967"/>
    </row>
    <row r="504" spans="1:21" s="1015" customFormat="1" ht="41.25" customHeight="1">
      <c r="A504" s="956">
        <v>91</v>
      </c>
      <c r="B504" s="984" t="s">
        <v>1407</v>
      </c>
      <c r="C504" s="957">
        <v>1984</v>
      </c>
      <c r="D504" s="957"/>
      <c r="E504" s="956" t="s">
        <v>218</v>
      </c>
      <c r="F504" s="957">
        <v>5</v>
      </c>
      <c r="G504" s="957">
        <v>6</v>
      </c>
      <c r="H504" s="968">
        <v>4269.6000000000004</v>
      </c>
      <c r="I504" s="968">
        <v>4269.6000000000004</v>
      </c>
      <c r="J504" s="968">
        <v>4136.8999999999996</v>
      </c>
      <c r="K504" s="959">
        <v>173</v>
      </c>
      <c r="L504" s="971">
        <v>7602256</v>
      </c>
      <c r="M504" s="985">
        <v>0</v>
      </c>
      <c r="N504" s="985">
        <v>0</v>
      </c>
      <c r="O504" s="985">
        <f>L504</f>
        <v>7602256</v>
      </c>
      <c r="P504" s="963">
        <v>0</v>
      </c>
      <c r="Q504" s="985">
        <v>0</v>
      </c>
      <c r="R504" s="964">
        <v>2025</v>
      </c>
      <c r="S504" s="964">
        <v>2025</v>
      </c>
      <c r="U504" s="967"/>
    </row>
    <row r="505" spans="1:21" s="1015" customFormat="1" ht="41.25" customHeight="1">
      <c r="A505" s="1163" t="s">
        <v>207</v>
      </c>
      <c r="B505" s="1164"/>
      <c r="C505" s="1164"/>
      <c r="D505" s="1164"/>
      <c r="E505" s="1164"/>
      <c r="F505" s="1164"/>
      <c r="G505" s="1165"/>
      <c r="H505" s="968">
        <f>SUM(H506:H510)</f>
        <v>12860.269999999999</v>
      </c>
      <c r="I505" s="968">
        <f t="shared" ref="I505:Q505" si="113">SUM(I506:I510)</f>
        <v>12190.869999999999</v>
      </c>
      <c r="J505" s="968">
        <f t="shared" si="113"/>
        <v>10374.07</v>
      </c>
      <c r="K505" s="958">
        <f t="shared" si="113"/>
        <v>498</v>
      </c>
      <c r="L505" s="971">
        <f t="shared" si="113"/>
        <v>26406023.920000002</v>
      </c>
      <c r="M505" s="968">
        <f t="shared" si="113"/>
        <v>0</v>
      </c>
      <c r="N505" s="968">
        <f t="shared" si="113"/>
        <v>0</v>
      </c>
      <c r="O505" s="968">
        <f t="shared" si="113"/>
        <v>26406023.920000002</v>
      </c>
      <c r="P505" s="968">
        <f t="shared" si="113"/>
        <v>0</v>
      </c>
      <c r="Q505" s="968">
        <f t="shared" si="113"/>
        <v>0</v>
      </c>
      <c r="R505" s="968" t="s">
        <v>40</v>
      </c>
      <c r="S505" s="957" t="s">
        <v>40</v>
      </c>
      <c r="U505" s="967"/>
    </row>
    <row r="506" spans="1:21" s="1015" customFormat="1" ht="41.25" customHeight="1">
      <c r="A506" s="957">
        <v>92</v>
      </c>
      <c r="B506" s="984" t="s">
        <v>1566</v>
      </c>
      <c r="C506" s="957">
        <v>1984</v>
      </c>
      <c r="D506" s="999"/>
      <c r="E506" s="956" t="s">
        <v>218</v>
      </c>
      <c r="F506" s="957">
        <v>2</v>
      </c>
      <c r="G506" s="957">
        <v>3</v>
      </c>
      <c r="H506" s="968">
        <v>959.4</v>
      </c>
      <c r="I506" s="968">
        <v>959.4</v>
      </c>
      <c r="J506" s="968">
        <v>523.4</v>
      </c>
      <c r="K506" s="964">
        <v>51</v>
      </c>
      <c r="L506" s="971">
        <v>3495643.92</v>
      </c>
      <c r="M506" s="963">
        <v>0</v>
      </c>
      <c r="N506" s="963">
        <v>0</v>
      </c>
      <c r="O506" s="968">
        <f>L506</f>
        <v>3495643.92</v>
      </c>
      <c r="P506" s="963">
        <v>0</v>
      </c>
      <c r="Q506" s="963">
        <v>0</v>
      </c>
      <c r="R506" s="964">
        <v>2025</v>
      </c>
      <c r="S506" s="964">
        <v>2025</v>
      </c>
      <c r="U506" s="967"/>
    </row>
    <row r="507" spans="1:21" s="1015" customFormat="1" ht="41.25" customHeight="1">
      <c r="A507" s="957">
        <v>93</v>
      </c>
      <c r="B507" s="984" t="s">
        <v>1567</v>
      </c>
      <c r="C507" s="957">
        <v>1973</v>
      </c>
      <c r="D507" s="999"/>
      <c r="E507" s="956" t="s">
        <v>218</v>
      </c>
      <c r="F507" s="957">
        <v>2</v>
      </c>
      <c r="G507" s="957">
        <v>1</v>
      </c>
      <c r="H507" s="968">
        <v>860.8</v>
      </c>
      <c r="I507" s="968">
        <v>860.8</v>
      </c>
      <c r="J507" s="968">
        <v>641.79999999999995</v>
      </c>
      <c r="K507" s="964">
        <v>36</v>
      </c>
      <c r="L507" s="971">
        <v>2636326.46</v>
      </c>
      <c r="M507" s="963">
        <v>0</v>
      </c>
      <c r="N507" s="963">
        <v>0</v>
      </c>
      <c r="O507" s="968">
        <f>L507</f>
        <v>2636326.46</v>
      </c>
      <c r="P507" s="963">
        <v>0</v>
      </c>
      <c r="Q507" s="963">
        <v>0</v>
      </c>
      <c r="R507" s="964">
        <v>2025</v>
      </c>
      <c r="S507" s="964">
        <v>2025</v>
      </c>
      <c r="U507" s="967"/>
    </row>
    <row r="508" spans="1:21" s="1015" customFormat="1" ht="41.25" customHeight="1">
      <c r="A508" s="957">
        <v>94</v>
      </c>
      <c r="B508" s="984" t="s">
        <v>1568</v>
      </c>
      <c r="C508" s="957">
        <v>1978</v>
      </c>
      <c r="D508" s="999"/>
      <c r="E508" s="956" t="s">
        <v>218</v>
      </c>
      <c r="F508" s="957">
        <v>2</v>
      </c>
      <c r="G508" s="957">
        <v>2</v>
      </c>
      <c r="H508" s="968">
        <v>812.6</v>
      </c>
      <c r="I508" s="968">
        <v>812.6</v>
      </c>
      <c r="J508" s="968">
        <v>430.4</v>
      </c>
      <c r="K508" s="964">
        <v>33</v>
      </c>
      <c r="L508" s="971">
        <v>6880888.5599999996</v>
      </c>
      <c r="M508" s="963">
        <v>0</v>
      </c>
      <c r="N508" s="963">
        <v>0</v>
      </c>
      <c r="O508" s="968">
        <v>6880888.5599999996</v>
      </c>
      <c r="P508" s="963">
        <v>0</v>
      </c>
      <c r="Q508" s="963">
        <v>0</v>
      </c>
      <c r="R508" s="964">
        <v>2025</v>
      </c>
      <c r="S508" s="964">
        <v>2025</v>
      </c>
      <c r="U508" s="967"/>
    </row>
    <row r="509" spans="1:21" s="1015" customFormat="1" ht="41.25" customHeight="1">
      <c r="A509" s="957">
        <v>95</v>
      </c>
      <c r="B509" s="984" t="s">
        <v>1569</v>
      </c>
      <c r="C509" s="957">
        <v>1988</v>
      </c>
      <c r="D509" s="999"/>
      <c r="E509" s="956" t="s">
        <v>219</v>
      </c>
      <c r="F509" s="957">
        <v>9</v>
      </c>
      <c r="G509" s="957">
        <v>2</v>
      </c>
      <c r="H509" s="968">
        <v>5111.8999999999996</v>
      </c>
      <c r="I509" s="968">
        <v>4442.5</v>
      </c>
      <c r="J509" s="968">
        <v>4442.5</v>
      </c>
      <c r="K509" s="964">
        <v>201</v>
      </c>
      <c r="L509" s="971">
        <v>6696582.4900000002</v>
      </c>
      <c r="M509" s="963">
        <v>0</v>
      </c>
      <c r="N509" s="963">
        <v>0</v>
      </c>
      <c r="O509" s="968">
        <f>L509</f>
        <v>6696582.4900000002</v>
      </c>
      <c r="P509" s="963">
        <v>0</v>
      </c>
      <c r="Q509" s="963">
        <v>0</v>
      </c>
      <c r="R509" s="964">
        <v>2025</v>
      </c>
      <c r="S509" s="964">
        <v>2025</v>
      </c>
      <c r="U509" s="967"/>
    </row>
    <row r="510" spans="1:21" s="1015" customFormat="1" ht="41.25" customHeight="1">
      <c r="A510" s="957">
        <v>96</v>
      </c>
      <c r="B510" s="984" t="s">
        <v>1570</v>
      </c>
      <c r="C510" s="957">
        <v>1982</v>
      </c>
      <c r="D510" s="999"/>
      <c r="E510" s="956" t="s">
        <v>219</v>
      </c>
      <c r="F510" s="957">
        <v>9</v>
      </c>
      <c r="G510" s="957">
        <v>2</v>
      </c>
      <c r="H510" s="968">
        <v>5115.57</v>
      </c>
      <c r="I510" s="968">
        <v>5115.57</v>
      </c>
      <c r="J510" s="968">
        <v>4335.97</v>
      </c>
      <c r="K510" s="964">
        <v>177</v>
      </c>
      <c r="L510" s="971">
        <v>6696582.4900000002</v>
      </c>
      <c r="M510" s="963">
        <v>0</v>
      </c>
      <c r="N510" s="963">
        <v>0</v>
      </c>
      <c r="O510" s="968">
        <f>L510</f>
        <v>6696582.4900000002</v>
      </c>
      <c r="P510" s="963">
        <v>0</v>
      </c>
      <c r="Q510" s="963">
        <v>0</v>
      </c>
      <c r="R510" s="964">
        <v>2025</v>
      </c>
      <c r="S510" s="964">
        <v>2025</v>
      </c>
      <c r="U510" s="967"/>
    </row>
    <row r="511" spans="1:21" s="1015" customFormat="1" ht="37.5" customHeight="1">
      <c r="A511" s="1163" t="s">
        <v>2056</v>
      </c>
      <c r="B511" s="1164"/>
      <c r="C511" s="1164"/>
      <c r="D511" s="1164"/>
      <c r="E511" s="1164"/>
      <c r="F511" s="1164"/>
      <c r="G511" s="1165"/>
      <c r="H511" s="968">
        <f>SUM(H512:H513)</f>
        <v>3519</v>
      </c>
      <c r="I511" s="968">
        <f t="shared" ref="I511:Q511" si="114">SUM(I512:I513)</f>
        <v>3519</v>
      </c>
      <c r="J511" s="968">
        <f t="shared" si="114"/>
        <v>2938.4</v>
      </c>
      <c r="K511" s="958">
        <f t="shared" si="114"/>
        <v>91</v>
      </c>
      <c r="L511" s="971">
        <f t="shared" si="114"/>
        <v>10675920.870000001</v>
      </c>
      <c r="M511" s="968">
        <f t="shared" si="114"/>
        <v>0</v>
      </c>
      <c r="N511" s="968">
        <f t="shared" si="114"/>
        <v>74590.539999999994</v>
      </c>
      <c r="O511" s="968">
        <f t="shared" si="114"/>
        <v>10601330.33</v>
      </c>
      <c r="P511" s="968">
        <f t="shared" si="114"/>
        <v>0</v>
      </c>
      <c r="Q511" s="968">
        <f t="shared" si="114"/>
        <v>0</v>
      </c>
      <c r="R511" s="968" t="s">
        <v>40</v>
      </c>
      <c r="S511" s="957" t="s">
        <v>40</v>
      </c>
      <c r="U511" s="967"/>
    </row>
    <row r="512" spans="1:21" s="1015" customFormat="1" ht="42" customHeight="1">
      <c r="A512" s="956">
        <v>97</v>
      </c>
      <c r="B512" s="986" t="s">
        <v>1269</v>
      </c>
      <c r="C512" s="956">
        <v>1994</v>
      </c>
      <c r="D512" s="956"/>
      <c r="E512" s="956" t="s">
        <v>220</v>
      </c>
      <c r="F512" s="956">
        <v>4</v>
      </c>
      <c r="G512" s="956">
        <v>2</v>
      </c>
      <c r="H512" s="963">
        <v>1928.4</v>
      </c>
      <c r="I512" s="963">
        <v>1928.4</v>
      </c>
      <c r="J512" s="963">
        <v>1697.4</v>
      </c>
      <c r="K512" s="964">
        <v>50</v>
      </c>
      <c r="L512" s="965">
        <v>7121619.3600000003</v>
      </c>
      <c r="M512" s="963">
        <v>0</v>
      </c>
      <c r="N512" s="963">
        <v>74590.539999999994</v>
      </c>
      <c r="O512" s="963">
        <v>7047028.8200000003</v>
      </c>
      <c r="P512" s="963">
        <v>0</v>
      </c>
      <c r="Q512" s="963">
        <v>0</v>
      </c>
      <c r="R512" s="964">
        <v>2025</v>
      </c>
      <c r="S512" s="964">
        <v>2025</v>
      </c>
      <c r="U512" s="967"/>
    </row>
    <row r="513" spans="1:78" s="1015" customFormat="1" ht="41.25" customHeight="1">
      <c r="A513" s="956">
        <v>98</v>
      </c>
      <c r="B513" s="986" t="s">
        <v>1268</v>
      </c>
      <c r="C513" s="956">
        <v>1991</v>
      </c>
      <c r="D513" s="956"/>
      <c r="E513" s="956" t="s">
        <v>219</v>
      </c>
      <c r="F513" s="956">
        <v>3</v>
      </c>
      <c r="G513" s="956">
        <v>3</v>
      </c>
      <c r="H513" s="963">
        <v>1590.6</v>
      </c>
      <c r="I513" s="963">
        <v>1590.6</v>
      </c>
      <c r="J513" s="963">
        <v>1241</v>
      </c>
      <c r="K513" s="964">
        <v>41</v>
      </c>
      <c r="L513" s="965">
        <v>3554301.51</v>
      </c>
      <c r="M513" s="963">
        <v>0</v>
      </c>
      <c r="N513" s="963">
        <v>0</v>
      </c>
      <c r="O513" s="963">
        <v>3554301.51</v>
      </c>
      <c r="P513" s="963">
        <v>0</v>
      </c>
      <c r="Q513" s="963">
        <v>0</v>
      </c>
      <c r="R513" s="964">
        <v>2025</v>
      </c>
      <c r="S513" s="964">
        <v>2025</v>
      </c>
      <c r="U513" s="967"/>
    </row>
    <row r="514" spans="1:78" s="1015" customFormat="1" ht="41.25" customHeight="1">
      <c r="A514" s="1190" t="s">
        <v>35</v>
      </c>
      <c r="B514" s="1190"/>
      <c r="C514" s="1190"/>
      <c r="D514" s="1190"/>
      <c r="E514" s="1190"/>
      <c r="F514" s="1190"/>
      <c r="G514" s="1190"/>
      <c r="H514" s="1190"/>
      <c r="I514" s="1190"/>
      <c r="J514" s="1190"/>
      <c r="K514" s="1190"/>
      <c r="L514" s="1190"/>
      <c r="M514" s="1190"/>
      <c r="N514" s="1190"/>
      <c r="O514" s="1190"/>
      <c r="P514" s="1190"/>
      <c r="Q514" s="1190"/>
      <c r="R514" s="1190"/>
      <c r="S514" s="1190"/>
      <c r="U514" s="967"/>
    </row>
    <row r="515" spans="1:78" s="1015" customFormat="1" ht="41.25" customHeight="1">
      <c r="A515" s="1169" t="s">
        <v>205</v>
      </c>
      <c r="B515" s="1170"/>
      <c r="C515" s="1170"/>
      <c r="D515" s="1170"/>
      <c r="E515" s="1170"/>
      <c r="F515" s="1170"/>
      <c r="G515" s="1171"/>
      <c r="H515" s="968">
        <v>0</v>
      </c>
      <c r="I515" s="968">
        <v>0</v>
      </c>
      <c r="J515" s="968">
        <v>0</v>
      </c>
      <c r="K515" s="968">
        <v>0</v>
      </c>
      <c r="L515" s="1000">
        <v>0</v>
      </c>
      <c r="M515" s="968">
        <v>0</v>
      </c>
      <c r="N515" s="968">
        <v>0</v>
      </c>
      <c r="O515" s="968">
        <v>0</v>
      </c>
      <c r="P515" s="968">
        <v>0</v>
      </c>
      <c r="Q515" s="968">
        <v>0</v>
      </c>
      <c r="R515" s="968" t="s">
        <v>40</v>
      </c>
      <c r="S515" s="968" t="s">
        <v>40</v>
      </c>
      <c r="U515" s="967"/>
    </row>
    <row r="516" spans="1:78" s="1015" customFormat="1" ht="41.25" customHeight="1">
      <c r="A516" s="1190" t="s">
        <v>1029</v>
      </c>
      <c r="B516" s="1190"/>
      <c r="C516" s="1190"/>
      <c r="D516" s="1190"/>
      <c r="E516" s="1190"/>
      <c r="F516" s="1190"/>
      <c r="G516" s="1190"/>
      <c r="H516" s="1190"/>
      <c r="I516" s="1190"/>
      <c r="J516" s="1190"/>
      <c r="K516" s="1190"/>
      <c r="L516" s="1190"/>
      <c r="M516" s="1190"/>
      <c r="N516" s="1190"/>
      <c r="O516" s="1190"/>
      <c r="P516" s="1190"/>
      <c r="Q516" s="1190"/>
      <c r="R516" s="1190"/>
      <c r="S516" s="1190"/>
      <c r="U516" s="967"/>
    </row>
    <row r="517" spans="1:78" s="1015" customFormat="1" ht="41.25" customHeight="1">
      <c r="A517" s="1169" t="s">
        <v>205</v>
      </c>
      <c r="B517" s="1170"/>
      <c r="C517" s="1170"/>
      <c r="D517" s="1170"/>
      <c r="E517" s="1170"/>
      <c r="F517" s="1170"/>
      <c r="G517" s="1171"/>
      <c r="H517" s="968">
        <f>H518</f>
        <v>825.5</v>
      </c>
      <c r="I517" s="968">
        <f t="shared" ref="I517:Q517" si="115">I518</f>
        <v>761.5</v>
      </c>
      <c r="J517" s="968">
        <f t="shared" si="115"/>
        <v>761.5</v>
      </c>
      <c r="K517" s="959">
        <f t="shared" si="115"/>
        <v>23</v>
      </c>
      <c r="L517" s="971">
        <f t="shared" si="115"/>
        <v>700000</v>
      </c>
      <c r="M517" s="968">
        <f t="shared" si="115"/>
        <v>0</v>
      </c>
      <c r="N517" s="968">
        <f t="shared" si="115"/>
        <v>210000</v>
      </c>
      <c r="O517" s="968">
        <f t="shared" si="115"/>
        <v>490000</v>
      </c>
      <c r="P517" s="968">
        <f t="shared" si="115"/>
        <v>0</v>
      </c>
      <c r="Q517" s="968">
        <f t="shared" si="115"/>
        <v>0</v>
      </c>
      <c r="R517" s="968" t="s">
        <v>40</v>
      </c>
      <c r="S517" s="968" t="s">
        <v>40</v>
      </c>
      <c r="U517" s="967"/>
    </row>
    <row r="518" spans="1:78" s="1015" customFormat="1" ht="41.25" customHeight="1">
      <c r="A518" s="1163" t="s">
        <v>1059</v>
      </c>
      <c r="B518" s="1164"/>
      <c r="C518" s="1164"/>
      <c r="D518" s="1164"/>
      <c r="E518" s="1164"/>
      <c r="F518" s="1164"/>
      <c r="G518" s="1165"/>
      <c r="H518" s="968">
        <f t="shared" ref="H518:Q518" si="116">SUM(H519:H519)</f>
        <v>825.5</v>
      </c>
      <c r="I518" s="968">
        <f t="shared" si="116"/>
        <v>761.5</v>
      </c>
      <c r="J518" s="968">
        <f t="shared" si="116"/>
        <v>761.5</v>
      </c>
      <c r="K518" s="959">
        <f t="shared" si="116"/>
        <v>23</v>
      </c>
      <c r="L518" s="971">
        <f t="shared" si="116"/>
        <v>700000</v>
      </c>
      <c r="M518" s="968">
        <f t="shared" si="116"/>
        <v>0</v>
      </c>
      <c r="N518" s="968">
        <f t="shared" si="116"/>
        <v>210000</v>
      </c>
      <c r="O518" s="968">
        <f t="shared" si="116"/>
        <v>490000</v>
      </c>
      <c r="P518" s="968">
        <f t="shared" si="116"/>
        <v>0</v>
      </c>
      <c r="Q518" s="968">
        <f t="shared" si="116"/>
        <v>0</v>
      </c>
      <c r="R518" s="968" t="s">
        <v>40</v>
      </c>
      <c r="S518" s="968" t="s">
        <v>40</v>
      </c>
      <c r="U518" s="967"/>
    </row>
    <row r="519" spans="1:78" s="1015" customFormat="1" ht="41.25" customHeight="1">
      <c r="A519" s="956">
        <v>99</v>
      </c>
      <c r="B519" s="976" t="s">
        <v>1306</v>
      </c>
      <c r="C519" s="976">
        <v>1978</v>
      </c>
      <c r="D519" s="964">
        <v>2016</v>
      </c>
      <c r="E519" s="956" t="s">
        <v>220</v>
      </c>
      <c r="F519" s="956">
        <v>2</v>
      </c>
      <c r="G519" s="956">
        <v>2</v>
      </c>
      <c r="H519" s="968">
        <v>825.5</v>
      </c>
      <c r="I519" s="968">
        <v>761.5</v>
      </c>
      <c r="J519" s="968">
        <v>761.5</v>
      </c>
      <c r="K519" s="959">
        <v>23</v>
      </c>
      <c r="L519" s="971">
        <f>N519+O519</f>
        <v>700000</v>
      </c>
      <c r="M519" s="968">
        <v>0</v>
      </c>
      <c r="N519" s="968">
        <v>210000</v>
      </c>
      <c r="O519" s="968">
        <v>490000</v>
      </c>
      <c r="P519" s="968">
        <v>0</v>
      </c>
      <c r="Q519" s="968">
        <v>0</v>
      </c>
      <c r="R519" s="959">
        <v>2025</v>
      </c>
      <c r="S519" s="959">
        <v>2025</v>
      </c>
      <c r="U519" s="967"/>
    </row>
    <row r="520" spans="1:78" s="1029" customFormat="1" ht="41.25" customHeight="1" thickBot="1">
      <c r="A520" s="1190" t="s">
        <v>1261</v>
      </c>
      <c r="B520" s="1190"/>
      <c r="C520" s="1190"/>
      <c r="D520" s="1190"/>
      <c r="E520" s="1190"/>
      <c r="F520" s="1190"/>
      <c r="G520" s="1190"/>
      <c r="H520" s="1190"/>
      <c r="I520" s="1190"/>
      <c r="J520" s="1190"/>
      <c r="K520" s="1190"/>
      <c r="L520" s="1190"/>
      <c r="M520" s="1190"/>
      <c r="N520" s="1190"/>
      <c r="O520" s="1190"/>
      <c r="P520" s="1190"/>
      <c r="Q520" s="1190"/>
      <c r="R520" s="1190"/>
      <c r="S520" s="1190"/>
      <c r="T520" s="1015"/>
      <c r="U520" s="967"/>
      <c r="V520" s="1015"/>
      <c r="W520" s="1015"/>
      <c r="X520" s="1015"/>
      <c r="Y520" s="1015"/>
      <c r="Z520" s="1015"/>
      <c r="AA520" s="1015"/>
      <c r="AB520" s="1015"/>
      <c r="AC520" s="1015"/>
      <c r="AD520" s="1015"/>
      <c r="AE520" s="1015"/>
      <c r="AF520" s="1015"/>
      <c r="AG520" s="1015"/>
      <c r="AH520" s="1015"/>
      <c r="AI520" s="1015"/>
      <c r="AJ520" s="1015"/>
      <c r="AK520" s="1015"/>
      <c r="AL520" s="1015"/>
      <c r="AM520" s="1015"/>
      <c r="AN520" s="1015"/>
      <c r="AO520" s="1015"/>
      <c r="AP520" s="1015"/>
      <c r="AQ520" s="1015"/>
      <c r="AR520" s="1015"/>
      <c r="AS520" s="1015"/>
      <c r="AT520" s="1015"/>
      <c r="AU520" s="1015"/>
      <c r="AV520" s="1015"/>
      <c r="AW520" s="1015"/>
      <c r="AX520" s="1015"/>
      <c r="AY520" s="1015"/>
      <c r="AZ520" s="1015"/>
      <c r="BA520" s="1015"/>
      <c r="BB520" s="1015"/>
      <c r="BC520" s="1015"/>
      <c r="BD520" s="1015"/>
      <c r="BE520" s="1015"/>
      <c r="BF520" s="1015"/>
      <c r="BG520" s="1015"/>
      <c r="BH520" s="1015"/>
      <c r="BI520" s="1015"/>
      <c r="BJ520" s="1015"/>
      <c r="BK520" s="1015"/>
      <c r="BL520" s="1015"/>
      <c r="BM520" s="1015"/>
      <c r="BN520" s="1015"/>
      <c r="BO520" s="1015"/>
      <c r="BP520" s="1015"/>
      <c r="BQ520" s="1015"/>
      <c r="BR520" s="1015"/>
      <c r="BS520" s="1015"/>
      <c r="BT520" s="1015"/>
      <c r="BU520" s="1015"/>
      <c r="BV520" s="1015"/>
      <c r="BW520" s="1015"/>
      <c r="BX520" s="1015"/>
      <c r="BY520" s="1015"/>
      <c r="BZ520" s="1015"/>
    </row>
    <row r="521" spans="1:78" s="1015" customFormat="1" ht="41.25" customHeight="1" thickTop="1">
      <c r="A521" s="1169" t="s">
        <v>205</v>
      </c>
      <c r="B521" s="1170"/>
      <c r="C521" s="1170"/>
      <c r="D521" s="1170"/>
      <c r="E521" s="1170"/>
      <c r="F521" s="1170"/>
      <c r="G521" s="1171"/>
      <c r="H521" s="963">
        <f t="shared" ref="H521:Q521" si="117">H523+H1050+H1052</f>
        <v>999242.61999999976</v>
      </c>
      <c r="I521" s="963">
        <f t="shared" si="117"/>
        <v>863358.42</v>
      </c>
      <c r="J521" s="963">
        <f t="shared" si="117"/>
        <v>737498.83</v>
      </c>
      <c r="K521" s="963">
        <f t="shared" si="117"/>
        <v>34981</v>
      </c>
      <c r="L521" s="965">
        <f t="shared" si="117"/>
        <v>1999614840.3481259</v>
      </c>
      <c r="M521" s="963">
        <f t="shared" si="117"/>
        <v>0</v>
      </c>
      <c r="N521" s="963">
        <f t="shared" si="117"/>
        <v>569077.57999999996</v>
      </c>
      <c r="O521" s="963">
        <f t="shared" si="117"/>
        <v>1999045762.768126</v>
      </c>
      <c r="P521" s="963">
        <f t="shared" si="117"/>
        <v>0</v>
      </c>
      <c r="Q521" s="963">
        <f t="shared" si="117"/>
        <v>0</v>
      </c>
      <c r="R521" s="957" t="s">
        <v>40</v>
      </c>
      <c r="S521" s="957" t="s">
        <v>40</v>
      </c>
      <c r="U521" s="967"/>
    </row>
    <row r="522" spans="1:78" s="943" customFormat="1" ht="41.25" customHeight="1">
      <c r="A522" s="1190" t="s">
        <v>1064</v>
      </c>
      <c r="B522" s="1190"/>
      <c r="C522" s="1190"/>
      <c r="D522" s="1190"/>
      <c r="E522" s="1190"/>
      <c r="F522" s="1190"/>
      <c r="G522" s="1190"/>
      <c r="H522" s="1190"/>
      <c r="I522" s="1190"/>
      <c r="J522" s="1190"/>
      <c r="K522" s="1190"/>
      <c r="L522" s="1190"/>
      <c r="M522" s="1190"/>
      <c r="N522" s="1190"/>
      <c r="O522" s="1190"/>
      <c r="P522" s="1190"/>
      <c r="Q522" s="1190"/>
      <c r="R522" s="1190"/>
      <c r="S522" s="1190"/>
      <c r="U522" s="967"/>
    </row>
    <row r="523" spans="1:78" s="1015" customFormat="1" ht="41.25" customHeight="1">
      <c r="A523" s="1169" t="s">
        <v>205</v>
      </c>
      <c r="B523" s="1170"/>
      <c r="C523" s="1170"/>
      <c r="D523" s="1170"/>
      <c r="E523" s="1170"/>
      <c r="F523" s="1170"/>
      <c r="G523" s="1171"/>
      <c r="H523" s="963">
        <f t="shared" ref="H523:Q523" si="118">H524+H686+H728+H746+H757+H772+H774+H783+H795+H806+H829+H833+H837+H844+H848+H859+H862+H890+H897+H929+H936+H945+H970+H972+H981+H995+H998+H1002+H1005+H1011+H1014+H1017+H1031+H1035+H1043</f>
        <v>999242.61999999976</v>
      </c>
      <c r="I523" s="963">
        <f t="shared" si="118"/>
        <v>863358.42</v>
      </c>
      <c r="J523" s="963">
        <f t="shared" si="118"/>
        <v>737498.83</v>
      </c>
      <c r="K523" s="977">
        <f t="shared" si="118"/>
        <v>34981</v>
      </c>
      <c r="L523" s="965">
        <f t="shared" si="118"/>
        <v>1999614840.3481259</v>
      </c>
      <c r="M523" s="963">
        <f t="shared" si="118"/>
        <v>0</v>
      </c>
      <c r="N523" s="963">
        <f t="shared" si="118"/>
        <v>569077.57999999996</v>
      </c>
      <c r="O523" s="963">
        <f t="shared" si="118"/>
        <v>1999045762.768126</v>
      </c>
      <c r="P523" s="963">
        <f t="shared" si="118"/>
        <v>0</v>
      </c>
      <c r="Q523" s="963">
        <f t="shared" si="118"/>
        <v>0</v>
      </c>
      <c r="R523" s="968" t="s">
        <v>40</v>
      </c>
      <c r="S523" s="968" t="s">
        <v>40</v>
      </c>
      <c r="U523" s="967"/>
    </row>
    <row r="524" spans="1:78" s="943" customFormat="1" ht="41.25" customHeight="1">
      <c r="A524" s="1172" t="s">
        <v>2271</v>
      </c>
      <c r="B524" s="1173"/>
      <c r="C524" s="1173"/>
      <c r="D524" s="1173"/>
      <c r="E524" s="1173"/>
      <c r="F524" s="1173"/>
      <c r="G524" s="1174"/>
      <c r="H524" s="968">
        <f t="shared" ref="H524:Q524" si="119">SUM(H525:H685)</f>
        <v>479462.33999999973</v>
      </c>
      <c r="I524" s="968">
        <f t="shared" si="119"/>
        <v>427123.63</v>
      </c>
      <c r="J524" s="968">
        <f t="shared" si="119"/>
        <v>381064.50000000012</v>
      </c>
      <c r="K524" s="958">
        <f t="shared" si="119"/>
        <v>16784</v>
      </c>
      <c r="L524" s="971">
        <f t="shared" si="119"/>
        <v>970456067.75999987</v>
      </c>
      <c r="M524" s="968">
        <f t="shared" si="119"/>
        <v>0</v>
      </c>
      <c r="N524" s="968">
        <f t="shared" si="119"/>
        <v>0</v>
      </c>
      <c r="O524" s="968">
        <f t="shared" si="119"/>
        <v>970456067.75999987</v>
      </c>
      <c r="P524" s="968">
        <f t="shared" si="119"/>
        <v>0</v>
      </c>
      <c r="Q524" s="968">
        <f t="shared" si="119"/>
        <v>0</v>
      </c>
      <c r="R524" s="968" t="s">
        <v>40</v>
      </c>
      <c r="S524" s="968" t="s">
        <v>40</v>
      </c>
      <c r="U524" s="967"/>
    </row>
    <row r="525" spans="1:78" s="943" customFormat="1" ht="41.25" customHeight="1">
      <c r="A525" s="956">
        <v>1</v>
      </c>
      <c r="B525" s="976" t="s">
        <v>1642</v>
      </c>
      <c r="C525" s="956">
        <v>1964</v>
      </c>
      <c r="D525" s="986"/>
      <c r="E525" s="956" t="s">
        <v>218</v>
      </c>
      <c r="F525" s="956">
        <v>2</v>
      </c>
      <c r="G525" s="956">
        <v>2</v>
      </c>
      <c r="H525" s="963">
        <v>400.3</v>
      </c>
      <c r="I525" s="963">
        <v>357.8</v>
      </c>
      <c r="J525" s="963">
        <f>I525-139.1</f>
        <v>218.70000000000002</v>
      </c>
      <c r="K525" s="964">
        <v>23</v>
      </c>
      <c r="L525" s="965">
        <v>2381298</v>
      </c>
      <c r="M525" s="963">
        <v>0</v>
      </c>
      <c r="N525" s="963">
        <v>0</v>
      </c>
      <c r="O525" s="963">
        <f t="shared" ref="O525:O588" si="120">L525</f>
        <v>2381298</v>
      </c>
      <c r="P525" s="963">
        <f t="shared" ref="P525:P530" si="121">N525</f>
        <v>0</v>
      </c>
      <c r="Q525" s="963">
        <v>0</v>
      </c>
      <c r="R525" s="956">
        <v>2016</v>
      </c>
      <c r="S525" s="1006" t="s">
        <v>1387</v>
      </c>
      <c r="U525" s="967"/>
    </row>
    <row r="526" spans="1:78" s="943" customFormat="1" ht="41.25" customHeight="1">
      <c r="A526" s="956">
        <v>2</v>
      </c>
      <c r="B526" s="976" t="s">
        <v>1643</v>
      </c>
      <c r="C526" s="956">
        <v>1961</v>
      </c>
      <c r="D526" s="986"/>
      <c r="E526" s="956" t="s">
        <v>218</v>
      </c>
      <c r="F526" s="956">
        <v>5</v>
      </c>
      <c r="G526" s="956">
        <v>4</v>
      </c>
      <c r="H526" s="963">
        <v>3450</v>
      </c>
      <c r="I526" s="963">
        <v>3207.8</v>
      </c>
      <c r="J526" s="963">
        <f>I526-196.8</f>
        <v>3011</v>
      </c>
      <c r="K526" s="964">
        <v>157</v>
      </c>
      <c r="L526" s="965">
        <v>4386000</v>
      </c>
      <c r="M526" s="963">
        <v>0</v>
      </c>
      <c r="N526" s="963">
        <v>0</v>
      </c>
      <c r="O526" s="963">
        <f t="shared" si="120"/>
        <v>4386000</v>
      </c>
      <c r="P526" s="963">
        <f t="shared" si="121"/>
        <v>0</v>
      </c>
      <c r="Q526" s="963">
        <v>0</v>
      </c>
      <c r="R526" s="956">
        <v>2016</v>
      </c>
      <c r="S526" s="1006" t="s">
        <v>1387</v>
      </c>
      <c r="U526" s="967"/>
    </row>
    <row r="527" spans="1:78" s="943" customFormat="1" ht="41.25" customHeight="1">
      <c r="A527" s="956">
        <v>3</v>
      </c>
      <c r="B527" s="976" t="s">
        <v>1644</v>
      </c>
      <c r="C527" s="956">
        <v>1954</v>
      </c>
      <c r="D527" s="956"/>
      <c r="E527" s="956" t="s">
        <v>218</v>
      </c>
      <c r="F527" s="956">
        <v>3</v>
      </c>
      <c r="G527" s="956">
        <v>3</v>
      </c>
      <c r="H527" s="963">
        <v>2438.4</v>
      </c>
      <c r="I527" s="963">
        <v>2262.6999999999998</v>
      </c>
      <c r="J527" s="963">
        <f>I527-242.2</f>
        <v>2020.4999999999998</v>
      </c>
      <c r="K527" s="964">
        <v>70</v>
      </c>
      <c r="L527" s="965">
        <v>7895157.5899999999</v>
      </c>
      <c r="M527" s="963">
        <v>0</v>
      </c>
      <c r="N527" s="963">
        <v>0</v>
      </c>
      <c r="O527" s="963">
        <f t="shared" si="120"/>
        <v>7895157.5899999999</v>
      </c>
      <c r="P527" s="963">
        <f t="shared" si="121"/>
        <v>0</v>
      </c>
      <c r="Q527" s="963">
        <v>0</v>
      </c>
      <c r="R527" s="956">
        <v>2016</v>
      </c>
      <c r="S527" s="1006" t="s">
        <v>1387</v>
      </c>
      <c r="U527" s="967"/>
    </row>
    <row r="528" spans="1:78" s="943" customFormat="1" ht="41.25" customHeight="1">
      <c r="A528" s="956">
        <v>4</v>
      </c>
      <c r="B528" s="976" t="s">
        <v>1645</v>
      </c>
      <c r="C528" s="956">
        <v>1953</v>
      </c>
      <c r="D528" s="986"/>
      <c r="E528" s="956" t="s">
        <v>218</v>
      </c>
      <c r="F528" s="956">
        <v>3</v>
      </c>
      <c r="G528" s="956">
        <v>3</v>
      </c>
      <c r="H528" s="963">
        <v>2239.1</v>
      </c>
      <c r="I528" s="963">
        <v>1857.6</v>
      </c>
      <c r="J528" s="963">
        <f>I528-316.2</f>
        <v>1541.3999999999999</v>
      </c>
      <c r="K528" s="964">
        <v>76</v>
      </c>
      <c r="L528" s="965">
        <v>6945106.9900000002</v>
      </c>
      <c r="M528" s="963">
        <v>0</v>
      </c>
      <c r="N528" s="963">
        <v>0</v>
      </c>
      <c r="O528" s="963">
        <f t="shared" si="120"/>
        <v>6945106.9900000002</v>
      </c>
      <c r="P528" s="963">
        <f t="shared" si="121"/>
        <v>0</v>
      </c>
      <c r="Q528" s="963">
        <v>0</v>
      </c>
      <c r="R528" s="956">
        <v>2016</v>
      </c>
      <c r="S528" s="1006" t="s">
        <v>1387</v>
      </c>
      <c r="U528" s="967"/>
    </row>
    <row r="529" spans="1:21" s="943" customFormat="1" ht="41.25" customHeight="1">
      <c r="A529" s="956">
        <v>5</v>
      </c>
      <c r="B529" s="976" t="s">
        <v>1945</v>
      </c>
      <c r="C529" s="956">
        <v>1914</v>
      </c>
      <c r="D529" s="986"/>
      <c r="E529" s="956" t="s">
        <v>218</v>
      </c>
      <c r="F529" s="956">
        <v>4</v>
      </c>
      <c r="G529" s="956">
        <v>5</v>
      </c>
      <c r="H529" s="963">
        <v>2958.4</v>
      </c>
      <c r="I529" s="963">
        <v>2592.5</v>
      </c>
      <c r="J529" s="963">
        <f>I529-259.1</f>
        <v>2333.4</v>
      </c>
      <c r="K529" s="964">
        <v>112</v>
      </c>
      <c r="L529" s="971">
        <v>659655.96</v>
      </c>
      <c r="M529" s="963">
        <v>0</v>
      </c>
      <c r="N529" s="963">
        <v>0</v>
      </c>
      <c r="O529" s="963">
        <f t="shared" si="120"/>
        <v>659655.96</v>
      </c>
      <c r="P529" s="963">
        <f t="shared" si="121"/>
        <v>0</v>
      </c>
      <c r="Q529" s="963">
        <v>0</v>
      </c>
      <c r="R529" s="956">
        <v>2016</v>
      </c>
      <c r="S529" s="1006" t="s">
        <v>1387</v>
      </c>
      <c r="U529" s="967"/>
    </row>
    <row r="530" spans="1:21" s="1015" customFormat="1" ht="41.25" customHeight="1">
      <c r="A530" s="956">
        <v>6</v>
      </c>
      <c r="B530" s="976" t="s">
        <v>1646</v>
      </c>
      <c r="C530" s="956">
        <v>1956</v>
      </c>
      <c r="D530" s="986"/>
      <c r="E530" s="956" t="s">
        <v>218</v>
      </c>
      <c r="F530" s="956">
        <v>4</v>
      </c>
      <c r="G530" s="956">
        <v>4</v>
      </c>
      <c r="H530" s="963">
        <v>5336.3</v>
      </c>
      <c r="I530" s="963">
        <v>4312.6000000000004</v>
      </c>
      <c r="J530" s="963">
        <f>I530-223.8</f>
        <v>4088.8</v>
      </c>
      <c r="K530" s="964">
        <v>152</v>
      </c>
      <c r="L530" s="965">
        <v>8665992</v>
      </c>
      <c r="M530" s="963">
        <v>0</v>
      </c>
      <c r="N530" s="963">
        <v>0</v>
      </c>
      <c r="O530" s="963">
        <f t="shared" si="120"/>
        <v>8665992</v>
      </c>
      <c r="P530" s="963">
        <f t="shared" si="121"/>
        <v>0</v>
      </c>
      <c r="Q530" s="963">
        <v>0</v>
      </c>
      <c r="R530" s="956">
        <v>2016</v>
      </c>
      <c r="S530" s="1006" t="s">
        <v>1383</v>
      </c>
      <c r="U530" s="967"/>
    </row>
    <row r="531" spans="1:21" s="1015" customFormat="1" ht="41.25" customHeight="1">
      <c r="A531" s="956">
        <v>7</v>
      </c>
      <c r="B531" s="976" t="s">
        <v>1647</v>
      </c>
      <c r="C531" s="956">
        <v>1959</v>
      </c>
      <c r="D531" s="957"/>
      <c r="E531" s="956" t="s">
        <v>218</v>
      </c>
      <c r="F531" s="957">
        <v>2</v>
      </c>
      <c r="G531" s="957">
        <v>1</v>
      </c>
      <c r="H531" s="1030">
        <v>301.10000000000002</v>
      </c>
      <c r="I531" s="1030">
        <v>278.2</v>
      </c>
      <c r="J531" s="1030">
        <f>278.2-37.9</f>
        <v>240.29999999999998</v>
      </c>
      <c r="K531" s="964">
        <v>17</v>
      </c>
      <c r="L531" s="971">
        <v>813823.58</v>
      </c>
      <c r="M531" s="968">
        <v>0</v>
      </c>
      <c r="N531" s="968">
        <v>0</v>
      </c>
      <c r="O531" s="963">
        <f t="shared" si="120"/>
        <v>813823.58</v>
      </c>
      <c r="P531" s="968">
        <v>0</v>
      </c>
      <c r="Q531" s="968">
        <v>0</v>
      </c>
      <c r="R531" s="956">
        <v>2016</v>
      </c>
      <c r="S531" s="1006" t="s">
        <v>1387</v>
      </c>
      <c r="U531" s="967"/>
    </row>
    <row r="532" spans="1:21" s="1015" customFormat="1" ht="41.25" customHeight="1">
      <c r="A532" s="956">
        <v>8</v>
      </c>
      <c r="B532" s="976" t="s">
        <v>1648</v>
      </c>
      <c r="C532" s="957">
        <v>1959</v>
      </c>
      <c r="D532" s="957"/>
      <c r="E532" s="956" t="s">
        <v>218</v>
      </c>
      <c r="F532" s="957">
        <v>2</v>
      </c>
      <c r="G532" s="957">
        <v>2</v>
      </c>
      <c r="H532" s="957">
        <v>687.5</v>
      </c>
      <c r="I532" s="957">
        <v>638.6</v>
      </c>
      <c r="J532" s="957">
        <v>638.6</v>
      </c>
      <c r="K532" s="957">
        <v>26</v>
      </c>
      <c r="L532" s="971">
        <v>2147502.0299999998</v>
      </c>
      <c r="M532" s="968">
        <v>0</v>
      </c>
      <c r="N532" s="968">
        <v>0</v>
      </c>
      <c r="O532" s="963">
        <f t="shared" si="120"/>
        <v>2147502.0299999998</v>
      </c>
      <c r="P532" s="968">
        <v>0</v>
      </c>
      <c r="Q532" s="968">
        <v>0</v>
      </c>
      <c r="R532" s="956">
        <v>2016</v>
      </c>
      <c r="S532" s="1006" t="s">
        <v>1387</v>
      </c>
      <c r="U532" s="967"/>
    </row>
    <row r="533" spans="1:21" s="1015" customFormat="1" ht="41.25" customHeight="1">
      <c r="A533" s="956">
        <v>9</v>
      </c>
      <c r="B533" s="976" t="s">
        <v>1640</v>
      </c>
      <c r="C533" s="998">
        <v>1959</v>
      </c>
      <c r="D533" s="957"/>
      <c r="E533" s="956" t="s">
        <v>218</v>
      </c>
      <c r="F533" s="998">
        <v>4</v>
      </c>
      <c r="G533" s="998">
        <v>4</v>
      </c>
      <c r="H533" s="1030">
        <v>2847.5</v>
      </c>
      <c r="I533" s="1030">
        <v>2284.5</v>
      </c>
      <c r="J533" s="1030">
        <v>2284.5</v>
      </c>
      <c r="K533" s="959">
        <v>78</v>
      </c>
      <c r="L533" s="971">
        <v>5074660.51</v>
      </c>
      <c r="M533" s="968">
        <v>0</v>
      </c>
      <c r="N533" s="968">
        <v>0</v>
      </c>
      <c r="O533" s="963">
        <f t="shared" si="120"/>
        <v>5074660.51</v>
      </c>
      <c r="P533" s="968">
        <v>0</v>
      </c>
      <c r="Q533" s="968">
        <v>0</v>
      </c>
      <c r="R533" s="956">
        <v>2016</v>
      </c>
      <c r="S533" s="1006" t="s">
        <v>1383</v>
      </c>
      <c r="U533" s="967"/>
    </row>
    <row r="534" spans="1:21" s="1015" customFormat="1" ht="41.25" customHeight="1">
      <c r="A534" s="956">
        <v>10</v>
      </c>
      <c r="B534" s="976" t="s">
        <v>1931</v>
      </c>
      <c r="C534" s="957">
        <v>1959</v>
      </c>
      <c r="D534" s="957"/>
      <c r="E534" s="956" t="s">
        <v>218</v>
      </c>
      <c r="F534" s="957">
        <v>2</v>
      </c>
      <c r="G534" s="957">
        <v>2</v>
      </c>
      <c r="H534" s="957">
        <v>700.6</v>
      </c>
      <c r="I534" s="957">
        <v>651.9</v>
      </c>
      <c r="J534" s="957">
        <v>651.9</v>
      </c>
      <c r="K534" s="957">
        <v>26</v>
      </c>
      <c r="L534" s="971">
        <v>3182659.3</v>
      </c>
      <c r="M534" s="968">
        <v>0</v>
      </c>
      <c r="N534" s="968">
        <v>0</v>
      </c>
      <c r="O534" s="963">
        <f t="shared" si="120"/>
        <v>3182659.3</v>
      </c>
      <c r="P534" s="968">
        <v>0</v>
      </c>
      <c r="Q534" s="968">
        <v>0</v>
      </c>
      <c r="R534" s="956">
        <v>2016</v>
      </c>
      <c r="S534" s="1006" t="s">
        <v>1387</v>
      </c>
      <c r="U534" s="967"/>
    </row>
    <row r="535" spans="1:21" s="1015" customFormat="1" ht="41.25" customHeight="1">
      <c r="A535" s="956">
        <v>11</v>
      </c>
      <c r="B535" s="976" t="s">
        <v>1649</v>
      </c>
      <c r="C535" s="957">
        <v>1950</v>
      </c>
      <c r="D535" s="957"/>
      <c r="E535" s="956" t="s">
        <v>220</v>
      </c>
      <c r="F535" s="957">
        <v>2</v>
      </c>
      <c r="G535" s="957">
        <v>1</v>
      </c>
      <c r="H535" s="957">
        <v>428.6</v>
      </c>
      <c r="I535" s="957">
        <v>391.9</v>
      </c>
      <c r="J535" s="957">
        <v>391.9</v>
      </c>
      <c r="K535" s="957">
        <v>19</v>
      </c>
      <c r="L535" s="971">
        <v>1424732.41</v>
      </c>
      <c r="M535" s="968">
        <v>0</v>
      </c>
      <c r="N535" s="968">
        <v>0</v>
      </c>
      <c r="O535" s="963">
        <f t="shared" si="120"/>
        <v>1424732.41</v>
      </c>
      <c r="P535" s="968">
        <v>0</v>
      </c>
      <c r="Q535" s="968">
        <v>0</v>
      </c>
      <c r="R535" s="956">
        <v>2016</v>
      </c>
      <c r="S535" s="1006" t="s">
        <v>1383</v>
      </c>
      <c r="U535" s="967"/>
    </row>
    <row r="536" spans="1:21" s="1015" customFormat="1" ht="41.25" customHeight="1">
      <c r="A536" s="956">
        <v>12</v>
      </c>
      <c r="B536" s="976" t="s">
        <v>1932</v>
      </c>
      <c r="C536" s="998">
        <v>1959</v>
      </c>
      <c r="D536" s="957"/>
      <c r="E536" s="956" t="s">
        <v>218</v>
      </c>
      <c r="F536" s="998">
        <v>2</v>
      </c>
      <c r="G536" s="998">
        <v>1</v>
      </c>
      <c r="H536" s="1030">
        <v>444.7</v>
      </c>
      <c r="I536" s="1030">
        <v>402.3</v>
      </c>
      <c r="J536" s="1030">
        <f>402.3-47.7</f>
        <v>354.6</v>
      </c>
      <c r="K536" s="959">
        <v>17</v>
      </c>
      <c r="L536" s="971">
        <v>1554468.02</v>
      </c>
      <c r="M536" s="968">
        <v>0</v>
      </c>
      <c r="N536" s="968">
        <v>0</v>
      </c>
      <c r="O536" s="963">
        <f t="shared" si="120"/>
        <v>1554468.02</v>
      </c>
      <c r="P536" s="968">
        <v>0</v>
      </c>
      <c r="Q536" s="968">
        <v>0</v>
      </c>
      <c r="R536" s="956">
        <v>2016</v>
      </c>
      <c r="S536" s="1006" t="s">
        <v>1383</v>
      </c>
      <c r="U536" s="967"/>
    </row>
    <row r="537" spans="1:21" s="1015" customFormat="1" ht="41.25" customHeight="1">
      <c r="A537" s="956">
        <v>13</v>
      </c>
      <c r="B537" s="976" t="s">
        <v>1933</v>
      </c>
      <c r="C537" s="956">
        <v>1961</v>
      </c>
      <c r="D537" s="957"/>
      <c r="E537" s="956" t="s">
        <v>218</v>
      </c>
      <c r="F537" s="957">
        <v>5</v>
      </c>
      <c r="G537" s="957">
        <v>4</v>
      </c>
      <c r="H537" s="1030">
        <v>3226.1</v>
      </c>
      <c r="I537" s="1030">
        <v>3140.3</v>
      </c>
      <c r="J537" s="1030">
        <v>3140.3</v>
      </c>
      <c r="K537" s="964">
        <v>147</v>
      </c>
      <c r="L537" s="971">
        <v>2351899.71</v>
      </c>
      <c r="M537" s="968">
        <v>0</v>
      </c>
      <c r="N537" s="968">
        <v>0</v>
      </c>
      <c r="O537" s="963">
        <f t="shared" si="120"/>
        <v>2351899.71</v>
      </c>
      <c r="P537" s="968">
        <v>0</v>
      </c>
      <c r="Q537" s="968">
        <v>0</v>
      </c>
      <c r="R537" s="956">
        <v>2016</v>
      </c>
      <c r="S537" s="1006" t="s">
        <v>1387</v>
      </c>
      <c r="U537" s="967"/>
    </row>
    <row r="538" spans="1:21" s="1015" customFormat="1" ht="41.25" customHeight="1">
      <c r="A538" s="956">
        <v>14</v>
      </c>
      <c r="B538" s="976" t="s">
        <v>1650</v>
      </c>
      <c r="C538" s="957">
        <v>1860</v>
      </c>
      <c r="D538" s="957"/>
      <c r="E538" s="956" t="s">
        <v>218</v>
      </c>
      <c r="F538" s="957">
        <v>3</v>
      </c>
      <c r="G538" s="957">
        <v>1</v>
      </c>
      <c r="H538" s="957">
        <v>632.1</v>
      </c>
      <c r="I538" s="957">
        <v>533.6</v>
      </c>
      <c r="J538" s="957">
        <v>533.6</v>
      </c>
      <c r="K538" s="957">
        <v>11</v>
      </c>
      <c r="L538" s="971">
        <v>1481378.81</v>
      </c>
      <c r="M538" s="968">
        <v>0</v>
      </c>
      <c r="N538" s="968">
        <v>0</v>
      </c>
      <c r="O538" s="963">
        <f t="shared" si="120"/>
        <v>1481378.81</v>
      </c>
      <c r="P538" s="968">
        <v>0</v>
      </c>
      <c r="Q538" s="968">
        <v>0</v>
      </c>
      <c r="R538" s="956">
        <v>2016</v>
      </c>
      <c r="S538" s="1006" t="s">
        <v>1387</v>
      </c>
      <c r="U538" s="967"/>
    </row>
    <row r="539" spans="1:21" s="1015" customFormat="1" ht="41.25" customHeight="1">
      <c r="A539" s="956">
        <v>15</v>
      </c>
      <c r="B539" s="976" t="s">
        <v>1651</v>
      </c>
      <c r="C539" s="957">
        <v>1959</v>
      </c>
      <c r="D539" s="957"/>
      <c r="E539" s="956" t="s">
        <v>218</v>
      </c>
      <c r="F539" s="957">
        <v>2</v>
      </c>
      <c r="G539" s="957">
        <v>1</v>
      </c>
      <c r="H539" s="1030">
        <f>371.9+30.8</f>
        <v>402.7</v>
      </c>
      <c r="I539" s="1030">
        <v>371.9</v>
      </c>
      <c r="J539" s="1030">
        <f>371.9-55.3</f>
        <v>316.59999999999997</v>
      </c>
      <c r="K539" s="959">
        <v>27</v>
      </c>
      <c r="L539" s="971">
        <v>3832087.03</v>
      </c>
      <c r="M539" s="968">
        <v>0</v>
      </c>
      <c r="N539" s="968">
        <v>0</v>
      </c>
      <c r="O539" s="963">
        <f t="shared" si="120"/>
        <v>3832087.03</v>
      </c>
      <c r="P539" s="968">
        <v>0</v>
      </c>
      <c r="Q539" s="968">
        <v>0</v>
      </c>
      <c r="R539" s="956">
        <v>2016</v>
      </c>
      <c r="S539" s="1006" t="s">
        <v>1383</v>
      </c>
      <c r="U539" s="967"/>
    </row>
    <row r="540" spans="1:21" s="1015" customFormat="1" ht="41.25" customHeight="1">
      <c r="A540" s="956">
        <v>16</v>
      </c>
      <c r="B540" s="976" t="s">
        <v>1652</v>
      </c>
      <c r="C540" s="956">
        <v>1966</v>
      </c>
      <c r="D540" s="957"/>
      <c r="E540" s="956" t="s">
        <v>218</v>
      </c>
      <c r="F540" s="957">
        <v>5</v>
      </c>
      <c r="G540" s="957">
        <v>3</v>
      </c>
      <c r="H540" s="1030">
        <v>2817.5</v>
      </c>
      <c r="I540" s="1030">
        <v>2613.5</v>
      </c>
      <c r="J540" s="1030">
        <f>2613.5-363.8</f>
        <v>2249.6999999999998</v>
      </c>
      <c r="K540" s="964">
        <v>120</v>
      </c>
      <c r="L540" s="971">
        <v>5363868.12</v>
      </c>
      <c r="M540" s="968">
        <v>0</v>
      </c>
      <c r="N540" s="968">
        <v>0</v>
      </c>
      <c r="O540" s="963">
        <f t="shared" si="120"/>
        <v>5363868.12</v>
      </c>
      <c r="P540" s="968">
        <v>0</v>
      </c>
      <c r="Q540" s="968">
        <v>0</v>
      </c>
      <c r="R540" s="956">
        <v>2016</v>
      </c>
      <c r="S540" s="1006" t="s">
        <v>1383</v>
      </c>
      <c r="U540" s="967"/>
    </row>
    <row r="541" spans="1:21" s="1031" customFormat="1" ht="41.25" customHeight="1">
      <c r="A541" s="956">
        <v>17</v>
      </c>
      <c r="B541" s="976" t="s">
        <v>1653</v>
      </c>
      <c r="C541" s="957">
        <v>1949</v>
      </c>
      <c r="D541" s="957"/>
      <c r="E541" s="956" t="s">
        <v>220</v>
      </c>
      <c r="F541" s="957">
        <v>2</v>
      </c>
      <c r="G541" s="957">
        <v>1</v>
      </c>
      <c r="H541" s="957">
        <v>390.4</v>
      </c>
      <c r="I541" s="957">
        <v>359.8</v>
      </c>
      <c r="J541" s="957">
        <v>359.8</v>
      </c>
      <c r="K541" s="957">
        <v>34</v>
      </c>
      <c r="L541" s="971">
        <v>1438136.92</v>
      </c>
      <c r="M541" s="968">
        <v>0</v>
      </c>
      <c r="N541" s="968">
        <v>0</v>
      </c>
      <c r="O541" s="963">
        <f t="shared" si="120"/>
        <v>1438136.92</v>
      </c>
      <c r="P541" s="968">
        <v>0</v>
      </c>
      <c r="Q541" s="968">
        <v>0</v>
      </c>
      <c r="R541" s="956">
        <v>2016</v>
      </c>
      <c r="S541" s="1006" t="s">
        <v>1383</v>
      </c>
      <c r="U541" s="967"/>
    </row>
    <row r="542" spans="1:21" s="1015" customFormat="1" ht="41.25" customHeight="1">
      <c r="A542" s="956">
        <v>18</v>
      </c>
      <c r="B542" s="976" t="s">
        <v>1654</v>
      </c>
      <c r="C542" s="957">
        <v>1956</v>
      </c>
      <c r="D542" s="957"/>
      <c r="E542" s="956" t="s">
        <v>218</v>
      </c>
      <c r="F542" s="957">
        <v>3</v>
      </c>
      <c r="G542" s="957">
        <v>3</v>
      </c>
      <c r="H542" s="957">
        <v>2113.6</v>
      </c>
      <c r="I542" s="957">
        <v>1827</v>
      </c>
      <c r="J542" s="957">
        <v>1827</v>
      </c>
      <c r="K542" s="957">
        <v>78</v>
      </c>
      <c r="L542" s="971">
        <v>7209185.5700000003</v>
      </c>
      <c r="M542" s="968">
        <v>0</v>
      </c>
      <c r="N542" s="968">
        <v>0</v>
      </c>
      <c r="O542" s="963">
        <f t="shared" si="120"/>
        <v>7209185.5700000003</v>
      </c>
      <c r="P542" s="968">
        <v>0</v>
      </c>
      <c r="Q542" s="968">
        <v>0</v>
      </c>
      <c r="R542" s="956">
        <v>2016</v>
      </c>
      <c r="S542" s="1006" t="s">
        <v>1387</v>
      </c>
      <c r="U542" s="967"/>
    </row>
    <row r="543" spans="1:21" s="1032" customFormat="1" ht="41.25" customHeight="1">
      <c r="A543" s="956">
        <v>19</v>
      </c>
      <c r="B543" s="976" t="s">
        <v>1655</v>
      </c>
      <c r="C543" s="998">
        <v>1957</v>
      </c>
      <c r="D543" s="957"/>
      <c r="E543" s="956" t="s">
        <v>218</v>
      </c>
      <c r="F543" s="998">
        <v>4</v>
      </c>
      <c r="G543" s="998">
        <v>4</v>
      </c>
      <c r="H543" s="1030">
        <v>3135.2</v>
      </c>
      <c r="I543" s="1030">
        <v>2702.3</v>
      </c>
      <c r="J543" s="1030">
        <f>2580.3-39.91</f>
        <v>2540.3900000000003</v>
      </c>
      <c r="K543" s="959">
        <v>79</v>
      </c>
      <c r="L543" s="971">
        <v>12598670.41</v>
      </c>
      <c r="M543" s="968">
        <v>0</v>
      </c>
      <c r="N543" s="968">
        <v>0</v>
      </c>
      <c r="O543" s="963">
        <f t="shared" si="120"/>
        <v>12598670.41</v>
      </c>
      <c r="P543" s="968">
        <v>0</v>
      </c>
      <c r="Q543" s="968">
        <v>0</v>
      </c>
      <c r="R543" s="956">
        <v>2016</v>
      </c>
      <c r="S543" s="1006" t="s">
        <v>1387</v>
      </c>
      <c r="U543" s="967"/>
    </row>
    <row r="544" spans="1:21" s="1015" customFormat="1" ht="41.25" customHeight="1">
      <c r="A544" s="956">
        <v>20</v>
      </c>
      <c r="B544" s="976" t="s">
        <v>1656</v>
      </c>
      <c r="C544" s="998">
        <v>1966</v>
      </c>
      <c r="D544" s="957"/>
      <c r="E544" s="956" t="s">
        <v>218</v>
      </c>
      <c r="F544" s="998">
        <v>4</v>
      </c>
      <c r="G544" s="998">
        <v>4</v>
      </c>
      <c r="H544" s="1030">
        <v>2740.8</v>
      </c>
      <c r="I544" s="1030">
        <v>2546.4</v>
      </c>
      <c r="J544" s="1030">
        <v>2546.4</v>
      </c>
      <c r="K544" s="959">
        <v>128</v>
      </c>
      <c r="L544" s="971">
        <v>2224973.3199999998</v>
      </c>
      <c r="M544" s="968">
        <v>0</v>
      </c>
      <c r="N544" s="968">
        <v>0</v>
      </c>
      <c r="O544" s="963">
        <f t="shared" si="120"/>
        <v>2224973.3199999998</v>
      </c>
      <c r="P544" s="968">
        <v>0</v>
      </c>
      <c r="Q544" s="968">
        <v>0</v>
      </c>
      <c r="R544" s="956">
        <v>2016</v>
      </c>
      <c r="S544" s="1006" t="s">
        <v>1387</v>
      </c>
      <c r="U544" s="967"/>
    </row>
    <row r="545" spans="1:21" s="1015" customFormat="1" ht="41.25" customHeight="1">
      <c r="A545" s="956">
        <v>21</v>
      </c>
      <c r="B545" s="976" t="s">
        <v>1657</v>
      </c>
      <c r="C545" s="998">
        <v>1960</v>
      </c>
      <c r="D545" s="957"/>
      <c r="E545" s="956" t="s">
        <v>218</v>
      </c>
      <c r="F545" s="998">
        <v>5</v>
      </c>
      <c r="G545" s="998">
        <v>4</v>
      </c>
      <c r="H545" s="1030">
        <v>2830.1</v>
      </c>
      <c r="I545" s="1030">
        <v>2725.21</v>
      </c>
      <c r="J545" s="1030">
        <f>2222.21-231.9</f>
        <v>1990.31</v>
      </c>
      <c r="K545" s="959">
        <v>137</v>
      </c>
      <c r="L545" s="971">
        <v>2593045.9899999998</v>
      </c>
      <c r="M545" s="968">
        <v>0</v>
      </c>
      <c r="N545" s="968">
        <v>0</v>
      </c>
      <c r="O545" s="963">
        <f t="shared" si="120"/>
        <v>2593045.9899999998</v>
      </c>
      <c r="P545" s="968">
        <v>0</v>
      </c>
      <c r="Q545" s="968">
        <v>0</v>
      </c>
      <c r="R545" s="956">
        <v>2016</v>
      </c>
      <c r="S545" s="1006" t="s">
        <v>1383</v>
      </c>
      <c r="U545" s="967"/>
    </row>
    <row r="546" spans="1:21" s="1015" customFormat="1" ht="41.25" customHeight="1">
      <c r="A546" s="956">
        <v>22</v>
      </c>
      <c r="B546" s="976" t="s">
        <v>1658</v>
      </c>
      <c r="C546" s="957">
        <v>1955</v>
      </c>
      <c r="D546" s="957"/>
      <c r="E546" s="956" t="s">
        <v>218</v>
      </c>
      <c r="F546" s="957">
        <v>2</v>
      </c>
      <c r="G546" s="957">
        <v>2</v>
      </c>
      <c r="H546" s="957">
        <v>743.3</v>
      </c>
      <c r="I546" s="957">
        <v>654.79999999999995</v>
      </c>
      <c r="J546" s="957">
        <f>585.8-80.7</f>
        <v>505.09999999999997</v>
      </c>
      <c r="K546" s="957">
        <v>29</v>
      </c>
      <c r="L546" s="971">
        <v>1805529.52</v>
      </c>
      <c r="M546" s="968">
        <v>0</v>
      </c>
      <c r="N546" s="968">
        <v>0</v>
      </c>
      <c r="O546" s="963">
        <f t="shared" si="120"/>
        <v>1805529.52</v>
      </c>
      <c r="P546" s="968">
        <v>0</v>
      </c>
      <c r="Q546" s="968">
        <v>0</v>
      </c>
      <c r="R546" s="956">
        <v>2016</v>
      </c>
      <c r="S546" s="1006" t="s">
        <v>1387</v>
      </c>
      <c r="U546" s="967"/>
    </row>
    <row r="547" spans="1:21" s="1015" customFormat="1" ht="41.25" customHeight="1">
      <c r="A547" s="956">
        <v>23</v>
      </c>
      <c r="B547" s="976" t="s">
        <v>1659</v>
      </c>
      <c r="C547" s="957">
        <v>1970</v>
      </c>
      <c r="D547" s="957"/>
      <c r="E547" s="956" t="s">
        <v>218</v>
      </c>
      <c r="F547" s="957">
        <v>5</v>
      </c>
      <c r="G547" s="957">
        <v>2</v>
      </c>
      <c r="H547" s="1030">
        <v>1913.8</v>
      </c>
      <c r="I547" s="1030">
        <f>1589+176.8</f>
        <v>1765.8</v>
      </c>
      <c r="J547" s="1030">
        <f>1589-110.5</f>
        <v>1478.5</v>
      </c>
      <c r="K547" s="959">
        <v>75</v>
      </c>
      <c r="L547" s="971">
        <v>5790016.8200000003</v>
      </c>
      <c r="M547" s="968">
        <v>0</v>
      </c>
      <c r="N547" s="968">
        <v>0</v>
      </c>
      <c r="O547" s="963">
        <f t="shared" si="120"/>
        <v>5790016.8200000003</v>
      </c>
      <c r="P547" s="968">
        <v>0</v>
      </c>
      <c r="Q547" s="968">
        <v>0</v>
      </c>
      <c r="R547" s="956">
        <v>2016</v>
      </c>
      <c r="S547" s="1006" t="s">
        <v>1383</v>
      </c>
      <c r="U547" s="967"/>
    </row>
    <row r="548" spans="1:21" s="1015" customFormat="1" ht="41.25" customHeight="1">
      <c r="A548" s="956">
        <v>24</v>
      </c>
      <c r="B548" s="976" t="s">
        <v>1934</v>
      </c>
      <c r="C548" s="956">
        <v>1955</v>
      </c>
      <c r="D548" s="957"/>
      <c r="E548" s="956" t="s">
        <v>218</v>
      </c>
      <c r="F548" s="957">
        <v>2</v>
      </c>
      <c r="G548" s="957">
        <v>2</v>
      </c>
      <c r="H548" s="1030">
        <f>894.5+87.2</f>
        <v>981.7</v>
      </c>
      <c r="I548" s="1030">
        <v>894.5</v>
      </c>
      <c r="J548" s="1030">
        <f>I548-50.2</f>
        <v>844.3</v>
      </c>
      <c r="K548" s="964">
        <v>37</v>
      </c>
      <c r="L548" s="971">
        <v>1137886</v>
      </c>
      <c r="M548" s="968">
        <v>0</v>
      </c>
      <c r="N548" s="968">
        <v>0</v>
      </c>
      <c r="O548" s="963">
        <f t="shared" si="120"/>
        <v>1137886</v>
      </c>
      <c r="P548" s="968">
        <v>0</v>
      </c>
      <c r="Q548" s="968">
        <v>0</v>
      </c>
      <c r="R548" s="956">
        <v>2016</v>
      </c>
      <c r="S548" s="1006" t="s">
        <v>1387</v>
      </c>
      <c r="U548" s="967"/>
    </row>
    <row r="549" spans="1:21" s="1015" customFormat="1" ht="41.25" customHeight="1">
      <c r="A549" s="956">
        <v>25</v>
      </c>
      <c r="B549" s="976" t="s">
        <v>1660</v>
      </c>
      <c r="C549" s="956">
        <v>1973</v>
      </c>
      <c r="D549" s="957"/>
      <c r="E549" s="956" t="s">
        <v>219</v>
      </c>
      <c r="F549" s="957">
        <v>9</v>
      </c>
      <c r="G549" s="957">
        <v>6</v>
      </c>
      <c r="H549" s="1030">
        <v>12984.5</v>
      </c>
      <c r="I549" s="1030">
        <v>11178.3</v>
      </c>
      <c r="J549" s="1030">
        <f>11013.2-617.2</f>
        <v>10396</v>
      </c>
      <c r="K549" s="964">
        <v>576</v>
      </c>
      <c r="L549" s="971">
        <v>33628098.259999998</v>
      </c>
      <c r="M549" s="968">
        <v>0</v>
      </c>
      <c r="N549" s="968">
        <v>0</v>
      </c>
      <c r="O549" s="963">
        <f t="shared" si="120"/>
        <v>33628098.259999998</v>
      </c>
      <c r="P549" s="968">
        <v>0</v>
      </c>
      <c r="Q549" s="968">
        <v>0</v>
      </c>
      <c r="R549" s="956">
        <v>2016</v>
      </c>
      <c r="S549" s="1006" t="s">
        <v>1387</v>
      </c>
      <c r="U549" s="967"/>
    </row>
    <row r="550" spans="1:21" s="1015" customFormat="1" ht="41.25" customHeight="1">
      <c r="A550" s="956">
        <v>26</v>
      </c>
      <c r="B550" s="976" t="s">
        <v>1661</v>
      </c>
      <c r="C550" s="957">
        <v>1884</v>
      </c>
      <c r="D550" s="957"/>
      <c r="E550" s="956" t="s">
        <v>218</v>
      </c>
      <c r="F550" s="957">
        <v>2</v>
      </c>
      <c r="G550" s="957">
        <v>2</v>
      </c>
      <c r="H550" s="957">
        <v>975.5</v>
      </c>
      <c r="I550" s="957">
        <v>886</v>
      </c>
      <c r="J550" s="957">
        <f>886-323.3</f>
        <v>562.70000000000005</v>
      </c>
      <c r="K550" s="957">
        <v>52</v>
      </c>
      <c r="L550" s="971">
        <v>640928.1</v>
      </c>
      <c r="M550" s="968">
        <v>0</v>
      </c>
      <c r="N550" s="968">
        <v>0</v>
      </c>
      <c r="O550" s="963">
        <f t="shared" si="120"/>
        <v>640928.1</v>
      </c>
      <c r="P550" s="968">
        <v>0</v>
      </c>
      <c r="Q550" s="968">
        <v>0</v>
      </c>
      <c r="R550" s="956">
        <v>2016</v>
      </c>
      <c r="S550" s="1006" t="s">
        <v>1387</v>
      </c>
      <c r="U550" s="967"/>
    </row>
    <row r="551" spans="1:21" s="1015" customFormat="1" ht="41.25" customHeight="1">
      <c r="A551" s="956">
        <v>27</v>
      </c>
      <c r="B551" s="976" t="s">
        <v>1935</v>
      </c>
      <c r="C551" s="998">
        <v>1961</v>
      </c>
      <c r="D551" s="957"/>
      <c r="E551" s="956" t="s">
        <v>218</v>
      </c>
      <c r="F551" s="998">
        <v>5</v>
      </c>
      <c r="G551" s="998">
        <v>2</v>
      </c>
      <c r="H551" s="1030">
        <v>1732.1</v>
      </c>
      <c r="I551" s="1030">
        <v>1608.1</v>
      </c>
      <c r="J551" s="1030">
        <f>1608.1-263.9</f>
        <v>1344.1999999999998</v>
      </c>
      <c r="K551" s="959">
        <v>79</v>
      </c>
      <c r="L551" s="971">
        <v>5240312.92</v>
      </c>
      <c r="M551" s="968">
        <v>0</v>
      </c>
      <c r="N551" s="968">
        <v>0</v>
      </c>
      <c r="O551" s="963">
        <f t="shared" si="120"/>
        <v>5240312.92</v>
      </c>
      <c r="P551" s="968">
        <v>0</v>
      </c>
      <c r="Q551" s="968">
        <v>0</v>
      </c>
      <c r="R551" s="956">
        <v>2016</v>
      </c>
      <c r="S551" s="1006" t="s">
        <v>1387</v>
      </c>
      <c r="U551" s="967"/>
    </row>
    <row r="552" spans="1:21" s="1015" customFormat="1" ht="41.25" customHeight="1">
      <c r="A552" s="956">
        <v>28</v>
      </c>
      <c r="B552" s="976" t="s">
        <v>1662</v>
      </c>
      <c r="C552" s="957">
        <v>1937</v>
      </c>
      <c r="D552" s="957"/>
      <c r="E552" s="956" t="s">
        <v>218</v>
      </c>
      <c r="F552" s="957">
        <v>4</v>
      </c>
      <c r="G552" s="957">
        <v>9</v>
      </c>
      <c r="H552" s="957">
        <v>6091.4</v>
      </c>
      <c r="I552" s="957">
        <v>5348.4</v>
      </c>
      <c r="J552" s="957">
        <f>3926.4-62.1</f>
        <v>3864.3</v>
      </c>
      <c r="K552" s="957">
        <v>114</v>
      </c>
      <c r="L552" s="971">
        <v>9049205.0199999996</v>
      </c>
      <c r="M552" s="968">
        <v>0</v>
      </c>
      <c r="N552" s="968">
        <v>0</v>
      </c>
      <c r="O552" s="963">
        <f t="shared" si="120"/>
        <v>9049205.0199999996</v>
      </c>
      <c r="P552" s="968">
        <v>0</v>
      </c>
      <c r="Q552" s="968">
        <v>0</v>
      </c>
      <c r="R552" s="956">
        <v>2016</v>
      </c>
      <c r="S552" s="1006" t="s">
        <v>1387</v>
      </c>
      <c r="U552" s="967"/>
    </row>
    <row r="553" spans="1:21" s="1015" customFormat="1" ht="41.25" customHeight="1">
      <c r="A553" s="956">
        <v>29</v>
      </c>
      <c r="B553" s="976" t="s">
        <v>1663</v>
      </c>
      <c r="C553" s="957">
        <v>1961</v>
      </c>
      <c r="D553" s="957"/>
      <c r="E553" s="956" t="s">
        <v>218</v>
      </c>
      <c r="F553" s="957">
        <v>5</v>
      </c>
      <c r="G553" s="957">
        <v>4</v>
      </c>
      <c r="H553" s="1030">
        <v>3760.3</v>
      </c>
      <c r="I553" s="1030">
        <v>3400.51</v>
      </c>
      <c r="J553" s="1030">
        <f>2497.9-100.3</f>
        <v>2397.6</v>
      </c>
      <c r="K553" s="959">
        <v>105</v>
      </c>
      <c r="L553" s="971">
        <v>2583495.7799999998</v>
      </c>
      <c r="M553" s="968">
        <v>0</v>
      </c>
      <c r="N553" s="968">
        <v>0</v>
      </c>
      <c r="O553" s="963">
        <f t="shared" si="120"/>
        <v>2583495.7799999998</v>
      </c>
      <c r="P553" s="968">
        <v>0</v>
      </c>
      <c r="Q553" s="968">
        <v>0</v>
      </c>
      <c r="R553" s="956">
        <v>2016</v>
      </c>
      <c r="S553" s="1006" t="s">
        <v>1383</v>
      </c>
      <c r="U553" s="967"/>
    </row>
    <row r="554" spans="1:21" s="1015" customFormat="1" ht="41.25" customHeight="1">
      <c r="A554" s="956">
        <v>30</v>
      </c>
      <c r="B554" s="976" t="s">
        <v>1664</v>
      </c>
      <c r="C554" s="957" t="s">
        <v>190</v>
      </c>
      <c r="D554" s="957"/>
      <c r="E554" s="956" t="s">
        <v>218</v>
      </c>
      <c r="F554" s="957">
        <v>4</v>
      </c>
      <c r="G554" s="957">
        <v>2</v>
      </c>
      <c r="H554" s="957">
        <v>1002.4</v>
      </c>
      <c r="I554" s="957">
        <v>878.31</v>
      </c>
      <c r="J554" s="957">
        <f>695.5-109.4</f>
        <v>586.1</v>
      </c>
      <c r="K554" s="957">
        <v>26</v>
      </c>
      <c r="L554" s="971">
        <v>1271010.81</v>
      </c>
      <c r="M554" s="968">
        <v>0</v>
      </c>
      <c r="N554" s="968">
        <v>0</v>
      </c>
      <c r="O554" s="963">
        <f t="shared" si="120"/>
        <v>1271010.81</v>
      </c>
      <c r="P554" s="968">
        <v>0</v>
      </c>
      <c r="Q554" s="968">
        <v>0</v>
      </c>
      <c r="R554" s="956">
        <v>2016</v>
      </c>
      <c r="S554" s="1006" t="s">
        <v>1387</v>
      </c>
      <c r="U554" s="967"/>
    </row>
    <row r="555" spans="1:21" s="1015" customFormat="1" ht="41.25" customHeight="1">
      <c r="A555" s="956">
        <v>31</v>
      </c>
      <c r="B555" s="976" t="s">
        <v>1665</v>
      </c>
      <c r="C555" s="956">
        <v>1951</v>
      </c>
      <c r="D555" s="957"/>
      <c r="E555" s="956" t="s">
        <v>218</v>
      </c>
      <c r="F555" s="957">
        <v>3</v>
      </c>
      <c r="G555" s="957">
        <v>3</v>
      </c>
      <c r="H555" s="1030">
        <v>2112</v>
      </c>
      <c r="I555" s="1030">
        <v>1945.5</v>
      </c>
      <c r="J555" s="1030">
        <f>I555-198</f>
        <v>1747.5</v>
      </c>
      <c r="K555" s="964">
        <v>79</v>
      </c>
      <c r="L555" s="971">
        <v>2253297</v>
      </c>
      <c r="M555" s="968">
        <v>0</v>
      </c>
      <c r="N555" s="968">
        <v>0</v>
      </c>
      <c r="O555" s="963">
        <f t="shared" si="120"/>
        <v>2253297</v>
      </c>
      <c r="P555" s="968">
        <v>0</v>
      </c>
      <c r="Q555" s="968">
        <v>0</v>
      </c>
      <c r="R555" s="956">
        <v>2016</v>
      </c>
      <c r="S555" s="1006" t="s">
        <v>1387</v>
      </c>
      <c r="U555" s="967"/>
    </row>
    <row r="556" spans="1:21" s="1015" customFormat="1" ht="41.25" customHeight="1">
      <c r="A556" s="956">
        <v>32</v>
      </c>
      <c r="B556" s="976" t="s">
        <v>1666</v>
      </c>
      <c r="C556" s="957">
        <v>1977</v>
      </c>
      <c r="D556" s="957"/>
      <c r="E556" s="956" t="s">
        <v>218</v>
      </c>
      <c r="F556" s="957">
        <v>5</v>
      </c>
      <c r="G556" s="957">
        <v>6</v>
      </c>
      <c r="H556" s="957">
        <v>4612</v>
      </c>
      <c r="I556" s="957">
        <v>4552.5</v>
      </c>
      <c r="J556" s="957">
        <f>4461.8-285.7</f>
        <v>4176.1000000000004</v>
      </c>
      <c r="K556" s="957">
        <v>191</v>
      </c>
      <c r="L556" s="971">
        <v>7523470.5800000001</v>
      </c>
      <c r="M556" s="968">
        <v>0</v>
      </c>
      <c r="N556" s="968">
        <v>0</v>
      </c>
      <c r="O556" s="963">
        <f t="shared" si="120"/>
        <v>7523470.5800000001</v>
      </c>
      <c r="P556" s="968">
        <v>0</v>
      </c>
      <c r="Q556" s="968">
        <v>0</v>
      </c>
      <c r="R556" s="956">
        <v>2016</v>
      </c>
      <c r="S556" s="1006" t="s">
        <v>1387</v>
      </c>
      <c r="U556" s="967"/>
    </row>
    <row r="557" spans="1:21" s="1015" customFormat="1" ht="41.25" customHeight="1">
      <c r="A557" s="956">
        <v>33</v>
      </c>
      <c r="B557" s="976" t="s">
        <v>1667</v>
      </c>
      <c r="C557" s="998">
        <v>1967</v>
      </c>
      <c r="D557" s="957"/>
      <c r="E557" s="956" t="s">
        <v>218</v>
      </c>
      <c r="F557" s="998">
        <v>6</v>
      </c>
      <c r="G557" s="998">
        <v>5</v>
      </c>
      <c r="H557" s="1030">
        <v>5871.4</v>
      </c>
      <c r="I557" s="1030">
        <v>5136.3</v>
      </c>
      <c r="J557" s="1030">
        <v>3519.89</v>
      </c>
      <c r="K557" s="959">
        <v>206</v>
      </c>
      <c r="L557" s="965">
        <v>2903468</v>
      </c>
      <c r="M557" s="968">
        <v>0</v>
      </c>
      <c r="N557" s="968">
        <v>0</v>
      </c>
      <c r="O557" s="963">
        <f t="shared" si="120"/>
        <v>2903468</v>
      </c>
      <c r="P557" s="968">
        <v>0</v>
      </c>
      <c r="Q557" s="968">
        <v>0</v>
      </c>
      <c r="R557" s="956">
        <v>2016</v>
      </c>
      <c r="S557" s="1006" t="s">
        <v>1387</v>
      </c>
      <c r="U557" s="967"/>
    </row>
    <row r="558" spans="1:21" s="1015" customFormat="1" ht="41.25" customHeight="1">
      <c r="A558" s="956">
        <v>34</v>
      </c>
      <c r="B558" s="972" t="s">
        <v>1668</v>
      </c>
      <c r="C558" s="957">
        <v>1966</v>
      </c>
      <c r="D558" s="957"/>
      <c r="E558" s="956" t="s">
        <v>219</v>
      </c>
      <c r="F558" s="957">
        <v>5</v>
      </c>
      <c r="G558" s="957">
        <v>6</v>
      </c>
      <c r="H558" s="968">
        <v>4938</v>
      </c>
      <c r="I558" s="968">
        <v>4375.2</v>
      </c>
      <c r="J558" s="968">
        <f>I558-300.7</f>
        <v>4074.5</v>
      </c>
      <c r="K558" s="958">
        <v>229</v>
      </c>
      <c r="L558" s="971">
        <v>1967436</v>
      </c>
      <c r="M558" s="968">
        <v>0</v>
      </c>
      <c r="N558" s="968">
        <v>0</v>
      </c>
      <c r="O558" s="963">
        <f t="shared" si="120"/>
        <v>1967436</v>
      </c>
      <c r="P558" s="968">
        <v>0</v>
      </c>
      <c r="Q558" s="968">
        <v>0</v>
      </c>
      <c r="R558" s="956">
        <v>2017</v>
      </c>
      <c r="S558" s="1006" t="s">
        <v>1387</v>
      </c>
      <c r="U558" s="967"/>
    </row>
    <row r="559" spans="1:21" s="1015" customFormat="1" ht="41.25" customHeight="1">
      <c r="A559" s="956">
        <v>35</v>
      </c>
      <c r="B559" s="972" t="s">
        <v>1669</v>
      </c>
      <c r="C559" s="957">
        <v>1955</v>
      </c>
      <c r="D559" s="957"/>
      <c r="E559" s="956" t="s">
        <v>218</v>
      </c>
      <c r="F559" s="957">
        <v>3</v>
      </c>
      <c r="G559" s="957">
        <v>3</v>
      </c>
      <c r="H559" s="968">
        <v>2398.9</v>
      </c>
      <c r="I559" s="968">
        <v>2188.3000000000002</v>
      </c>
      <c r="J559" s="968">
        <f>I559-236.1</f>
        <v>1952.2000000000003</v>
      </c>
      <c r="K559" s="958">
        <v>95</v>
      </c>
      <c r="L559" s="971">
        <v>9914209.8100000005</v>
      </c>
      <c r="M559" s="968">
        <v>0</v>
      </c>
      <c r="N559" s="968">
        <v>0</v>
      </c>
      <c r="O559" s="963">
        <f t="shared" si="120"/>
        <v>9914209.8100000005</v>
      </c>
      <c r="P559" s="968">
        <v>0</v>
      </c>
      <c r="Q559" s="968">
        <v>0</v>
      </c>
      <c r="R559" s="956">
        <v>2017</v>
      </c>
      <c r="S559" s="1006" t="s">
        <v>1383</v>
      </c>
      <c r="U559" s="967"/>
    </row>
    <row r="560" spans="1:21" s="1015" customFormat="1" ht="41.25" customHeight="1">
      <c r="A560" s="956">
        <v>36</v>
      </c>
      <c r="B560" s="972" t="s">
        <v>1951</v>
      </c>
      <c r="C560" s="957">
        <v>1914</v>
      </c>
      <c r="D560" s="957"/>
      <c r="E560" s="956" t="s">
        <v>218</v>
      </c>
      <c r="F560" s="957">
        <v>4</v>
      </c>
      <c r="G560" s="957">
        <v>5</v>
      </c>
      <c r="H560" s="968">
        <v>2953.4</v>
      </c>
      <c r="I560" s="968">
        <v>2592.5</v>
      </c>
      <c r="J560" s="968">
        <f>I560-231.93</f>
        <v>2360.5700000000002</v>
      </c>
      <c r="K560" s="958">
        <v>90</v>
      </c>
      <c r="L560" s="971">
        <v>19552943.849999998</v>
      </c>
      <c r="M560" s="968">
        <v>0</v>
      </c>
      <c r="N560" s="968">
        <v>0</v>
      </c>
      <c r="O560" s="963">
        <f t="shared" si="120"/>
        <v>19552943.849999998</v>
      </c>
      <c r="P560" s="968">
        <v>0</v>
      </c>
      <c r="Q560" s="968">
        <v>0</v>
      </c>
      <c r="R560" s="956">
        <v>2017</v>
      </c>
      <c r="S560" s="1006" t="s">
        <v>1387</v>
      </c>
      <c r="U560" s="967"/>
    </row>
    <row r="561" spans="1:21" s="1015" customFormat="1" ht="41.25" customHeight="1">
      <c r="A561" s="956">
        <v>37</v>
      </c>
      <c r="B561" s="972" t="s">
        <v>1952</v>
      </c>
      <c r="C561" s="957">
        <v>1907</v>
      </c>
      <c r="D561" s="957"/>
      <c r="E561" s="956" t="s">
        <v>221</v>
      </c>
      <c r="F561" s="957">
        <v>2</v>
      </c>
      <c r="G561" s="957">
        <v>1</v>
      </c>
      <c r="H561" s="968">
        <v>691.1</v>
      </c>
      <c r="I561" s="968">
        <v>660.5</v>
      </c>
      <c r="J561" s="968">
        <f>I561-19.87</f>
        <v>640.63</v>
      </c>
      <c r="K561" s="958">
        <v>32</v>
      </c>
      <c r="L561" s="971">
        <v>3712475</v>
      </c>
      <c r="M561" s="968">
        <v>0</v>
      </c>
      <c r="N561" s="968">
        <v>0</v>
      </c>
      <c r="O561" s="963">
        <f t="shared" si="120"/>
        <v>3712475</v>
      </c>
      <c r="P561" s="968">
        <v>0</v>
      </c>
      <c r="Q561" s="968">
        <v>0</v>
      </c>
      <c r="R561" s="956">
        <v>2017</v>
      </c>
      <c r="S561" s="1006" t="s">
        <v>1387</v>
      </c>
      <c r="U561" s="967"/>
    </row>
    <row r="562" spans="1:21" s="1015" customFormat="1" ht="41.25" customHeight="1">
      <c r="A562" s="956">
        <v>38</v>
      </c>
      <c r="B562" s="972" t="s">
        <v>1670</v>
      </c>
      <c r="C562" s="957">
        <v>1925</v>
      </c>
      <c r="D562" s="957"/>
      <c r="E562" s="956" t="s">
        <v>221</v>
      </c>
      <c r="F562" s="957">
        <v>2</v>
      </c>
      <c r="G562" s="957">
        <v>2</v>
      </c>
      <c r="H562" s="968">
        <v>440</v>
      </c>
      <c r="I562" s="968">
        <v>411.5</v>
      </c>
      <c r="J562" s="968">
        <f>I562-102.4</f>
        <v>309.10000000000002</v>
      </c>
      <c r="K562" s="958">
        <v>20</v>
      </c>
      <c r="L562" s="971">
        <v>438645.23</v>
      </c>
      <c r="M562" s="968">
        <v>0</v>
      </c>
      <c r="N562" s="968">
        <v>0</v>
      </c>
      <c r="O562" s="963">
        <f t="shared" si="120"/>
        <v>438645.23</v>
      </c>
      <c r="P562" s="968">
        <v>0</v>
      </c>
      <c r="Q562" s="968">
        <v>0</v>
      </c>
      <c r="R562" s="956">
        <v>2017</v>
      </c>
      <c r="S562" s="1006" t="s">
        <v>1387</v>
      </c>
      <c r="U562" s="967"/>
    </row>
    <row r="563" spans="1:21" s="1015" customFormat="1" ht="41.25" customHeight="1">
      <c r="A563" s="956">
        <v>39</v>
      </c>
      <c r="B563" s="972" t="s">
        <v>1671</v>
      </c>
      <c r="C563" s="957">
        <v>1955</v>
      </c>
      <c r="D563" s="957"/>
      <c r="E563" s="956" t="s">
        <v>218</v>
      </c>
      <c r="F563" s="957">
        <v>2</v>
      </c>
      <c r="G563" s="957">
        <v>2</v>
      </c>
      <c r="H563" s="968">
        <v>512</v>
      </c>
      <c r="I563" s="968">
        <v>468.9</v>
      </c>
      <c r="J563" s="968">
        <f>I563-55.2</f>
        <v>413.7</v>
      </c>
      <c r="K563" s="958">
        <v>29</v>
      </c>
      <c r="L563" s="971">
        <v>794152.46</v>
      </c>
      <c r="M563" s="968">
        <v>0</v>
      </c>
      <c r="N563" s="968">
        <v>0</v>
      </c>
      <c r="O563" s="963">
        <f t="shared" si="120"/>
        <v>794152.46</v>
      </c>
      <c r="P563" s="968">
        <v>0</v>
      </c>
      <c r="Q563" s="968">
        <v>0</v>
      </c>
      <c r="R563" s="956">
        <v>2017</v>
      </c>
      <c r="S563" s="1006" t="s">
        <v>1387</v>
      </c>
      <c r="U563" s="967"/>
    </row>
    <row r="564" spans="1:21" s="1015" customFormat="1" ht="41.25" customHeight="1">
      <c r="A564" s="956">
        <v>40</v>
      </c>
      <c r="B564" s="972" t="s">
        <v>1672</v>
      </c>
      <c r="C564" s="957">
        <v>1955</v>
      </c>
      <c r="D564" s="957"/>
      <c r="E564" s="956" t="s">
        <v>218</v>
      </c>
      <c r="F564" s="957">
        <v>2</v>
      </c>
      <c r="G564" s="957">
        <v>2</v>
      </c>
      <c r="H564" s="968">
        <v>619.9</v>
      </c>
      <c r="I564" s="968">
        <v>561.6</v>
      </c>
      <c r="J564" s="968">
        <f>I564-174.6</f>
        <v>387</v>
      </c>
      <c r="K564" s="958">
        <v>45</v>
      </c>
      <c r="L564" s="971">
        <v>447464</v>
      </c>
      <c r="M564" s="968">
        <v>0</v>
      </c>
      <c r="N564" s="968">
        <v>0</v>
      </c>
      <c r="O564" s="963">
        <f t="shared" si="120"/>
        <v>447464</v>
      </c>
      <c r="P564" s="968">
        <v>0</v>
      </c>
      <c r="Q564" s="968">
        <v>0</v>
      </c>
      <c r="R564" s="956">
        <v>2017</v>
      </c>
      <c r="S564" s="1006" t="s">
        <v>1387</v>
      </c>
      <c r="U564" s="967"/>
    </row>
    <row r="565" spans="1:21" s="1015" customFormat="1" ht="41.25" customHeight="1">
      <c r="A565" s="956">
        <v>41</v>
      </c>
      <c r="B565" s="972" t="s">
        <v>1673</v>
      </c>
      <c r="C565" s="957">
        <v>1991</v>
      </c>
      <c r="D565" s="957"/>
      <c r="E565" s="956" t="s">
        <v>219</v>
      </c>
      <c r="F565" s="957">
        <v>10</v>
      </c>
      <c r="G565" s="957">
        <v>2</v>
      </c>
      <c r="H565" s="968">
        <v>5754.7</v>
      </c>
      <c r="I565" s="968">
        <v>4999.1000000000004</v>
      </c>
      <c r="J565" s="968">
        <f>I565-126.5-492.5</f>
        <v>4380.1000000000004</v>
      </c>
      <c r="K565" s="958">
        <v>198</v>
      </c>
      <c r="L565" s="971">
        <v>26223875.760000002</v>
      </c>
      <c r="M565" s="968">
        <v>0</v>
      </c>
      <c r="N565" s="968">
        <v>0</v>
      </c>
      <c r="O565" s="963">
        <f t="shared" si="120"/>
        <v>26223875.760000002</v>
      </c>
      <c r="P565" s="968">
        <v>0</v>
      </c>
      <c r="Q565" s="968">
        <v>0</v>
      </c>
      <c r="R565" s="956">
        <v>2017</v>
      </c>
      <c r="S565" s="1006" t="s">
        <v>1387</v>
      </c>
      <c r="U565" s="967"/>
    </row>
    <row r="566" spans="1:21" s="1015" customFormat="1" ht="41.25" customHeight="1">
      <c r="A566" s="956">
        <v>42</v>
      </c>
      <c r="B566" s="972" t="s">
        <v>1674</v>
      </c>
      <c r="C566" s="957">
        <v>1950</v>
      </c>
      <c r="D566" s="957"/>
      <c r="E566" s="956" t="s">
        <v>220</v>
      </c>
      <c r="F566" s="957">
        <v>2</v>
      </c>
      <c r="G566" s="957">
        <v>3</v>
      </c>
      <c r="H566" s="968">
        <v>1076</v>
      </c>
      <c r="I566" s="968">
        <v>1042.3</v>
      </c>
      <c r="J566" s="968">
        <f>I566-108.6</f>
        <v>933.69999999999993</v>
      </c>
      <c r="K566" s="958">
        <v>33</v>
      </c>
      <c r="L566" s="971">
        <v>454703</v>
      </c>
      <c r="M566" s="968">
        <v>0</v>
      </c>
      <c r="N566" s="968">
        <v>0</v>
      </c>
      <c r="O566" s="963">
        <f t="shared" si="120"/>
        <v>454703</v>
      </c>
      <c r="P566" s="968">
        <v>0</v>
      </c>
      <c r="Q566" s="968">
        <v>0</v>
      </c>
      <c r="R566" s="956">
        <v>2017</v>
      </c>
      <c r="S566" s="1006" t="s">
        <v>1383</v>
      </c>
      <c r="U566" s="967"/>
    </row>
    <row r="567" spans="1:21" s="1015" customFormat="1" ht="41.25" customHeight="1">
      <c r="A567" s="956">
        <v>43</v>
      </c>
      <c r="B567" s="972" t="s">
        <v>2036</v>
      </c>
      <c r="C567" s="957" t="s">
        <v>190</v>
      </c>
      <c r="D567" s="957"/>
      <c r="E567" s="956" t="s">
        <v>218</v>
      </c>
      <c r="F567" s="957">
        <v>3</v>
      </c>
      <c r="G567" s="957">
        <v>2</v>
      </c>
      <c r="H567" s="968">
        <v>781.9</v>
      </c>
      <c r="I567" s="968">
        <v>709.4</v>
      </c>
      <c r="J567" s="968">
        <f>I567-342.9-43.4</f>
        <v>323.10000000000002</v>
      </c>
      <c r="K567" s="958">
        <v>42</v>
      </c>
      <c r="L567" s="971">
        <v>3635931</v>
      </c>
      <c r="M567" s="968">
        <v>0</v>
      </c>
      <c r="N567" s="968">
        <v>0</v>
      </c>
      <c r="O567" s="963">
        <f t="shared" si="120"/>
        <v>3635931</v>
      </c>
      <c r="P567" s="968">
        <v>0</v>
      </c>
      <c r="Q567" s="968">
        <v>0</v>
      </c>
      <c r="R567" s="956">
        <v>2017</v>
      </c>
      <c r="S567" s="1006" t="s">
        <v>1387</v>
      </c>
      <c r="U567" s="967"/>
    </row>
    <row r="568" spans="1:21" s="1015" customFormat="1" ht="41.25" customHeight="1">
      <c r="A568" s="956">
        <v>44</v>
      </c>
      <c r="B568" s="972" t="s">
        <v>1675</v>
      </c>
      <c r="C568" s="957">
        <v>1962</v>
      </c>
      <c r="D568" s="957"/>
      <c r="E568" s="956" t="s">
        <v>218</v>
      </c>
      <c r="F568" s="957">
        <v>4</v>
      </c>
      <c r="G568" s="957">
        <v>2</v>
      </c>
      <c r="H568" s="968">
        <v>1289</v>
      </c>
      <c r="I568" s="968">
        <v>1263.0999999999999</v>
      </c>
      <c r="J568" s="968">
        <f>I568-56-31.8</f>
        <v>1175.3</v>
      </c>
      <c r="K568" s="958">
        <v>67</v>
      </c>
      <c r="L568" s="971">
        <v>593036</v>
      </c>
      <c r="M568" s="968">
        <v>0</v>
      </c>
      <c r="N568" s="968">
        <v>0</v>
      </c>
      <c r="O568" s="963">
        <f t="shared" si="120"/>
        <v>593036</v>
      </c>
      <c r="P568" s="968">
        <v>0</v>
      </c>
      <c r="Q568" s="968">
        <v>0</v>
      </c>
      <c r="R568" s="956">
        <v>2017</v>
      </c>
      <c r="S568" s="1006" t="s">
        <v>1383</v>
      </c>
      <c r="U568" s="967"/>
    </row>
    <row r="569" spans="1:21" s="1015" customFormat="1" ht="41.25" customHeight="1">
      <c r="A569" s="956">
        <v>45</v>
      </c>
      <c r="B569" s="972" t="s">
        <v>1676</v>
      </c>
      <c r="C569" s="957">
        <v>1926</v>
      </c>
      <c r="D569" s="957"/>
      <c r="E569" s="956" t="s">
        <v>221</v>
      </c>
      <c r="F569" s="957">
        <v>2</v>
      </c>
      <c r="G569" s="957">
        <v>2</v>
      </c>
      <c r="H569" s="968">
        <v>548.4</v>
      </c>
      <c r="I569" s="968">
        <v>422.7</v>
      </c>
      <c r="J569" s="968">
        <f>I569-137.47</f>
        <v>285.23</v>
      </c>
      <c r="K569" s="958">
        <v>24</v>
      </c>
      <c r="L569" s="971">
        <v>948145</v>
      </c>
      <c r="M569" s="968">
        <v>0</v>
      </c>
      <c r="N569" s="968">
        <v>0</v>
      </c>
      <c r="O569" s="963">
        <f t="shared" si="120"/>
        <v>948145</v>
      </c>
      <c r="P569" s="968">
        <v>0</v>
      </c>
      <c r="Q569" s="968">
        <v>0</v>
      </c>
      <c r="R569" s="956">
        <v>2017</v>
      </c>
      <c r="S569" s="1006" t="s">
        <v>1387</v>
      </c>
      <c r="U569" s="967"/>
    </row>
    <row r="570" spans="1:21" s="1015" customFormat="1" ht="41.25" customHeight="1">
      <c r="A570" s="956">
        <v>46</v>
      </c>
      <c r="B570" s="972" t="s">
        <v>2037</v>
      </c>
      <c r="C570" s="957">
        <v>1960</v>
      </c>
      <c r="D570" s="957"/>
      <c r="E570" s="956" t="s">
        <v>220</v>
      </c>
      <c r="F570" s="957">
        <v>3</v>
      </c>
      <c r="G570" s="957">
        <v>2</v>
      </c>
      <c r="H570" s="968">
        <v>832.1</v>
      </c>
      <c r="I570" s="968">
        <v>756.7</v>
      </c>
      <c r="J570" s="968">
        <v>754.9</v>
      </c>
      <c r="K570" s="958">
        <v>33</v>
      </c>
      <c r="L570" s="971">
        <v>3895244.88</v>
      </c>
      <c r="M570" s="968">
        <v>0</v>
      </c>
      <c r="N570" s="968">
        <v>0</v>
      </c>
      <c r="O570" s="963">
        <f t="shared" si="120"/>
        <v>3895244.88</v>
      </c>
      <c r="P570" s="968">
        <v>0</v>
      </c>
      <c r="Q570" s="968">
        <v>0</v>
      </c>
      <c r="R570" s="956">
        <v>2017</v>
      </c>
      <c r="S570" s="1006" t="s">
        <v>1383</v>
      </c>
      <c r="U570" s="967"/>
    </row>
    <row r="571" spans="1:21" s="1015" customFormat="1" ht="41.25" customHeight="1">
      <c r="A571" s="956">
        <v>47</v>
      </c>
      <c r="B571" s="972" t="s">
        <v>1677</v>
      </c>
      <c r="C571" s="957">
        <v>1959</v>
      </c>
      <c r="D571" s="957"/>
      <c r="E571" s="956" t="s">
        <v>218</v>
      </c>
      <c r="F571" s="957">
        <v>4</v>
      </c>
      <c r="G571" s="957">
        <v>2</v>
      </c>
      <c r="H571" s="968">
        <v>1402.5</v>
      </c>
      <c r="I571" s="968">
        <v>1322.7</v>
      </c>
      <c r="J571" s="968">
        <f>I571-63.3-259.4</f>
        <v>1000.0000000000001</v>
      </c>
      <c r="K571" s="958">
        <v>47</v>
      </c>
      <c r="L571" s="971">
        <v>4930704.99</v>
      </c>
      <c r="M571" s="968">
        <v>0</v>
      </c>
      <c r="N571" s="968">
        <v>0</v>
      </c>
      <c r="O571" s="963">
        <f t="shared" si="120"/>
        <v>4930704.99</v>
      </c>
      <c r="P571" s="968">
        <v>0</v>
      </c>
      <c r="Q571" s="968">
        <v>0</v>
      </c>
      <c r="R571" s="956">
        <v>2017</v>
      </c>
      <c r="S571" s="1006" t="s">
        <v>1387</v>
      </c>
      <c r="U571" s="967"/>
    </row>
    <row r="572" spans="1:21" s="1015" customFormat="1" ht="41.25" customHeight="1">
      <c r="A572" s="956">
        <v>48</v>
      </c>
      <c r="B572" s="972" t="s">
        <v>1678</v>
      </c>
      <c r="C572" s="956">
        <v>1982</v>
      </c>
      <c r="D572" s="957"/>
      <c r="E572" s="956" t="s">
        <v>219</v>
      </c>
      <c r="F572" s="957">
        <v>12</v>
      </c>
      <c r="G572" s="957">
        <v>1</v>
      </c>
      <c r="H572" s="968">
        <v>3835.4</v>
      </c>
      <c r="I572" s="968">
        <v>3643.6</v>
      </c>
      <c r="J572" s="968">
        <f>I572-96.5</f>
        <v>3547.1</v>
      </c>
      <c r="K572" s="977">
        <v>132</v>
      </c>
      <c r="L572" s="971">
        <v>1459916</v>
      </c>
      <c r="M572" s="968">
        <v>0</v>
      </c>
      <c r="N572" s="968">
        <v>0</v>
      </c>
      <c r="O572" s="963">
        <f t="shared" si="120"/>
        <v>1459916</v>
      </c>
      <c r="P572" s="968">
        <v>0</v>
      </c>
      <c r="Q572" s="968">
        <v>0</v>
      </c>
      <c r="R572" s="956">
        <v>2017</v>
      </c>
      <c r="S572" s="1006" t="s">
        <v>1387</v>
      </c>
      <c r="U572" s="967"/>
    </row>
    <row r="573" spans="1:21" s="1015" customFormat="1" ht="41.25" customHeight="1">
      <c r="A573" s="956">
        <v>49</v>
      </c>
      <c r="B573" s="972" t="s">
        <v>1679</v>
      </c>
      <c r="C573" s="956">
        <v>1950</v>
      </c>
      <c r="D573" s="957"/>
      <c r="E573" s="956" t="s">
        <v>220</v>
      </c>
      <c r="F573" s="957">
        <v>2</v>
      </c>
      <c r="G573" s="957">
        <v>3</v>
      </c>
      <c r="H573" s="968">
        <v>1395.9</v>
      </c>
      <c r="I573" s="968">
        <v>1263.0999999999999</v>
      </c>
      <c r="J573" s="968">
        <f>1102.5-138.3</f>
        <v>964.2</v>
      </c>
      <c r="K573" s="977">
        <v>49</v>
      </c>
      <c r="L573" s="971">
        <v>1168390</v>
      </c>
      <c r="M573" s="968">
        <v>0</v>
      </c>
      <c r="N573" s="968">
        <v>0</v>
      </c>
      <c r="O573" s="963">
        <f t="shared" si="120"/>
        <v>1168390</v>
      </c>
      <c r="P573" s="968">
        <v>0</v>
      </c>
      <c r="Q573" s="968">
        <v>0</v>
      </c>
      <c r="R573" s="956">
        <v>2017</v>
      </c>
      <c r="S573" s="1006" t="s">
        <v>1387</v>
      </c>
      <c r="U573" s="967"/>
    </row>
    <row r="574" spans="1:21" s="1015" customFormat="1" ht="41.25" customHeight="1">
      <c r="A574" s="956">
        <v>50</v>
      </c>
      <c r="B574" s="972" t="s">
        <v>1680</v>
      </c>
      <c r="C574" s="956">
        <v>1983</v>
      </c>
      <c r="D574" s="957"/>
      <c r="E574" s="956" t="s">
        <v>219</v>
      </c>
      <c r="F574" s="957">
        <v>9</v>
      </c>
      <c r="G574" s="957">
        <v>9</v>
      </c>
      <c r="H574" s="968">
        <v>20254.5</v>
      </c>
      <c r="I574" s="968">
        <v>17871.5</v>
      </c>
      <c r="J574" s="968">
        <f>I574-933.3</f>
        <v>16938.2</v>
      </c>
      <c r="K574" s="977">
        <v>764</v>
      </c>
      <c r="L574" s="971">
        <v>2540822</v>
      </c>
      <c r="M574" s="968">
        <v>0</v>
      </c>
      <c r="N574" s="968">
        <v>0</v>
      </c>
      <c r="O574" s="963">
        <f t="shared" si="120"/>
        <v>2540822</v>
      </c>
      <c r="P574" s="968">
        <v>0</v>
      </c>
      <c r="Q574" s="968">
        <v>0</v>
      </c>
      <c r="R574" s="956">
        <v>2018</v>
      </c>
      <c r="S574" s="1006" t="s">
        <v>1387</v>
      </c>
      <c r="U574" s="967"/>
    </row>
    <row r="575" spans="1:21" s="1015" customFormat="1" ht="41.25" customHeight="1">
      <c r="A575" s="956">
        <v>51</v>
      </c>
      <c r="B575" s="972" t="s">
        <v>1681</v>
      </c>
      <c r="C575" s="956">
        <v>1983</v>
      </c>
      <c r="D575" s="957"/>
      <c r="E575" s="956" t="s">
        <v>219</v>
      </c>
      <c r="F575" s="957">
        <v>9</v>
      </c>
      <c r="G575" s="957">
        <v>3</v>
      </c>
      <c r="H575" s="968">
        <v>8203.6</v>
      </c>
      <c r="I575" s="968">
        <v>5766.8</v>
      </c>
      <c r="J575" s="968">
        <f>I575-338.5</f>
        <v>5428.3</v>
      </c>
      <c r="K575" s="977">
        <v>251</v>
      </c>
      <c r="L575" s="971">
        <v>2518802</v>
      </c>
      <c r="M575" s="968">
        <v>0</v>
      </c>
      <c r="N575" s="968">
        <v>0</v>
      </c>
      <c r="O575" s="963">
        <f t="shared" si="120"/>
        <v>2518802</v>
      </c>
      <c r="P575" s="968">
        <v>0</v>
      </c>
      <c r="Q575" s="968">
        <v>0</v>
      </c>
      <c r="R575" s="964">
        <v>2018</v>
      </c>
      <c r="S575" s="1006" t="s">
        <v>1387</v>
      </c>
      <c r="U575" s="967"/>
    </row>
    <row r="576" spans="1:21" s="1015" customFormat="1" ht="41.25" customHeight="1">
      <c r="A576" s="956">
        <v>52</v>
      </c>
      <c r="B576" s="972" t="s">
        <v>1682</v>
      </c>
      <c r="C576" s="956">
        <v>1959</v>
      </c>
      <c r="D576" s="957"/>
      <c r="E576" s="956" t="s">
        <v>218</v>
      </c>
      <c r="F576" s="957">
        <v>3</v>
      </c>
      <c r="G576" s="957">
        <v>2</v>
      </c>
      <c r="H576" s="968">
        <v>1012.8</v>
      </c>
      <c r="I576" s="968">
        <v>983.7</v>
      </c>
      <c r="J576" s="968">
        <f>I576-36.4</f>
        <v>947.30000000000007</v>
      </c>
      <c r="K576" s="977">
        <v>22</v>
      </c>
      <c r="L576" s="971">
        <v>1243453</v>
      </c>
      <c r="M576" s="968">
        <v>0</v>
      </c>
      <c r="N576" s="968">
        <v>0</v>
      </c>
      <c r="O576" s="963">
        <f t="shared" si="120"/>
        <v>1243453</v>
      </c>
      <c r="P576" s="968">
        <v>0</v>
      </c>
      <c r="Q576" s="968">
        <v>0</v>
      </c>
      <c r="R576" s="956">
        <v>2018</v>
      </c>
      <c r="S576" s="1006" t="s">
        <v>1387</v>
      </c>
      <c r="U576" s="967"/>
    </row>
    <row r="577" spans="1:21" s="1015" customFormat="1" ht="41.25" customHeight="1">
      <c r="A577" s="956">
        <v>53</v>
      </c>
      <c r="B577" s="972" t="s">
        <v>1683</v>
      </c>
      <c r="C577" s="956">
        <v>1917</v>
      </c>
      <c r="D577" s="957"/>
      <c r="E577" s="956" t="s">
        <v>218</v>
      </c>
      <c r="F577" s="957">
        <v>3</v>
      </c>
      <c r="G577" s="957">
        <v>1</v>
      </c>
      <c r="H577" s="968">
        <v>460.1</v>
      </c>
      <c r="I577" s="968">
        <v>420.1</v>
      </c>
      <c r="J577" s="968">
        <v>420.1</v>
      </c>
      <c r="K577" s="977">
        <v>11</v>
      </c>
      <c r="L577" s="971">
        <v>2875428.66</v>
      </c>
      <c r="M577" s="968">
        <v>0</v>
      </c>
      <c r="N577" s="968">
        <v>0</v>
      </c>
      <c r="O577" s="963">
        <f t="shared" si="120"/>
        <v>2875428.66</v>
      </c>
      <c r="P577" s="968">
        <v>0</v>
      </c>
      <c r="Q577" s="968">
        <v>0</v>
      </c>
      <c r="R577" s="964">
        <v>2018</v>
      </c>
      <c r="S577" s="1006" t="s">
        <v>1387</v>
      </c>
      <c r="U577" s="967"/>
    </row>
    <row r="578" spans="1:21" s="1015" customFormat="1" ht="41.25" customHeight="1">
      <c r="A578" s="956">
        <v>54</v>
      </c>
      <c r="B578" s="972" t="s">
        <v>1684</v>
      </c>
      <c r="C578" s="956">
        <v>1917</v>
      </c>
      <c r="D578" s="957"/>
      <c r="E578" s="956" t="s">
        <v>218</v>
      </c>
      <c r="F578" s="957">
        <v>3</v>
      </c>
      <c r="G578" s="957">
        <v>2</v>
      </c>
      <c r="H578" s="968">
        <v>483.6</v>
      </c>
      <c r="I578" s="968">
        <v>410</v>
      </c>
      <c r="J578" s="968">
        <f>I578</f>
        <v>410</v>
      </c>
      <c r="K578" s="977">
        <v>15</v>
      </c>
      <c r="L578" s="971">
        <v>2676796.31</v>
      </c>
      <c r="M578" s="968">
        <v>0</v>
      </c>
      <c r="N578" s="968">
        <v>0</v>
      </c>
      <c r="O578" s="963">
        <f t="shared" si="120"/>
        <v>2676796.31</v>
      </c>
      <c r="P578" s="968">
        <v>0</v>
      </c>
      <c r="Q578" s="968">
        <v>0</v>
      </c>
      <c r="R578" s="956">
        <v>2018</v>
      </c>
      <c r="S578" s="1006" t="s">
        <v>1387</v>
      </c>
      <c r="U578" s="967"/>
    </row>
    <row r="579" spans="1:21" s="1015" customFormat="1" ht="41.25" customHeight="1">
      <c r="A579" s="956">
        <v>55</v>
      </c>
      <c r="B579" s="972" t="s">
        <v>1685</v>
      </c>
      <c r="C579" s="956">
        <v>1967</v>
      </c>
      <c r="D579" s="957"/>
      <c r="E579" s="956" t="s">
        <v>219</v>
      </c>
      <c r="F579" s="957">
        <v>5</v>
      </c>
      <c r="G579" s="957">
        <v>3</v>
      </c>
      <c r="H579" s="968">
        <v>2789.8</v>
      </c>
      <c r="I579" s="968">
        <v>2568.3000000000002</v>
      </c>
      <c r="J579" s="968">
        <f>I579-186.2</f>
        <v>2382.1000000000004</v>
      </c>
      <c r="K579" s="977">
        <v>73</v>
      </c>
      <c r="L579" s="971">
        <v>899225</v>
      </c>
      <c r="M579" s="968">
        <v>0</v>
      </c>
      <c r="N579" s="968">
        <v>0</v>
      </c>
      <c r="O579" s="963">
        <f t="shared" si="120"/>
        <v>899225</v>
      </c>
      <c r="P579" s="968">
        <v>0</v>
      </c>
      <c r="Q579" s="968">
        <v>0</v>
      </c>
      <c r="R579" s="964">
        <v>2018</v>
      </c>
      <c r="S579" s="1006" t="s">
        <v>1387</v>
      </c>
      <c r="U579" s="967"/>
    </row>
    <row r="580" spans="1:21" s="1015" customFormat="1" ht="41.25" customHeight="1">
      <c r="A580" s="956">
        <v>56</v>
      </c>
      <c r="B580" s="972" t="s">
        <v>1686</v>
      </c>
      <c r="C580" s="956">
        <v>1992</v>
      </c>
      <c r="D580" s="957"/>
      <c r="E580" s="956" t="s">
        <v>219</v>
      </c>
      <c r="F580" s="957">
        <v>10</v>
      </c>
      <c r="G580" s="957">
        <v>4</v>
      </c>
      <c r="H580" s="968">
        <v>10086.799999999999</v>
      </c>
      <c r="I580" s="968">
        <v>9077.1</v>
      </c>
      <c r="J580" s="968">
        <f>I580-229.9</f>
        <v>8847.2000000000007</v>
      </c>
      <c r="K580" s="977">
        <v>378</v>
      </c>
      <c r="L580" s="965">
        <v>8338382</v>
      </c>
      <c r="M580" s="968">
        <v>0</v>
      </c>
      <c r="N580" s="968">
        <v>0</v>
      </c>
      <c r="O580" s="963">
        <f t="shared" si="120"/>
        <v>8338382</v>
      </c>
      <c r="P580" s="968">
        <v>0</v>
      </c>
      <c r="Q580" s="968">
        <v>0</v>
      </c>
      <c r="R580" s="956">
        <v>2018</v>
      </c>
      <c r="S580" s="1006" t="s">
        <v>1387</v>
      </c>
      <c r="U580" s="967"/>
    </row>
    <row r="581" spans="1:21" s="1015" customFormat="1" ht="41.25" customHeight="1">
      <c r="A581" s="956">
        <v>57</v>
      </c>
      <c r="B581" s="972" t="s">
        <v>1687</v>
      </c>
      <c r="C581" s="956">
        <v>1964</v>
      </c>
      <c r="D581" s="957"/>
      <c r="E581" s="956" t="s">
        <v>218</v>
      </c>
      <c r="F581" s="957">
        <v>4</v>
      </c>
      <c r="G581" s="957">
        <v>2</v>
      </c>
      <c r="H581" s="968">
        <v>1397.3</v>
      </c>
      <c r="I581" s="968">
        <v>1269.3</v>
      </c>
      <c r="J581" s="968">
        <f>I581-42</f>
        <v>1227.3</v>
      </c>
      <c r="K581" s="977">
        <v>37</v>
      </c>
      <c r="L581" s="971">
        <v>1750958</v>
      </c>
      <c r="M581" s="968">
        <v>0</v>
      </c>
      <c r="N581" s="968">
        <v>0</v>
      </c>
      <c r="O581" s="963">
        <f t="shared" si="120"/>
        <v>1750958</v>
      </c>
      <c r="P581" s="968">
        <v>0</v>
      </c>
      <c r="Q581" s="968">
        <v>0</v>
      </c>
      <c r="R581" s="964">
        <v>2018</v>
      </c>
      <c r="S581" s="1006" t="s">
        <v>1383</v>
      </c>
      <c r="U581" s="967"/>
    </row>
    <row r="582" spans="1:21" s="1015" customFormat="1" ht="41.25" customHeight="1">
      <c r="A582" s="956">
        <v>58</v>
      </c>
      <c r="B582" s="972" t="s">
        <v>1688</v>
      </c>
      <c r="C582" s="956">
        <v>1955</v>
      </c>
      <c r="D582" s="957"/>
      <c r="E582" s="956" t="s">
        <v>218</v>
      </c>
      <c r="F582" s="957">
        <v>2</v>
      </c>
      <c r="G582" s="957">
        <v>2</v>
      </c>
      <c r="H582" s="968">
        <v>623.79999999999995</v>
      </c>
      <c r="I582" s="968">
        <v>577.70000000000005</v>
      </c>
      <c r="J582" s="968">
        <f>I582-119.7</f>
        <v>458.00000000000006</v>
      </c>
      <c r="K582" s="977">
        <v>17</v>
      </c>
      <c r="L582" s="971">
        <v>982113</v>
      </c>
      <c r="M582" s="968">
        <v>0</v>
      </c>
      <c r="N582" s="968">
        <v>0</v>
      </c>
      <c r="O582" s="963">
        <f t="shared" si="120"/>
        <v>982113</v>
      </c>
      <c r="P582" s="968">
        <v>0</v>
      </c>
      <c r="Q582" s="968">
        <v>0</v>
      </c>
      <c r="R582" s="956">
        <v>2018</v>
      </c>
      <c r="S582" s="1006" t="s">
        <v>1387</v>
      </c>
      <c r="U582" s="967"/>
    </row>
    <row r="583" spans="1:21" s="1015" customFormat="1" ht="41.25" customHeight="1">
      <c r="A583" s="956">
        <v>59</v>
      </c>
      <c r="B583" s="972" t="s">
        <v>1641</v>
      </c>
      <c r="C583" s="956">
        <v>1965</v>
      </c>
      <c r="D583" s="957"/>
      <c r="E583" s="956" t="s">
        <v>218</v>
      </c>
      <c r="F583" s="957">
        <v>5</v>
      </c>
      <c r="G583" s="957">
        <v>4</v>
      </c>
      <c r="H583" s="968">
        <v>4172.8</v>
      </c>
      <c r="I583" s="968">
        <v>3897.3</v>
      </c>
      <c r="J583" s="968">
        <f>I583-1361.8-84.2</f>
        <v>2451.3000000000002</v>
      </c>
      <c r="K583" s="977">
        <v>132</v>
      </c>
      <c r="L583" s="965">
        <v>14351824.439999999</v>
      </c>
      <c r="M583" s="968">
        <v>0</v>
      </c>
      <c r="N583" s="968">
        <v>0</v>
      </c>
      <c r="O583" s="963">
        <f t="shared" si="120"/>
        <v>14351824.439999999</v>
      </c>
      <c r="P583" s="968">
        <v>0</v>
      </c>
      <c r="Q583" s="968">
        <v>0</v>
      </c>
      <c r="R583" s="964">
        <v>2018</v>
      </c>
      <c r="S583" s="1006" t="s">
        <v>1387</v>
      </c>
      <c r="U583" s="967"/>
    </row>
    <row r="584" spans="1:21" s="1015" customFormat="1" ht="41.25" customHeight="1">
      <c r="A584" s="956">
        <v>60</v>
      </c>
      <c r="B584" s="972" t="s">
        <v>1689</v>
      </c>
      <c r="C584" s="956">
        <v>1958</v>
      </c>
      <c r="D584" s="957"/>
      <c r="E584" s="956" t="s">
        <v>218</v>
      </c>
      <c r="F584" s="957">
        <v>4</v>
      </c>
      <c r="G584" s="957">
        <v>5</v>
      </c>
      <c r="H584" s="968">
        <v>5887.4</v>
      </c>
      <c r="I584" s="968">
        <v>5353.2</v>
      </c>
      <c r="J584" s="968">
        <f>I584-228.7</f>
        <v>5124.5</v>
      </c>
      <c r="K584" s="977">
        <v>117</v>
      </c>
      <c r="L584" s="971">
        <v>9021133.9199999999</v>
      </c>
      <c r="M584" s="968">
        <v>0</v>
      </c>
      <c r="N584" s="968">
        <v>0</v>
      </c>
      <c r="O584" s="963">
        <f t="shared" si="120"/>
        <v>9021133.9199999999</v>
      </c>
      <c r="P584" s="968">
        <v>0</v>
      </c>
      <c r="Q584" s="968">
        <v>0</v>
      </c>
      <c r="R584" s="956">
        <v>2018</v>
      </c>
      <c r="S584" s="1006" t="s">
        <v>1387</v>
      </c>
      <c r="U584" s="967"/>
    </row>
    <row r="585" spans="1:21" s="1015" customFormat="1" ht="41.25" customHeight="1">
      <c r="A585" s="956">
        <v>61</v>
      </c>
      <c r="B585" s="972" t="s">
        <v>1657</v>
      </c>
      <c r="C585" s="956">
        <v>1960</v>
      </c>
      <c r="D585" s="957"/>
      <c r="E585" s="956" t="s">
        <v>218</v>
      </c>
      <c r="F585" s="957">
        <v>5</v>
      </c>
      <c r="G585" s="957">
        <v>4</v>
      </c>
      <c r="H585" s="968">
        <v>3084</v>
      </c>
      <c r="I585" s="968">
        <v>2725.9</v>
      </c>
      <c r="J585" s="968">
        <f>I585-77.4</f>
        <v>2648.5</v>
      </c>
      <c r="K585" s="977">
        <v>82</v>
      </c>
      <c r="L585" s="965">
        <v>1960392</v>
      </c>
      <c r="M585" s="968">
        <v>0</v>
      </c>
      <c r="N585" s="968">
        <v>0</v>
      </c>
      <c r="O585" s="963">
        <f t="shared" si="120"/>
        <v>1960392</v>
      </c>
      <c r="P585" s="968">
        <v>0</v>
      </c>
      <c r="Q585" s="968">
        <v>0</v>
      </c>
      <c r="R585" s="964">
        <v>2018</v>
      </c>
      <c r="S585" s="1006" t="s">
        <v>1383</v>
      </c>
      <c r="U585" s="967"/>
    </row>
    <row r="586" spans="1:21" s="1015" customFormat="1" ht="41.25" customHeight="1">
      <c r="A586" s="956">
        <v>62</v>
      </c>
      <c r="B586" s="972" t="s">
        <v>1690</v>
      </c>
      <c r="C586" s="956">
        <v>1985</v>
      </c>
      <c r="D586" s="957"/>
      <c r="E586" s="956" t="s">
        <v>219</v>
      </c>
      <c r="F586" s="957">
        <v>9</v>
      </c>
      <c r="G586" s="957">
        <v>6</v>
      </c>
      <c r="H586" s="968">
        <v>17027.8</v>
      </c>
      <c r="I586" s="968">
        <v>11641.95</v>
      </c>
      <c r="J586" s="968">
        <f>I586-817</f>
        <v>10824.95</v>
      </c>
      <c r="K586" s="977">
        <v>443</v>
      </c>
      <c r="L586" s="971">
        <v>5336490</v>
      </c>
      <c r="M586" s="968">
        <v>0</v>
      </c>
      <c r="N586" s="968">
        <v>0</v>
      </c>
      <c r="O586" s="963">
        <f t="shared" si="120"/>
        <v>5336490</v>
      </c>
      <c r="P586" s="968">
        <v>0</v>
      </c>
      <c r="Q586" s="968">
        <v>0</v>
      </c>
      <c r="R586" s="956">
        <v>2018</v>
      </c>
      <c r="S586" s="1006" t="s">
        <v>1387</v>
      </c>
      <c r="U586" s="967"/>
    </row>
    <row r="587" spans="1:21" s="1015" customFormat="1" ht="41.25" customHeight="1">
      <c r="A587" s="956">
        <v>63</v>
      </c>
      <c r="B587" s="972" t="s">
        <v>1691</v>
      </c>
      <c r="C587" s="956">
        <v>1956</v>
      </c>
      <c r="D587" s="957"/>
      <c r="E587" s="956" t="s">
        <v>218</v>
      </c>
      <c r="F587" s="957">
        <v>5</v>
      </c>
      <c r="G587" s="957">
        <v>8</v>
      </c>
      <c r="H587" s="968">
        <v>8242.25</v>
      </c>
      <c r="I587" s="968">
        <v>7440.45</v>
      </c>
      <c r="J587" s="968">
        <f>I587</f>
        <v>7440.45</v>
      </c>
      <c r="K587" s="977">
        <v>249</v>
      </c>
      <c r="L587" s="965">
        <v>20545653.079999998</v>
      </c>
      <c r="M587" s="968">
        <v>0</v>
      </c>
      <c r="N587" s="968">
        <v>0</v>
      </c>
      <c r="O587" s="963">
        <f t="shared" si="120"/>
        <v>20545653.079999998</v>
      </c>
      <c r="P587" s="968">
        <v>0</v>
      </c>
      <c r="Q587" s="968">
        <v>0</v>
      </c>
      <c r="R587" s="964">
        <v>2018</v>
      </c>
      <c r="S587" s="1006" t="s">
        <v>1387</v>
      </c>
      <c r="U587" s="967"/>
    </row>
    <row r="588" spans="1:21" s="1015" customFormat="1" ht="41.25" customHeight="1">
      <c r="A588" s="956">
        <v>64</v>
      </c>
      <c r="B588" s="972" t="s">
        <v>1692</v>
      </c>
      <c r="C588" s="956">
        <v>1936</v>
      </c>
      <c r="D588" s="957"/>
      <c r="E588" s="956" t="s">
        <v>218</v>
      </c>
      <c r="F588" s="957">
        <v>5</v>
      </c>
      <c r="G588" s="957">
        <v>4</v>
      </c>
      <c r="H588" s="968">
        <v>7195.3</v>
      </c>
      <c r="I588" s="968">
        <v>6273.7</v>
      </c>
      <c r="J588" s="968">
        <f>I588-1979.8-20.8</f>
        <v>4273.0999999999995</v>
      </c>
      <c r="K588" s="977">
        <v>211</v>
      </c>
      <c r="L588" s="971">
        <v>36550059.109999999</v>
      </c>
      <c r="M588" s="968">
        <v>0</v>
      </c>
      <c r="N588" s="968">
        <v>0</v>
      </c>
      <c r="O588" s="963">
        <f t="shared" si="120"/>
        <v>36550059.109999999</v>
      </c>
      <c r="P588" s="968">
        <v>0</v>
      </c>
      <c r="Q588" s="968">
        <v>0</v>
      </c>
      <c r="R588" s="956">
        <v>2018</v>
      </c>
      <c r="S588" s="1006" t="s">
        <v>1387</v>
      </c>
      <c r="U588" s="967"/>
    </row>
    <row r="589" spans="1:21" s="1015" customFormat="1" ht="41.25" customHeight="1">
      <c r="A589" s="956">
        <v>65</v>
      </c>
      <c r="B589" s="972" t="s">
        <v>1693</v>
      </c>
      <c r="C589" s="956">
        <v>1959</v>
      </c>
      <c r="D589" s="957"/>
      <c r="E589" s="956" t="s">
        <v>218</v>
      </c>
      <c r="F589" s="957">
        <v>4</v>
      </c>
      <c r="G589" s="957">
        <v>4</v>
      </c>
      <c r="H589" s="968">
        <v>2771.8</v>
      </c>
      <c r="I589" s="968">
        <v>2547.6</v>
      </c>
      <c r="J589" s="968">
        <f>I589-146.4</f>
        <v>2401.1999999999998</v>
      </c>
      <c r="K589" s="977">
        <v>121</v>
      </c>
      <c r="L589" s="971">
        <v>1187834</v>
      </c>
      <c r="M589" s="968">
        <v>0</v>
      </c>
      <c r="N589" s="968">
        <v>0</v>
      </c>
      <c r="O589" s="963">
        <f t="shared" ref="O589:O652" si="122">L589</f>
        <v>1187834</v>
      </c>
      <c r="P589" s="968">
        <v>0</v>
      </c>
      <c r="Q589" s="968">
        <v>0</v>
      </c>
      <c r="R589" s="964">
        <v>2018</v>
      </c>
      <c r="S589" s="1006" t="s">
        <v>1387</v>
      </c>
      <c r="U589" s="967"/>
    </row>
    <row r="590" spans="1:21" s="1015" customFormat="1" ht="41.25" customHeight="1">
      <c r="A590" s="956">
        <v>66</v>
      </c>
      <c r="B590" s="972" t="s">
        <v>1936</v>
      </c>
      <c r="C590" s="956">
        <v>1960</v>
      </c>
      <c r="D590" s="957"/>
      <c r="E590" s="956" t="s">
        <v>218</v>
      </c>
      <c r="F590" s="957">
        <v>4</v>
      </c>
      <c r="G590" s="957">
        <v>4</v>
      </c>
      <c r="H590" s="968">
        <v>2786</v>
      </c>
      <c r="I590" s="968">
        <v>2515.1999999999998</v>
      </c>
      <c r="J590" s="968">
        <f>I590-178.8</f>
        <v>2336.3999999999996</v>
      </c>
      <c r="K590" s="977">
        <v>132</v>
      </c>
      <c r="L590" s="965">
        <v>7357760.8399999999</v>
      </c>
      <c r="M590" s="968">
        <v>0</v>
      </c>
      <c r="N590" s="968">
        <v>0</v>
      </c>
      <c r="O590" s="963">
        <f t="shared" si="122"/>
        <v>7357760.8399999999</v>
      </c>
      <c r="P590" s="968">
        <v>0</v>
      </c>
      <c r="Q590" s="968">
        <v>0</v>
      </c>
      <c r="R590" s="956">
        <v>2018</v>
      </c>
      <c r="S590" s="1006" t="s">
        <v>1387</v>
      </c>
      <c r="U590" s="967"/>
    </row>
    <row r="591" spans="1:21" s="1015" customFormat="1" ht="41.25" customHeight="1">
      <c r="A591" s="956">
        <v>67</v>
      </c>
      <c r="B591" s="972" t="s">
        <v>1694</v>
      </c>
      <c r="C591" s="956">
        <v>1937</v>
      </c>
      <c r="D591" s="957"/>
      <c r="E591" s="956" t="s">
        <v>218</v>
      </c>
      <c r="F591" s="957">
        <v>4</v>
      </c>
      <c r="G591" s="957">
        <v>4</v>
      </c>
      <c r="H591" s="968">
        <v>2732.9</v>
      </c>
      <c r="I591" s="968">
        <v>2413.1999999999998</v>
      </c>
      <c r="J591" s="968">
        <f>I591-178.8</f>
        <v>2234.3999999999996</v>
      </c>
      <c r="K591" s="977">
        <v>117</v>
      </c>
      <c r="L591" s="971">
        <v>3470236</v>
      </c>
      <c r="M591" s="968">
        <v>0</v>
      </c>
      <c r="N591" s="968">
        <v>0</v>
      </c>
      <c r="O591" s="963">
        <f t="shared" si="122"/>
        <v>3470236</v>
      </c>
      <c r="P591" s="968">
        <v>0</v>
      </c>
      <c r="Q591" s="968">
        <v>0</v>
      </c>
      <c r="R591" s="964">
        <v>2018</v>
      </c>
      <c r="S591" s="1006" t="s">
        <v>1387</v>
      </c>
      <c r="U591" s="967"/>
    </row>
    <row r="592" spans="1:21" s="1015" customFormat="1" ht="41.25" customHeight="1">
      <c r="A592" s="956">
        <v>68</v>
      </c>
      <c r="B592" s="972" t="s">
        <v>1695</v>
      </c>
      <c r="C592" s="956">
        <v>1959</v>
      </c>
      <c r="D592" s="957"/>
      <c r="E592" s="956" t="s">
        <v>218</v>
      </c>
      <c r="F592" s="957">
        <v>4</v>
      </c>
      <c r="G592" s="957">
        <v>4</v>
      </c>
      <c r="H592" s="968">
        <v>2729</v>
      </c>
      <c r="I592" s="968">
        <v>2536.3000000000002</v>
      </c>
      <c r="J592" s="968">
        <f>I592-32.2</f>
        <v>2504.1000000000004</v>
      </c>
      <c r="K592" s="977">
        <v>190</v>
      </c>
      <c r="L592" s="971">
        <v>3275213</v>
      </c>
      <c r="M592" s="968">
        <v>0</v>
      </c>
      <c r="N592" s="968">
        <v>0</v>
      </c>
      <c r="O592" s="963">
        <f t="shared" si="122"/>
        <v>3275213</v>
      </c>
      <c r="P592" s="968">
        <v>0</v>
      </c>
      <c r="Q592" s="968">
        <v>0</v>
      </c>
      <c r="R592" s="956">
        <v>2018</v>
      </c>
      <c r="S592" s="1006" t="s">
        <v>1387</v>
      </c>
      <c r="U592" s="967"/>
    </row>
    <row r="593" spans="1:21" s="1015" customFormat="1" ht="41.25" customHeight="1">
      <c r="A593" s="956">
        <v>69</v>
      </c>
      <c r="B593" s="972" t="s">
        <v>1696</v>
      </c>
      <c r="C593" s="956">
        <v>1957</v>
      </c>
      <c r="D593" s="957"/>
      <c r="E593" s="956" t="s">
        <v>218</v>
      </c>
      <c r="F593" s="957">
        <v>4</v>
      </c>
      <c r="G593" s="957">
        <v>3</v>
      </c>
      <c r="H593" s="968">
        <v>3313.9</v>
      </c>
      <c r="I593" s="968">
        <v>2501.3000000000002</v>
      </c>
      <c r="J593" s="968">
        <f>I593-58.9</f>
        <v>2442.4</v>
      </c>
      <c r="K593" s="977">
        <v>103</v>
      </c>
      <c r="L593" s="971">
        <v>2749421.96</v>
      </c>
      <c r="M593" s="968">
        <v>0</v>
      </c>
      <c r="N593" s="968">
        <v>0</v>
      </c>
      <c r="O593" s="963">
        <f t="shared" si="122"/>
        <v>2749421.96</v>
      </c>
      <c r="P593" s="968">
        <v>0</v>
      </c>
      <c r="Q593" s="968">
        <v>0</v>
      </c>
      <c r="R593" s="964">
        <v>2018</v>
      </c>
      <c r="S593" s="1006" t="s">
        <v>1387</v>
      </c>
      <c r="U593" s="967"/>
    </row>
    <row r="594" spans="1:21" s="1015" customFormat="1" ht="41.25" customHeight="1">
      <c r="A594" s="956">
        <v>70</v>
      </c>
      <c r="B594" s="972" t="s">
        <v>1697</v>
      </c>
      <c r="C594" s="956">
        <v>1957</v>
      </c>
      <c r="D594" s="957"/>
      <c r="E594" s="956" t="s">
        <v>218</v>
      </c>
      <c r="F594" s="957">
        <v>3</v>
      </c>
      <c r="G594" s="957">
        <v>3</v>
      </c>
      <c r="H594" s="968">
        <v>2389</v>
      </c>
      <c r="I594" s="968">
        <v>2345.1999999999998</v>
      </c>
      <c r="J594" s="968">
        <f>I594</f>
        <v>2345.1999999999998</v>
      </c>
      <c r="K594" s="977">
        <v>49</v>
      </c>
      <c r="L594" s="965">
        <v>5603275.5800000001</v>
      </c>
      <c r="M594" s="968">
        <v>0</v>
      </c>
      <c r="N594" s="968">
        <v>0</v>
      </c>
      <c r="O594" s="963">
        <f t="shared" si="122"/>
        <v>5603275.5800000001</v>
      </c>
      <c r="P594" s="968">
        <v>0</v>
      </c>
      <c r="Q594" s="968">
        <v>0</v>
      </c>
      <c r="R594" s="956">
        <v>2018</v>
      </c>
      <c r="S594" s="1006" t="s">
        <v>1383</v>
      </c>
      <c r="U594" s="967"/>
    </row>
    <row r="595" spans="1:21" s="1015" customFormat="1" ht="41.25" customHeight="1">
      <c r="A595" s="956">
        <v>71</v>
      </c>
      <c r="B595" s="976" t="s">
        <v>1638</v>
      </c>
      <c r="C595" s="956">
        <v>1951</v>
      </c>
      <c r="D595" s="957"/>
      <c r="E595" s="956" t="s">
        <v>220</v>
      </c>
      <c r="F595" s="957">
        <v>2</v>
      </c>
      <c r="G595" s="957">
        <v>1</v>
      </c>
      <c r="H595" s="968">
        <v>559.9</v>
      </c>
      <c r="I595" s="968">
        <v>515.29999999999995</v>
      </c>
      <c r="J595" s="968">
        <f>I595-0</f>
        <v>515.29999999999995</v>
      </c>
      <c r="K595" s="977">
        <v>24</v>
      </c>
      <c r="L595" s="971">
        <v>780672</v>
      </c>
      <c r="M595" s="968">
        <v>0</v>
      </c>
      <c r="N595" s="968">
        <v>0</v>
      </c>
      <c r="O595" s="963">
        <f t="shared" si="122"/>
        <v>780672</v>
      </c>
      <c r="P595" s="968">
        <v>0</v>
      </c>
      <c r="Q595" s="968">
        <v>0</v>
      </c>
      <c r="R595" s="964">
        <v>2018</v>
      </c>
      <c r="S595" s="1006" t="s">
        <v>1387</v>
      </c>
      <c r="U595" s="967"/>
    </row>
    <row r="596" spans="1:21" s="1015" customFormat="1" ht="41.25" customHeight="1">
      <c r="A596" s="956">
        <v>72</v>
      </c>
      <c r="B596" s="976" t="s">
        <v>1679</v>
      </c>
      <c r="C596" s="956">
        <v>1950</v>
      </c>
      <c r="D596" s="957"/>
      <c r="E596" s="956" t="s">
        <v>220</v>
      </c>
      <c r="F596" s="957">
        <v>2</v>
      </c>
      <c r="G596" s="957">
        <v>3</v>
      </c>
      <c r="H596" s="968">
        <v>1395.9</v>
      </c>
      <c r="I596" s="968">
        <v>1264.5999999999999</v>
      </c>
      <c r="J596" s="968">
        <f>I596-213-138.3</f>
        <v>913.3</v>
      </c>
      <c r="K596" s="977">
        <v>49</v>
      </c>
      <c r="L596" s="971">
        <v>1864763</v>
      </c>
      <c r="M596" s="968">
        <v>0</v>
      </c>
      <c r="N596" s="968">
        <v>0</v>
      </c>
      <c r="O596" s="963">
        <f t="shared" si="122"/>
        <v>1864763</v>
      </c>
      <c r="P596" s="968">
        <v>0</v>
      </c>
      <c r="Q596" s="968">
        <v>0</v>
      </c>
      <c r="R596" s="956">
        <v>2018</v>
      </c>
      <c r="S596" s="1006" t="s">
        <v>1387</v>
      </c>
      <c r="U596" s="967"/>
    </row>
    <row r="597" spans="1:21" s="1015" customFormat="1" ht="41.25" customHeight="1">
      <c r="A597" s="956">
        <v>73</v>
      </c>
      <c r="B597" s="976" t="s">
        <v>1636</v>
      </c>
      <c r="C597" s="956">
        <v>1948</v>
      </c>
      <c r="D597" s="957"/>
      <c r="E597" s="956" t="s">
        <v>218</v>
      </c>
      <c r="F597" s="957">
        <v>2</v>
      </c>
      <c r="G597" s="957">
        <v>3</v>
      </c>
      <c r="H597" s="968">
        <v>1329.8</v>
      </c>
      <c r="I597" s="968">
        <v>1212.2</v>
      </c>
      <c r="J597" s="968">
        <f>I597</f>
        <v>1212.2</v>
      </c>
      <c r="K597" s="977">
        <v>55</v>
      </c>
      <c r="L597" s="971">
        <v>2627267</v>
      </c>
      <c r="M597" s="968">
        <v>0</v>
      </c>
      <c r="N597" s="968">
        <v>0</v>
      </c>
      <c r="O597" s="963">
        <f t="shared" si="122"/>
        <v>2627267</v>
      </c>
      <c r="P597" s="968">
        <v>0</v>
      </c>
      <c r="Q597" s="968">
        <v>0</v>
      </c>
      <c r="R597" s="964">
        <v>2018</v>
      </c>
      <c r="S597" s="1006" t="s">
        <v>1383</v>
      </c>
      <c r="U597" s="967"/>
    </row>
    <row r="598" spans="1:21" s="1015" customFormat="1" ht="41.25" customHeight="1">
      <c r="A598" s="956">
        <v>74</v>
      </c>
      <c r="B598" s="972" t="s">
        <v>1698</v>
      </c>
      <c r="C598" s="956">
        <v>1895</v>
      </c>
      <c r="D598" s="957"/>
      <c r="E598" s="956" t="s">
        <v>218</v>
      </c>
      <c r="F598" s="957">
        <v>2</v>
      </c>
      <c r="G598" s="957">
        <v>1</v>
      </c>
      <c r="H598" s="968">
        <v>497.1</v>
      </c>
      <c r="I598" s="968">
        <v>363.5</v>
      </c>
      <c r="J598" s="968">
        <f>I598</f>
        <v>363.5</v>
      </c>
      <c r="K598" s="977">
        <v>12</v>
      </c>
      <c r="L598" s="971">
        <v>193341</v>
      </c>
      <c r="M598" s="968">
        <v>0</v>
      </c>
      <c r="N598" s="968">
        <v>0</v>
      </c>
      <c r="O598" s="963">
        <f t="shared" si="122"/>
        <v>193341</v>
      </c>
      <c r="P598" s="968">
        <v>0</v>
      </c>
      <c r="Q598" s="968">
        <v>0</v>
      </c>
      <c r="R598" s="956">
        <v>2018</v>
      </c>
      <c r="S598" s="1006" t="s">
        <v>1387</v>
      </c>
      <c r="U598" s="967"/>
    </row>
    <row r="599" spans="1:21" s="1015" customFormat="1" ht="41.25" customHeight="1">
      <c r="A599" s="956">
        <v>75</v>
      </c>
      <c r="B599" s="972" t="s">
        <v>1699</v>
      </c>
      <c r="C599" s="956">
        <v>1972</v>
      </c>
      <c r="D599" s="957"/>
      <c r="E599" s="956" t="s">
        <v>218</v>
      </c>
      <c r="F599" s="957">
        <v>5</v>
      </c>
      <c r="G599" s="957">
        <v>2</v>
      </c>
      <c r="H599" s="968">
        <v>3773.99</v>
      </c>
      <c r="I599" s="968">
        <v>3489.29</v>
      </c>
      <c r="J599" s="968">
        <f>I599-639.8</f>
        <v>2849.49</v>
      </c>
      <c r="K599" s="977">
        <v>191</v>
      </c>
      <c r="L599" s="965">
        <v>3835417.8</v>
      </c>
      <c r="M599" s="968">
        <v>0</v>
      </c>
      <c r="N599" s="968">
        <v>0</v>
      </c>
      <c r="O599" s="963">
        <f t="shared" si="122"/>
        <v>3835417.8</v>
      </c>
      <c r="P599" s="968">
        <v>0</v>
      </c>
      <c r="Q599" s="968">
        <v>0</v>
      </c>
      <c r="R599" s="964">
        <v>2018</v>
      </c>
      <c r="S599" s="1006" t="s">
        <v>1387</v>
      </c>
      <c r="U599" s="967"/>
    </row>
    <row r="600" spans="1:21" s="1015" customFormat="1" ht="41.25" customHeight="1">
      <c r="A600" s="956">
        <v>76</v>
      </c>
      <c r="B600" s="972" t="s">
        <v>1700</v>
      </c>
      <c r="C600" s="956">
        <v>1956</v>
      </c>
      <c r="D600" s="957"/>
      <c r="E600" s="956" t="s">
        <v>218</v>
      </c>
      <c r="F600" s="957">
        <v>2</v>
      </c>
      <c r="G600" s="957">
        <v>3</v>
      </c>
      <c r="H600" s="968">
        <v>1305.5999999999999</v>
      </c>
      <c r="I600" s="968">
        <v>1143.5999999999999</v>
      </c>
      <c r="J600" s="968">
        <f>I600-57.9-60.1</f>
        <v>1025.5999999999999</v>
      </c>
      <c r="K600" s="977">
        <v>22</v>
      </c>
      <c r="L600" s="971">
        <v>1300391</v>
      </c>
      <c r="M600" s="968">
        <v>0</v>
      </c>
      <c r="N600" s="968">
        <v>0</v>
      </c>
      <c r="O600" s="963">
        <f t="shared" si="122"/>
        <v>1300391</v>
      </c>
      <c r="P600" s="968">
        <v>0</v>
      </c>
      <c r="Q600" s="968">
        <v>0</v>
      </c>
      <c r="R600" s="956">
        <v>2018</v>
      </c>
      <c r="S600" s="1006" t="s">
        <v>1387</v>
      </c>
      <c r="U600" s="967"/>
    </row>
    <row r="601" spans="1:21" s="1015" customFormat="1" ht="41.25" customHeight="1">
      <c r="A601" s="956">
        <v>77</v>
      </c>
      <c r="B601" s="972" t="s">
        <v>1701</v>
      </c>
      <c r="C601" s="956">
        <v>1917</v>
      </c>
      <c r="D601" s="957"/>
      <c r="E601" s="956" t="s">
        <v>218</v>
      </c>
      <c r="F601" s="991" t="s">
        <v>1589</v>
      </c>
      <c r="G601" s="957">
        <v>4</v>
      </c>
      <c r="H601" s="968">
        <v>2304.3000000000002</v>
      </c>
      <c r="I601" s="968">
        <v>2167.6999999999998</v>
      </c>
      <c r="J601" s="968">
        <f>I601-390.4</f>
        <v>1777.2999999999997</v>
      </c>
      <c r="K601" s="977">
        <v>61</v>
      </c>
      <c r="L601" s="971">
        <v>7569129.8099999996</v>
      </c>
      <c r="M601" s="968">
        <v>0</v>
      </c>
      <c r="N601" s="968">
        <v>0</v>
      </c>
      <c r="O601" s="963">
        <f t="shared" si="122"/>
        <v>7569129.8099999996</v>
      </c>
      <c r="P601" s="968">
        <v>0</v>
      </c>
      <c r="Q601" s="968">
        <v>0</v>
      </c>
      <c r="R601" s="964">
        <v>2018</v>
      </c>
      <c r="S601" s="1006" t="s">
        <v>1383</v>
      </c>
      <c r="U601" s="967"/>
    </row>
    <row r="602" spans="1:21" s="1015" customFormat="1" ht="41.25" customHeight="1">
      <c r="A602" s="956">
        <v>78</v>
      </c>
      <c r="B602" s="972" t="s">
        <v>1702</v>
      </c>
      <c r="C602" s="956">
        <v>1953</v>
      </c>
      <c r="D602" s="957"/>
      <c r="E602" s="956" t="s">
        <v>218</v>
      </c>
      <c r="F602" s="957">
        <v>4</v>
      </c>
      <c r="G602" s="957">
        <v>9</v>
      </c>
      <c r="H602" s="968">
        <v>7344.1</v>
      </c>
      <c r="I602" s="968">
        <v>6786.8</v>
      </c>
      <c r="J602" s="968">
        <f>I602-842.1-1022.6</f>
        <v>4922.0999999999995</v>
      </c>
      <c r="K602" s="977">
        <v>141</v>
      </c>
      <c r="L602" s="971">
        <v>16234608.26</v>
      </c>
      <c r="M602" s="968">
        <v>0</v>
      </c>
      <c r="N602" s="968">
        <v>0</v>
      </c>
      <c r="O602" s="963">
        <f t="shared" si="122"/>
        <v>16234608.26</v>
      </c>
      <c r="P602" s="968">
        <v>0</v>
      </c>
      <c r="Q602" s="968">
        <v>0</v>
      </c>
      <c r="R602" s="956">
        <v>2018</v>
      </c>
      <c r="S602" s="1006" t="s">
        <v>1387</v>
      </c>
      <c r="U602" s="967"/>
    </row>
    <row r="603" spans="1:21" s="1015" customFormat="1" ht="41.25" customHeight="1">
      <c r="A603" s="956">
        <v>79</v>
      </c>
      <c r="B603" s="972" t="s">
        <v>1665</v>
      </c>
      <c r="C603" s="956">
        <v>1951</v>
      </c>
      <c r="D603" s="957"/>
      <c r="E603" s="956" t="s">
        <v>218</v>
      </c>
      <c r="F603" s="957">
        <v>3</v>
      </c>
      <c r="G603" s="957">
        <v>3</v>
      </c>
      <c r="H603" s="968">
        <v>2015</v>
      </c>
      <c r="I603" s="968">
        <v>1848.5</v>
      </c>
      <c r="J603" s="968">
        <f>I603-191.4</f>
        <v>1657.1</v>
      </c>
      <c r="K603" s="977">
        <v>82</v>
      </c>
      <c r="L603" s="965">
        <v>467928</v>
      </c>
      <c r="M603" s="968">
        <v>0</v>
      </c>
      <c r="N603" s="968">
        <v>0</v>
      </c>
      <c r="O603" s="963">
        <f t="shared" si="122"/>
        <v>467928</v>
      </c>
      <c r="P603" s="968">
        <v>0</v>
      </c>
      <c r="Q603" s="968">
        <v>0</v>
      </c>
      <c r="R603" s="964">
        <v>2018</v>
      </c>
      <c r="S603" s="1006" t="s">
        <v>1387</v>
      </c>
      <c r="U603" s="967"/>
    </row>
    <row r="604" spans="1:21" s="1015" customFormat="1" ht="41.25" customHeight="1">
      <c r="A604" s="956">
        <v>80</v>
      </c>
      <c r="B604" s="972" t="s">
        <v>1703</v>
      </c>
      <c r="C604" s="956">
        <v>1953</v>
      </c>
      <c r="D604" s="957"/>
      <c r="E604" s="956" t="s">
        <v>218</v>
      </c>
      <c r="F604" s="957">
        <v>2</v>
      </c>
      <c r="G604" s="957">
        <v>2</v>
      </c>
      <c r="H604" s="968">
        <v>411.7</v>
      </c>
      <c r="I604" s="968">
        <v>368.5</v>
      </c>
      <c r="J604" s="968">
        <f>I604-21.51</f>
        <v>346.99</v>
      </c>
      <c r="K604" s="977">
        <v>24</v>
      </c>
      <c r="L604" s="971">
        <v>720823</v>
      </c>
      <c r="M604" s="968">
        <v>0</v>
      </c>
      <c r="N604" s="968">
        <v>0</v>
      </c>
      <c r="O604" s="963">
        <f t="shared" si="122"/>
        <v>720823</v>
      </c>
      <c r="P604" s="968">
        <v>0</v>
      </c>
      <c r="Q604" s="968">
        <v>0</v>
      </c>
      <c r="R604" s="956">
        <v>2018</v>
      </c>
      <c r="S604" s="1006" t="s">
        <v>1387</v>
      </c>
      <c r="U604" s="967"/>
    </row>
    <row r="605" spans="1:21" s="1015" customFormat="1" ht="41.25" customHeight="1">
      <c r="A605" s="956">
        <v>81</v>
      </c>
      <c r="B605" s="972" t="s">
        <v>1704</v>
      </c>
      <c r="C605" s="956">
        <v>1926</v>
      </c>
      <c r="D605" s="957"/>
      <c r="E605" s="956" t="s">
        <v>221</v>
      </c>
      <c r="F605" s="957">
        <v>2</v>
      </c>
      <c r="G605" s="957">
        <v>2</v>
      </c>
      <c r="H605" s="968">
        <v>564.5</v>
      </c>
      <c r="I605" s="968">
        <v>519.70000000000005</v>
      </c>
      <c r="J605" s="968">
        <f>I605-63.6</f>
        <v>456.1</v>
      </c>
      <c r="K605" s="977">
        <v>29</v>
      </c>
      <c r="L605" s="971">
        <v>691750</v>
      </c>
      <c r="M605" s="968">
        <v>0</v>
      </c>
      <c r="N605" s="968">
        <v>0</v>
      </c>
      <c r="O605" s="963">
        <f t="shared" si="122"/>
        <v>691750</v>
      </c>
      <c r="P605" s="968">
        <v>0</v>
      </c>
      <c r="Q605" s="968">
        <v>0</v>
      </c>
      <c r="R605" s="964">
        <v>2018</v>
      </c>
      <c r="S605" s="1006" t="s">
        <v>1387</v>
      </c>
      <c r="U605" s="967"/>
    </row>
    <row r="606" spans="1:21" s="1015" customFormat="1" ht="41.25" customHeight="1">
      <c r="A606" s="956">
        <v>82</v>
      </c>
      <c r="B606" s="972" t="s">
        <v>1705</v>
      </c>
      <c r="C606" s="956">
        <v>1968</v>
      </c>
      <c r="D606" s="957"/>
      <c r="E606" s="956" t="s">
        <v>218</v>
      </c>
      <c r="F606" s="957">
        <v>5</v>
      </c>
      <c r="G606" s="957">
        <v>4</v>
      </c>
      <c r="H606" s="968">
        <v>3442</v>
      </c>
      <c r="I606" s="968">
        <v>2835.3</v>
      </c>
      <c r="J606" s="968">
        <f>I606</f>
        <v>2835.3</v>
      </c>
      <c r="K606" s="977">
        <v>151</v>
      </c>
      <c r="L606" s="971">
        <v>1443400</v>
      </c>
      <c r="M606" s="968">
        <v>0</v>
      </c>
      <c r="N606" s="968">
        <v>0</v>
      </c>
      <c r="O606" s="963">
        <f t="shared" si="122"/>
        <v>1443400</v>
      </c>
      <c r="P606" s="968">
        <v>0</v>
      </c>
      <c r="Q606" s="968">
        <v>0</v>
      </c>
      <c r="R606" s="956">
        <v>2018</v>
      </c>
      <c r="S606" s="1006" t="s">
        <v>1387</v>
      </c>
      <c r="U606" s="967"/>
    </row>
    <row r="607" spans="1:21" s="1015" customFormat="1" ht="41.25" customHeight="1">
      <c r="A607" s="956">
        <v>83</v>
      </c>
      <c r="B607" s="972" t="s">
        <v>1706</v>
      </c>
      <c r="C607" s="956">
        <v>1965</v>
      </c>
      <c r="D607" s="957"/>
      <c r="E607" s="956" t="s">
        <v>219</v>
      </c>
      <c r="F607" s="957">
        <v>5</v>
      </c>
      <c r="G607" s="957">
        <v>5</v>
      </c>
      <c r="H607" s="968">
        <v>3654.8</v>
      </c>
      <c r="I607" s="968">
        <v>3252.7</v>
      </c>
      <c r="J607" s="968">
        <f>I607-467.7</f>
        <v>2785</v>
      </c>
      <c r="K607" s="977">
        <v>140</v>
      </c>
      <c r="L607" s="965">
        <v>1194865</v>
      </c>
      <c r="M607" s="968">
        <v>0</v>
      </c>
      <c r="N607" s="968">
        <v>0</v>
      </c>
      <c r="O607" s="963">
        <f t="shared" si="122"/>
        <v>1194865</v>
      </c>
      <c r="P607" s="968">
        <v>0</v>
      </c>
      <c r="Q607" s="968">
        <v>0</v>
      </c>
      <c r="R607" s="964">
        <v>2018</v>
      </c>
      <c r="S607" s="1006" t="s">
        <v>1387</v>
      </c>
      <c r="U607" s="967"/>
    </row>
    <row r="608" spans="1:21" s="1015" customFormat="1" ht="41.25" customHeight="1">
      <c r="A608" s="956">
        <v>84</v>
      </c>
      <c r="B608" s="972" t="s">
        <v>1707</v>
      </c>
      <c r="C608" s="956">
        <v>1927</v>
      </c>
      <c r="D608" s="957"/>
      <c r="E608" s="956" t="s">
        <v>221</v>
      </c>
      <c r="F608" s="957">
        <v>2</v>
      </c>
      <c r="G608" s="957">
        <v>1</v>
      </c>
      <c r="H608" s="968">
        <v>351.1</v>
      </c>
      <c r="I608" s="968">
        <v>322.89999999999998</v>
      </c>
      <c r="J608" s="968">
        <f>I608-38.8</f>
        <v>284.09999999999997</v>
      </c>
      <c r="K608" s="977">
        <v>16</v>
      </c>
      <c r="L608" s="971">
        <v>483674</v>
      </c>
      <c r="M608" s="968">
        <v>0</v>
      </c>
      <c r="N608" s="968">
        <v>0</v>
      </c>
      <c r="O608" s="963">
        <f t="shared" si="122"/>
        <v>483674</v>
      </c>
      <c r="P608" s="968">
        <v>0</v>
      </c>
      <c r="Q608" s="968">
        <v>0</v>
      </c>
      <c r="R608" s="956">
        <v>2018</v>
      </c>
      <c r="S608" s="1006" t="s">
        <v>1387</v>
      </c>
      <c r="U608" s="967"/>
    </row>
    <row r="609" spans="1:21" s="1015" customFormat="1" ht="41.25" customHeight="1">
      <c r="A609" s="956">
        <v>85</v>
      </c>
      <c r="B609" s="972" t="s">
        <v>1708</v>
      </c>
      <c r="C609" s="956">
        <v>1929</v>
      </c>
      <c r="D609" s="957"/>
      <c r="E609" s="956" t="s">
        <v>220</v>
      </c>
      <c r="F609" s="957">
        <v>3</v>
      </c>
      <c r="G609" s="957">
        <v>2</v>
      </c>
      <c r="H609" s="968">
        <v>1006.1</v>
      </c>
      <c r="I609" s="968">
        <v>966.2</v>
      </c>
      <c r="J609" s="968">
        <f>I609-58.1</f>
        <v>908.1</v>
      </c>
      <c r="K609" s="977">
        <v>41</v>
      </c>
      <c r="L609" s="971">
        <v>2368102.7200000002</v>
      </c>
      <c r="M609" s="968">
        <v>0</v>
      </c>
      <c r="N609" s="968">
        <v>0</v>
      </c>
      <c r="O609" s="963">
        <f t="shared" si="122"/>
        <v>2368102.7200000002</v>
      </c>
      <c r="P609" s="968">
        <v>0</v>
      </c>
      <c r="Q609" s="968">
        <v>0</v>
      </c>
      <c r="R609" s="964">
        <v>2018</v>
      </c>
      <c r="S609" s="1006" t="s">
        <v>1387</v>
      </c>
      <c r="U609" s="967"/>
    </row>
    <row r="610" spans="1:21" s="1015" customFormat="1" ht="41.25" customHeight="1">
      <c r="A610" s="956">
        <v>86</v>
      </c>
      <c r="B610" s="976" t="s">
        <v>1679</v>
      </c>
      <c r="C610" s="957">
        <v>1950</v>
      </c>
      <c r="D610" s="957"/>
      <c r="E610" s="956" t="s">
        <v>220</v>
      </c>
      <c r="F610" s="957">
        <v>2</v>
      </c>
      <c r="G610" s="957">
        <v>3</v>
      </c>
      <c r="H610" s="968">
        <v>1395.9</v>
      </c>
      <c r="I610" s="968">
        <v>1264.5999999999999</v>
      </c>
      <c r="J610" s="968">
        <v>913.3</v>
      </c>
      <c r="K610" s="957">
        <v>49</v>
      </c>
      <c r="L610" s="971">
        <v>72530</v>
      </c>
      <c r="M610" s="968">
        <v>0</v>
      </c>
      <c r="N610" s="968">
        <v>0</v>
      </c>
      <c r="O610" s="963">
        <f t="shared" si="122"/>
        <v>72530</v>
      </c>
      <c r="P610" s="968">
        <v>0</v>
      </c>
      <c r="Q610" s="968">
        <v>0</v>
      </c>
      <c r="R610" s="964">
        <v>2019</v>
      </c>
      <c r="S610" s="1006" t="s">
        <v>1387</v>
      </c>
      <c r="U610" s="967"/>
    </row>
    <row r="611" spans="1:21" s="1015" customFormat="1" ht="41.25" customHeight="1">
      <c r="A611" s="956">
        <v>87</v>
      </c>
      <c r="B611" s="976" t="s">
        <v>1709</v>
      </c>
      <c r="C611" s="957">
        <v>1975</v>
      </c>
      <c r="D611" s="957"/>
      <c r="E611" s="956" t="s">
        <v>219</v>
      </c>
      <c r="F611" s="957">
        <v>9</v>
      </c>
      <c r="G611" s="957">
        <v>2</v>
      </c>
      <c r="H611" s="968">
        <v>4377.7</v>
      </c>
      <c r="I611" s="968">
        <v>3881.7</v>
      </c>
      <c r="J611" s="968">
        <v>3766.9</v>
      </c>
      <c r="K611" s="958">
        <v>160</v>
      </c>
      <c r="L611" s="971">
        <v>454777</v>
      </c>
      <c r="M611" s="968">
        <v>0</v>
      </c>
      <c r="N611" s="968">
        <v>0</v>
      </c>
      <c r="O611" s="963">
        <f t="shared" si="122"/>
        <v>454777</v>
      </c>
      <c r="P611" s="968">
        <v>0</v>
      </c>
      <c r="Q611" s="968">
        <v>0</v>
      </c>
      <c r="R611" s="964">
        <v>2019</v>
      </c>
      <c r="S611" s="1006" t="s">
        <v>1387</v>
      </c>
      <c r="U611" s="967"/>
    </row>
    <row r="612" spans="1:21" s="1015" customFormat="1" ht="41.25" customHeight="1">
      <c r="A612" s="956">
        <v>88</v>
      </c>
      <c r="B612" s="976" t="s">
        <v>1710</v>
      </c>
      <c r="C612" s="957" t="s">
        <v>190</v>
      </c>
      <c r="D612" s="957"/>
      <c r="E612" s="956" t="s">
        <v>218</v>
      </c>
      <c r="F612" s="957">
        <v>4</v>
      </c>
      <c r="G612" s="957">
        <v>2</v>
      </c>
      <c r="H612" s="968">
        <v>1002.4</v>
      </c>
      <c r="I612" s="968">
        <v>878.31</v>
      </c>
      <c r="J612" s="968">
        <v>586.1</v>
      </c>
      <c r="K612" s="958">
        <v>26</v>
      </c>
      <c r="L612" s="971">
        <v>372974</v>
      </c>
      <c r="M612" s="968">
        <v>0</v>
      </c>
      <c r="N612" s="968">
        <v>0</v>
      </c>
      <c r="O612" s="963">
        <f t="shared" si="122"/>
        <v>372974</v>
      </c>
      <c r="P612" s="968">
        <v>0</v>
      </c>
      <c r="Q612" s="968">
        <v>0</v>
      </c>
      <c r="R612" s="964">
        <v>2019</v>
      </c>
      <c r="S612" s="1006" t="s">
        <v>1387</v>
      </c>
      <c r="U612" s="967"/>
    </row>
    <row r="613" spans="1:21" s="1015" customFormat="1" ht="41.25" customHeight="1">
      <c r="A613" s="956">
        <v>89</v>
      </c>
      <c r="B613" s="976" t="s">
        <v>1711</v>
      </c>
      <c r="C613" s="957">
        <v>1926</v>
      </c>
      <c r="D613" s="957"/>
      <c r="E613" s="956" t="s">
        <v>221</v>
      </c>
      <c r="F613" s="957">
        <v>2</v>
      </c>
      <c r="G613" s="957">
        <v>2</v>
      </c>
      <c r="H613" s="968">
        <v>565.29999999999995</v>
      </c>
      <c r="I613" s="968">
        <v>548.4</v>
      </c>
      <c r="J613" s="968">
        <v>321.10000000000002</v>
      </c>
      <c r="K613" s="958">
        <v>24</v>
      </c>
      <c r="L613" s="971">
        <v>243748</v>
      </c>
      <c r="M613" s="968">
        <v>0</v>
      </c>
      <c r="N613" s="968">
        <v>0</v>
      </c>
      <c r="O613" s="963">
        <f t="shared" si="122"/>
        <v>243748</v>
      </c>
      <c r="P613" s="968">
        <v>0</v>
      </c>
      <c r="Q613" s="968">
        <v>0</v>
      </c>
      <c r="R613" s="964">
        <v>2019</v>
      </c>
      <c r="S613" s="1006" t="s">
        <v>1387</v>
      </c>
      <c r="U613" s="967"/>
    </row>
    <row r="614" spans="1:21" s="1015" customFormat="1" ht="41.25" customHeight="1">
      <c r="A614" s="956">
        <v>90</v>
      </c>
      <c r="B614" s="976" t="s">
        <v>1712</v>
      </c>
      <c r="C614" s="957">
        <v>1834</v>
      </c>
      <c r="D614" s="957"/>
      <c r="E614" s="956" t="s">
        <v>218</v>
      </c>
      <c r="F614" s="957">
        <v>3</v>
      </c>
      <c r="G614" s="957">
        <v>2</v>
      </c>
      <c r="H614" s="968">
        <v>946.3</v>
      </c>
      <c r="I614" s="968">
        <v>852.3</v>
      </c>
      <c r="J614" s="968">
        <v>261.89999999999998</v>
      </c>
      <c r="K614" s="958">
        <v>9</v>
      </c>
      <c r="L614" s="971">
        <v>6420744.0499999998</v>
      </c>
      <c r="M614" s="968">
        <v>0</v>
      </c>
      <c r="N614" s="968">
        <v>0</v>
      </c>
      <c r="O614" s="963">
        <f t="shared" si="122"/>
        <v>6420744.0499999998</v>
      </c>
      <c r="P614" s="968">
        <v>0</v>
      </c>
      <c r="Q614" s="968">
        <v>0</v>
      </c>
      <c r="R614" s="964">
        <v>2019</v>
      </c>
      <c r="S614" s="1006" t="s">
        <v>1383</v>
      </c>
      <c r="U614" s="967"/>
    </row>
    <row r="615" spans="1:21" s="1015" customFormat="1" ht="41.25" customHeight="1">
      <c r="A615" s="956">
        <v>91</v>
      </c>
      <c r="B615" s="976" t="s">
        <v>1713</v>
      </c>
      <c r="C615" s="957" t="s">
        <v>190</v>
      </c>
      <c r="D615" s="957"/>
      <c r="E615" s="956" t="s">
        <v>218</v>
      </c>
      <c r="F615" s="957">
        <v>3</v>
      </c>
      <c r="G615" s="957">
        <v>2</v>
      </c>
      <c r="H615" s="968">
        <v>781.2</v>
      </c>
      <c r="I615" s="968">
        <v>709.4</v>
      </c>
      <c r="J615" s="968">
        <v>436.3</v>
      </c>
      <c r="K615" s="958">
        <v>42</v>
      </c>
      <c r="L615" s="971">
        <v>405378</v>
      </c>
      <c r="M615" s="968">
        <v>0</v>
      </c>
      <c r="N615" s="968">
        <v>0</v>
      </c>
      <c r="O615" s="963">
        <f t="shared" si="122"/>
        <v>405378</v>
      </c>
      <c r="P615" s="968">
        <v>0</v>
      </c>
      <c r="Q615" s="968">
        <v>0</v>
      </c>
      <c r="R615" s="964">
        <v>2019</v>
      </c>
      <c r="S615" s="1006" t="s">
        <v>1387</v>
      </c>
      <c r="U615" s="967"/>
    </row>
    <row r="616" spans="1:21" s="1015" customFormat="1" ht="41.25" customHeight="1">
      <c r="A616" s="956">
        <v>92</v>
      </c>
      <c r="B616" s="976" t="s">
        <v>1714</v>
      </c>
      <c r="C616" s="957">
        <v>1853</v>
      </c>
      <c r="D616" s="957"/>
      <c r="E616" s="956" t="s">
        <v>221</v>
      </c>
      <c r="F616" s="957">
        <v>2</v>
      </c>
      <c r="G616" s="957">
        <v>2</v>
      </c>
      <c r="H616" s="968">
        <v>203.4</v>
      </c>
      <c r="I616" s="968">
        <v>483.2</v>
      </c>
      <c r="J616" s="968">
        <v>454.1</v>
      </c>
      <c r="K616" s="958">
        <v>26</v>
      </c>
      <c r="L616" s="971">
        <v>278635</v>
      </c>
      <c r="M616" s="968">
        <v>0</v>
      </c>
      <c r="N616" s="968">
        <v>0</v>
      </c>
      <c r="O616" s="963">
        <f t="shared" si="122"/>
        <v>278635</v>
      </c>
      <c r="P616" s="968">
        <v>0</v>
      </c>
      <c r="Q616" s="968">
        <v>0</v>
      </c>
      <c r="R616" s="964">
        <v>2019</v>
      </c>
      <c r="S616" s="1006" t="s">
        <v>1387</v>
      </c>
      <c r="U616" s="967"/>
    </row>
    <row r="617" spans="1:21" s="1015" customFormat="1" ht="41.25" customHeight="1">
      <c r="A617" s="956">
        <v>93</v>
      </c>
      <c r="B617" s="976" t="s">
        <v>1715</v>
      </c>
      <c r="C617" s="957">
        <v>1853</v>
      </c>
      <c r="D617" s="957"/>
      <c r="E617" s="956" t="s">
        <v>221</v>
      </c>
      <c r="F617" s="957">
        <v>2</v>
      </c>
      <c r="G617" s="957">
        <v>2</v>
      </c>
      <c r="H617" s="968">
        <v>516.70000000000005</v>
      </c>
      <c r="I617" s="968">
        <v>492.3</v>
      </c>
      <c r="J617" s="968">
        <v>462.3</v>
      </c>
      <c r="K617" s="958">
        <v>24</v>
      </c>
      <c r="L617" s="971">
        <v>283306</v>
      </c>
      <c r="M617" s="968">
        <v>0</v>
      </c>
      <c r="N617" s="968">
        <v>0</v>
      </c>
      <c r="O617" s="963">
        <f t="shared" si="122"/>
        <v>283306</v>
      </c>
      <c r="P617" s="968">
        <v>0</v>
      </c>
      <c r="Q617" s="968">
        <v>0</v>
      </c>
      <c r="R617" s="964">
        <v>2019</v>
      </c>
      <c r="S617" s="1006" t="s">
        <v>1387</v>
      </c>
      <c r="U617" s="967"/>
    </row>
    <row r="618" spans="1:21" s="1015" customFormat="1" ht="41.25" customHeight="1">
      <c r="A618" s="956">
        <v>94</v>
      </c>
      <c r="B618" s="976" t="s">
        <v>1716</v>
      </c>
      <c r="C618" s="957">
        <v>1884</v>
      </c>
      <c r="D618" s="957"/>
      <c r="E618" s="956" t="s">
        <v>218</v>
      </c>
      <c r="F618" s="957">
        <v>2</v>
      </c>
      <c r="G618" s="957">
        <v>2</v>
      </c>
      <c r="H618" s="968">
        <v>975.5</v>
      </c>
      <c r="I618" s="968">
        <v>886.1</v>
      </c>
      <c r="J618" s="968">
        <v>658.7</v>
      </c>
      <c r="K618" s="958">
        <v>52</v>
      </c>
      <c r="L618" s="971">
        <v>569891</v>
      </c>
      <c r="M618" s="968">
        <v>0</v>
      </c>
      <c r="N618" s="968">
        <v>0</v>
      </c>
      <c r="O618" s="963">
        <f t="shared" si="122"/>
        <v>569891</v>
      </c>
      <c r="P618" s="968">
        <v>0</v>
      </c>
      <c r="Q618" s="968">
        <v>0</v>
      </c>
      <c r="R618" s="964">
        <v>2019</v>
      </c>
      <c r="S618" s="1006" t="s">
        <v>1387</v>
      </c>
      <c r="U618" s="967"/>
    </row>
    <row r="619" spans="1:21" s="1015" customFormat="1" ht="41.25" customHeight="1">
      <c r="A619" s="956">
        <v>95</v>
      </c>
      <c r="B619" s="976" t="s">
        <v>1717</v>
      </c>
      <c r="C619" s="957">
        <v>1964</v>
      </c>
      <c r="D619" s="957"/>
      <c r="E619" s="956" t="s">
        <v>219</v>
      </c>
      <c r="F619" s="957">
        <v>5</v>
      </c>
      <c r="G619" s="957">
        <v>4</v>
      </c>
      <c r="H619" s="968">
        <v>3687.9</v>
      </c>
      <c r="I619" s="968">
        <v>3542</v>
      </c>
      <c r="J619" s="968">
        <v>3311.8</v>
      </c>
      <c r="K619" s="958">
        <v>160</v>
      </c>
      <c r="L619" s="971">
        <v>1376298</v>
      </c>
      <c r="M619" s="968">
        <v>0</v>
      </c>
      <c r="N619" s="968">
        <v>0</v>
      </c>
      <c r="O619" s="963">
        <f t="shared" si="122"/>
        <v>1376298</v>
      </c>
      <c r="P619" s="968">
        <v>0</v>
      </c>
      <c r="Q619" s="968">
        <v>0</v>
      </c>
      <c r="R619" s="964">
        <v>2019</v>
      </c>
      <c r="S619" s="1006" t="s">
        <v>1387</v>
      </c>
      <c r="U619" s="967"/>
    </row>
    <row r="620" spans="1:21" s="1015" customFormat="1" ht="41.25" customHeight="1">
      <c r="A620" s="956">
        <v>96</v>
      </c>
      <c r="B620" s="976" t="s">
        <v>1946</v>
      </c>
      <c r="C620" s="957">
        <v>1914</v>
      </c>
      <c r="D620" s="957"/>
      <c r="E620" s="956" t="s">
        <v>218</v>
      </c>
      <c r="F620" s="957">
        <v>4</v>
      </c>
      <c r="G620" s="957">
        <v>5</v>
      </c>
      <c r="H620" s="968">
        <v>2953.4</v>
      </c>
      <c r="I620" s="968">
        <v>2592.5</v>
      </c>
      <c r="J620" s="968">
        <v>2418.9</v>
      </c>
      <c r="K620" s="958">
        <v>90</v>
      </c>
      <c r="L620" s="971">
        <v>1890004</v>
      </c>
      <c r="M620" s="968">
        <v>0</v>
      </c>
      <c r="N620" s="968">
        <v>0</v>
      </c>
      <c r="O620" s="963">
        <f t="shared" si="122"/>
        <v>1890004</v>
      </c>
      <c r="P620" s="968">
        <v>0</v>
      </c>
      <c r="Q620" s="968">
        <v>0</v>
      </c>
      <c r="R620" s="964">
        <v>2019</v>
      </c>
      <c r="S620" s="1006" t="s">
        <v>1387</v>
      </c>
      <c r="U620" s="967"/>
    </row>
    <row r="621" spans="1:21" s="1015" customFormat="1" ht="41.25" customHeight="1">
      <c r="A621" s="956">
        <v>97</v>
      </c>
      <c r="B621" s="976" t="s">
        <v>1718</v>
      </c>
      <c r="C621" s="957">
        <v>1966</v>
      </c>
      <c r="D621" s="957"/>
      <c r="E621" s="956" t="s">
        <v>218</v>
      </c>
      <c r="F621" s="957">
        <v>9</v>
      </c>
      <c r="G621" s="957">
        <v>1</v>
      </c>
      <c r="H621" s="968">
        <v>3134.8</v>
      </c>
      <c r="I621" s="968">
        <v>2851.7</v>
      </c>
      <c r="J621" s="968">
        <v>1892.1</v>
      </c>
      <c r="K621" s="958">
        <v>96</v>
      </c>
      <c r="L621" s="971">
        <v>3793797</v>
      </c>
      <c r="M621" s="968">
        <v>0</v>
      </c>
      <c r="N621" s="968">
        <v>0</v>
      </c>
      <c r="O621" s="963">
        <f t="shared" si="122"/>
        <v>3793797</v>
      </c>
      <c r="P621" s="968">
        <v>0</v>
      </c>
      <c r="Q621" s="968">
        <v>0</v>
      </c>
      <c r="R621" s="964">
        <v>2019</v>
      </c>
      <c r="S621" s="1006" t="s">
        <v>1387</v>
      </c>
      <c r="U621" s="967"/>
    </row>
    <row r="622" spans="1:21" s="1015" customFormat="1" ht="41.25" customHeight="1">
      <c r="A622" s="956">
        <v>98</v>
      </c>
      <c r="B622" s="976" t="s">
        <v>1719</v>
      </c>
      <c r="C622" s="957">
        <v>1961</v>
      </c>
      <c r="D622" s="957"/>
      <c r="E622" s="956" t="s">
        <v>218</v>
      </c>
      <c r="F622" s="957">
        <v>5</v>
      </c>
      <c r="G622" s="957">
        <v>2</v>
      </c>
      <c r="H622" s="968">
        <v>1734.2</v>
      </c>
      <c r="I622" s="968">
        <v>1611.9</v>
      </c>
      <c r="J622" s="968">
        <v>1579.7</v>
      </c>
      <c r="K622" s="957">
        <v>43</v>
      </c>
      <c r="L622" s="971">
        <v>1193601</v>
      </c>
      <c r="M622" s="968">
        <v>0</v>
      </c>
      <c r="N622" s="968">
        <v>0</v>
      </c>
      <c r="O622" s="963">
        <f t="shared" si="122"/>
        <v>1193601</v>
      </c>
      <c r="P622" s="968">
        <v>0</v>
      </c>
      <c r="Q622" s="968">
        <v>0</v>
      </c>
      <c r="R622" s="964">
        <v>2019</v>
      </c>
      <c r="S622" s="1006" t="s">
        <v>1387</v>
      </c>
      <c r="U622" s="967"/>
    </row>
    <row r="623" spans="1:21" s="1015" customFormat="1" ht="41.25" customHeight="1">
      <c r="A623" s="956">
        <v>99</v>
      </c>
      <c r="B623" s="976" t="s">
        <v>1720</v>
      </c>
      <c r="C623" s="957">
        <v>1859</v>
      </c>
      <c r="D623" s="957"/>
      <c r="E623" s="956" t="s">
        <v>218</v>
      </c>
      <c r="F623" s="957" t="s">
        <v>1590</v>
      </c>
      <c r="G623" s="957">
        <v>2</v>
      </c>
      <c r="H623" s="968">
        <v>2133.6999999999998</v>
      </c>
      <c r="I623" s="968">
        <v>1888.7</v>
      </c>
      <c r="J623" s="968">
        <v>1325.3</v>
      </c>
      <c r="K623" s="958">
        <v>47</v>
      </c>
      <c r="L623" s="971">
        <v>10884893.59</v>
      </c>
      <c r="M623" s="968">
        <v>0</v>
      </c>
      <c r="N623" s="968">
        <v>0</v>
      </c>
      <c r="O623" s="963">
        <f t="shared" si="122"/>
        <v>10884893.59</v>
      </c>
      <c r="P623" s="968">
        <v>0</v>
      </c>
      <c r="Q623" s="968">
        <v>0</v>
      </c>
      <c r="R623" s="964">
        <v>2019</v>
      </c>
      <c r="S623" s="1006" t="s">
        <v>1387</v>
      </c>
      <c r="U623" s="967"/>
    </row>
    <row r="624" spans="1:21" s="1015" customFormat="1" ht="41.25" customHeight="1">
      <c r="A624" s="956">
        <v>100</v>
      </c>
      <c r="B624" s="976" t="s">
        <v>1721</v>
      </c>
      <c r="C624" s="957">
        <v>1988</v>
      </c>
      <c r="D624" s="957"/>
      <c r="E624" s="956" t="s">
        <v>219</v>
      </c>
      <c r="F624" s="957">
        <v>9</v>
      </c>
      <c r="G624" s="957">
        <v>3</v>
      </c>
      <c r="H624" s="968">
        <v>6516.4</v>
      </c>
      <c r="I624" s="968">
        <v>5802.1</v>
      </c>
      <c r="J624" s="968">
        <v>5701</v>
      </c>
      <c r="K624" s="958">
        <v>252</v>
      </c>
      <c r="L624" s="971">
        <v>3159503</v>
      </c>
      <c r="M624" s="968">
        <v>0</v>
      </c>
      <c r="N624" s="968">
        <v>0</v>
      </c>
      <c r="O624" s="963">
        <f t="shared" si="122"/>
        <v>3159503</v>
      </c>
      <c r="P624" s="968">
        <v>0</v>
      </c>
      <c r="Q624" s="968">
        <v>0</v>
      </c>
      <c r="R624" s="964">
        <v>2019</v>
      </c>
      <c r="S624" s="1006" t="s">
        <v>1387</v>
      </c>
      <c r="U624" s="967"/>
    </row>
    <row r="625" spans="1:21" s="1015" customFormat="1" ht="41.25" customHeight="1">
      <c r="A625" s="956">
        <v>101</v>
      </c>
      <c r="B625" s="976" t="s">
        <v>1722</v>
      </c>
      <c r="C625" s="957">
        <v>1979</v>
      </c>
      <c r="D625" s="957"/>
      <c r="E625" s="956" t="s">
        <v>218</v>
      </c>
      <c r="F625" s="957">
        <v>9</v>
      </c>
      <c r="G625" s="957">
        <v>1</v>
      </c>
      <c r="H625" s="968">
        <v>2675.2</v>
      </c>
      <c r="I625" s="968">
        <v>2382.6</v>
      </c>
      <c r="J625" s="968">
        <v>2314.3000000000002</v>
      </c>
      <c r="K625" s="958">
        <v>88</v>
      </c>
      <c r="L625" s="971">
        <v>1527891</v>
      </c>
      <c r="M625" s="968">
        <v>0</v>
      </c>
      <c r="N625" s="968">
        <v>0</v>
      </c>
      <c r="O625" s="963">
        <f t="shared" si="122"/>
        <v>1527891</v>
      </c>
      <c r="P625" s="968">
        <v>0</v>
      </c>
      <c r="Q625" s="968">
        <v>0</v>
      </c>
      <c r="R625" s="964">
        <v>2019</v>
      </c>
      <c r="S625" s="1006" t="s">
        <v>1387</v>
      </c>
      <c r="U625" s="967"/>
    </row>
    <row r="626" spans="1:21" s="1015" customFormat="1" ht="41.25" customHeight="1">
      <c r="A626" s="956">
        <v>102</v>
      </c>
      <c r="B626" s="976" t="s">
        <v>1723</v>
      </c>
      <c r="C626" s="957">
        <v>1939</v>
      </c>
      <c r="D626" s="957"/>
      <c r="E626" s="956" t="s">
        <v>218</v>
      </c>
      <c r="F626" s="957">
        <v>5</v>
      </c>
      <c r="G626" s="957">
        <v>12</v>
      </c>
      <c r="H626" s="968">
        <v>9744.2999999999993</v>
      </c>
      <c r="I626" s="968">
        <v>8657.4</v>
      </c>
      <c r="J626" s="968">
        <v>8470.7999999999993</v>
      </c>
      <c r="K626" s="958">
        <v>164</v>
      </c>
      <c r="L626" s="971">
        <v>5568593</v>
      </c>
      <c r="M626" s="968">
        <v>0</v>
      </c>
      <c r="N626" s="968">
        <v>0</v>
      </c>
      <c r="O626" s="963">
        <f t="shared" si="122"/>
        <v>5568593</v>
      </c>
      <c r="P626" s="968">
        <v>0</v>
      </c>
      <c r="Q626" s="968">
        <v>0</v>
      </c>
      <c r="R626" s="964">
        <v>2019</v>
      </c>
      <c r="S626" s="1006" t="s">
        <v>1387</v>
      </c>
      <c r="U626" s="967"/>
    </row>
    <row r="627" spans="1:21" s="1015" customFormat="1" ht="41.25" customHeight="1">
      <c r="A627" s="956">
        <v>103</v>
      </c>
      <c r="B627" s="976" t="s">
        <v>1724</v>
      </c>
      <c r="C627" s="957">
        <v>1980</v>
      </c>
      <c r="D627" s="957"/>
      <c r="E627" s="956" t="s">
        <v>218</v>
      </c>
      <c r="F627" s="957">
        <v>9</v>
      </c>
      <c r="G627" s="957">
        <v>1</v>
      </c>
      <c r="H627" s="968">
        <v>2599.8000000000002</v>
      </c>
      <c r="I627" s="968">
        <v>2307</v>
      </c>
      <c r="J627" s="968">
        <v>2307</v>
      </c>
      <c r="K627" s="958">
        <v>109</v>
      </c>
      <c r="L627" s="971">
        <v>1527891</v>
      </c>
      <c r="M627" s="968">
        <v>0</v>
      </c>
      <c r="N627" s="968">
        <v>0</v>
      </c>
      <c r="O627" s="963">
        <f t="shared" si="122"/>
        <v>1527891</v>
      </c>
      <c r="P627" s="968">
        <v>0</v>
      </c>
      <c r="Q627" s="968">
        <v>0</v>
      </c>
      <c r="R627" s="964">
        <v>2019</v>
      </c>
      <c r="S627" s="1006" t="s">
        <v>1387</v>
      </c>
      <c r="U627" s="967"/>
    </row>
    <row r="628" spans="1:21" s="943" customFormat="1" ht="41.25" customHeight="1">
      <c r="A628" s="956">
        <v>104</v>
      </c>
      <c r="B628" s="976" t="s">
        <v>1725</v>
      </c>
      <c r="C628" s="957">
        <v>1927</v>
      </c>
      <c r="D628" s="957"/>
      <c r="E628" s="956" t="s">
        <v>221</v>
      </c>
      <c r="F628" s="957">
        <v>2</v>
      </c>
      <c r="G628" s="957">
        <v>1</v>
      </c>
      <c r="H628" s="968">
        <v>351.1</v>
      </c>
      <c r="I628" s="968">
        <v>322.89999999999998</v>
      </c>
      <c r="J628" s="968">
        <v>322.89999999999998</v>
      </c>
      <c r="K628" s="958">
        <v>16</v>
      </c>
      <c r="L628" s="971">
        <v>207695</v>
      </c>
      <c r="M628" s="968">
        <v>0</v>
      </c>
      <c r="N628" s="968">
        <v>0</v>
      </c>
      <c r="O628" s="963">
        <f t="shared" si="122"/>
        <v>207695</v>
      </c>
      <c r="P628" s="968">
        <v>0</v>
      </c>
      <c r="Q628" s="968">
        <v>0</v>
      </c>
      <c r="R628" s="964">
        <v>2019</v>
      </c>
      <c r="S628" s="1006" t="s">
        <v>1387</v>
      </c>
      <c r="U628" s="967"/>
    </row>
    <row r="629" spans="1:21" s="943" customFormat="1" ht="41.25" customHeight="1">
      <c r="A629" s="956">
        <v>105</v>
      </c>
      <c r="B629" s="972" t="s">
        <v>1726</v>
      </c>
      <c r="C629" s="957">
        <v>1960</v>
      </c>
      <c r="D629" s="957"/>
      <c r="E629" s="956" t="s">
        <v>218</v>
      </c>
      <c r="F629" s="957">
        <v>4</v>
      </c>
      <c r="G629" s="957">
        <v>4</v>
      </c>
      <c r="H629" s="973">
        <v>3219.9</v>
      </c>
      <c r="I629" s="973">
        <v>2423.1999999999998</v>
      </c>
      <c r="J629" s="973">
        <v>1885.5</v>
      </c>
      <c r="K629" s="957">
        <v>67</v>
      </c>
      <c r="L629" s="971">
        <v>143558</v>
      </c>
      <c r="M629" s="974">
        <v>0</v>
      </c>
      <c r="N629" s="974">
        <v>0</v>
      </c>
      <c r="O629" s="963">
        <f t="shared" si="122"/>
        <v>143558</v>
      </c>
      <c r="P629" s="974">
        <v>0</v>
      </c>
      <c r="Q629" s="974">
        <v>0</v>
      </c>
      <c r="R629" s="964">
        <v>2020</v>
      </c>
      <c r="S629" s="1006" t="s">
        <v>1383</v>
      </c>
      <c r="U629" s="967"/>
    </row>
    <row r="630" spans="1:21" s="943" customFormat="1" ht="41.25" customHeight="1">
      <c r="A630" s="956">
        <v>106</v>
      </c>
      <c r="B630" s="972" t="s">
        <v>1727</v>
      </c>
      <c r="C630" s="957">
        <v>1974</v>
      </c>
      <c r="D630" s="957"/>
      <c r="E630" s="956" t="s">
        <v>220</v>
      </c>
      <c r="F630" s="957">
        <v>12</v>
      </c>
      <c r="G630" s="957">
        <v>1</v>
      </c>
      <c r="H630" s="973">
        <v>3833.3</v>
      </c>
      <c r="I630" s="973">
        <v>3632.2</v>
      </c>
      <c r="J630" s="973">
        <v>3350</v>
      </c>
      <c r="K630" s="957">
        <v>178</v>
      </c>
      <c r="L630" s="971">
        <v>1223262</v>
      </c>
      <c r="M630" s="974">
        <v>0</v>
      </c>
      <c r="N630" s="974">
        <v>0</v>
      </c>
      <c r="O630" s="963">
        <f t="shared" si="122"/>
        <v>1223262</v>
      </c>
      <c r="P630" s="974">
        <v>0</v>
      </c>
      <c r="Q630" s="974">
        <v>0</v>
      </c>
      <c r="R630" s="964">
        <v>2020</v>
      </c>
      <c r="S630" s="1006" t="s">
        <v>1387</v>
      </c>
      <c r="U630" s="967"/>
    </row>
    <row r="631" spans="1:21" s="943" customFormat="1" ht="41.25" customHeight="1">
      <c r="A631" s="956">
        <v>107</v>
      </c>
      <c r="B631" s="972" t="s">
        <v>1728</v>
      </c>
      <c r="C631" s="957">
        <v>1947</v>
      </c>
      <c r="D631" s="957"/>
      <c r="E631" s="956" t="s">
        <v>218</v>
      </c>
      <c r="F631" s="957">
        <v>4</v>
      </c>
      <c r="G631" s="957">
        <v>2</v>
      </c>
      <c r="H631" s="973">
        <v>1384.7</v>
      </c>
      <c r="I631" s="973">
        <v>1205.9000000000001</v>
      </c>
      <c r="J631" s="973">
        <f>I631-276.8-45.4</f>
        <v>883.70000000000016</v>
      </c>
      <c r="K631" s="957">
        <v>54</v>
      </c>
      <c r="L631" s="971">
        <v>4010101</v>
      </c>
      <c r="M631" s="974">
        <v>0</v>
      </c>
      <c r="N631" s="974">
        <v>0</v>
      </c>
      <c r="O631" s="963">
        <f t="shared" si="122"/>
        <v>4010101</v>
      </c>
      <c r="P631" s="974">
        <v>0</v>
      </c>
      <c r="Q631" s="974">
        <v>0</v>
      </c>
      <c r="R631" s="964">
        <v>2020</v>
      </c>
      <c r="S631" s="1006" t="s">
        <v>1387</v>
      </c>
      <c r="U631" s="967"/>
    </row>
    <row r="632" spans="1:21" s="1015" customFormat="1" ht="41.25" customHeight="1">
      <c r="A632" s="956">
        <v>108</v>
      </c>
      <c r="B632" s="972" t="s">
        <v>1729</v>
      </c>
      <c r="C632" s="957">
        <v>1962</v>
      </c>
      <c r="D632" s="957"/>
      <c r="E632" s="956" t="s">
        <v>218</v>
      </c>
      <c r="F632" s="957">
        <v>4</v>
      </c>
      <c r="G632" s="957">
        <v>3</v>
      </c>
      <c r="H632" s="973">
        <v>2152.1</v>
      </c>
      <c r="I632" s="973">
        <v>1979.1</v>
      </c>
      <c r="J632" s="973">
        <v>1865.9</v>
      </c>
      <c r="K632" s="957">
        <v>79</v>
      </c>
      <c r="L632" s="971">
        <v>1272992</v>
      </c>
      <c r="M632" s="974">
        <v>0</v>
      </c>
      <c r="N632" s="974">
        <v>0</v>
      </c>
      <c r="O632" s="963">
        <f t="shared" si="122"/>
        <v>1272992</v>
      </c>
      <c r="P632" s="974">
        <v>0</v>
      </c>
      <c r="Q632" s="974">
        <v>0</v>
      </c>
      <c r="R632" s="964">
        <v>2020</v>
      </c>
      <c r="S632" s="1006" t="s">
        <v>1387</v>
      </c>
      <c r="U632" s="967"/>
    </row>
    <row r="633" spans="1:21" s="1015" customFormat="1" ht="41.25" customHeight="1">
      <c r="A633" s="956">
        <v>109</v>
      </c>
      <c r="B633" s="972" t="s">
        <v>1730</v>
      </c>
      <c r="C633" s="957">
        <v>1956</v>
      </c>
      <c r="D633" s="957"/>
      <c r="E633" s="956" t="s">
        <v>218</v>
      </c>
      <c r="F633" s="957">
        <v>2</v>
      </c>
      <c r="G633" s="957">
        <v>2</v>
      </c>
      <c r="H633" s="973">
        <v>424.9</v>
      </c>
      <c r="I633" s="973">
        <v>383.9</v>
      </c>
      <c r="J633" s="973">
        <v>383.9</v>
      </c>
      <c r="K633" s="957">
        <v>44</v>
      </c>
      <c r="L633" s="971">
        <v>223253</v>
      </c>
      <c r="M633" s="974">
        <v>0</v>
      </c>
      <c r="N633" s="974">
        <v>0</v>
      </c>
      <c r="O633" s="963">
        <f t="shared" si="122"/>
        <v>223253</v>
      </c>
      <c r="P633" s="974">
        <v>0</v>
      </c>
      <c r="Q633" s="974">
        <v>0</v>
      </c>
      <c r="R633" s="964">
        <v>2020</v>
      </c>
      <c r="S633" s="1006" t="s">
        <v>1387</v>
      </c>
      <c r="U633" s="967"/>
    </row>
    <row r="634" spans="1:21" s="1015" customFormat="1" ht="41.25" customHeight="1">
      <c r="A634" s="956">
        <v>110</v>
      </c>
      <c r="B634" s="972" t="s">
        <v>1731</v>
      </c>
      <c r="C634" s="957">
        <v>1982</v>
      </c>
      <c r="D634" s="957"/>
      <c r="E634" s="956" t="s">
        <v>219</v>
      </c>
      <c r="F634" s="957">
        <v>5</v>
      </c>
      <c r="G634" s="957">
        <v>14</v>
      </c>
      <c r="H634" s="973">
        <v>11814.2</v>
      </c>
      <c r="I634" s="973">
        <v>10844.5</v>
      </c>
      <c r="J634" s="973">
        <v>9827.7999999999993</v>
      </c>
      <c r="K634" s="957">
        <v>484</v>
      </c>
      <c r="L634" s="971">
        <v>9902493.3900000006</v>
      </c>
      <c r="M634" s="974">
        <v>0</v>
      </c>
      <c r="N634" s="974">
        <v>0</v>
      </c>
      <c r="O634" s="963">
        <f t="shared" si="122"/>
        <v>9902493.3900000006</v>
      </c>
      <c r="P634" s="974">
        <v>0</v>
      </c>
      <c r="Q634" s="974">
        <v>0</v>
      </c>
      <c r="R634" s="964">
        <v>2020</v>
      </c>
      <c r="S634" s="1006" t="s">
        <v>1387</v>
      </c>
      <c r="U634" s="967"/>
    </row>
    <row r="635" spans="1:21" s="1015" customFormat="1" ht="41.25" customHeight="1">
      <c r="A635" s="956">
        <v>111</v>
      </c>
      <c r="B635" s="972" t="s">
        <v>1766</v>
      </c>
      <c r="C635" s="957">
        <v>1972</v>
      </c>
      <c r="D635" s="957"/>
      <c r="E635" s="956" t="s">
        <v>219</v>
      </c>
      <c r="F635" s="957">
        <v>5</v>
      </c>
      <c r="G635" s="957">
        <v>4</v>
      </c>
      <c r="H635" s="973">
        <v>3679.4</v>
      </c>
      <c r="I635" s="973">
        <v>3408.6</v>
      </c>
      <c r="J635" s="973">
        <v>2985.2</v>
      </c>
      <c r="K635" s="957">
        <v>70</v>
      </c>
      <c r="L635" s="971">
        <v>7655466.8399999999</v>
      </c>
      <c r="M635" s="974">
        <v>0</v>
      </c>
      <c r="N635" s="974">
        <v>0</v>
      </c>
      <c r="O635" s="963">
        <f t="shared" si="122"/>
        <v>7655466.8399999999</v>
      </c>
      <c r="P635" s="974">
        <v>0</v>
      </c>
      <c r="Q635" s="974">
        <v>0</v>
      </c>
      <c r="R635" s="964">
        <v>2020</v>
      </c>
      <c r="S635" s="1006" t="s">
        <v>1387</v>
      </c>
      <c r="U635" s="967"/>
    </row>
    <row r="636" spans="1:21" s="1015" customFormat="1" ht="41.25" customHeight="1">
      <c r="A636" s="956">
        <v>112</v>
      </c>
      <c r="B636" s="972" t="s">
        <v>1732</v>
      </c>
      <c r="C636" s="957">
        <v>1925</v>
      </c>
      <c r="D636" s="957"/>
      <c r="E636" s="956" t="s">
        <v>221</v>
      </c>
      <c r="F636" s="957">
        <v>2</v>
      </c>
      <c r="G636" s="957">
        <v>2</v>
      </c>
      <c r="H636" s="973">
        <v>458.9</v>
      </c>
      <c r="I636" s="973">
        <v>417.8</v>
      </c>
      <c r="J636" s="973">
        <f>I636-53.2</f>
        <v>364.6</v>
      </c>
      <c r="K636" s="957">
        <v>28</v>
      </c>
      <c r="L636" s="971">
        <v>1661291</v>
      </c>
      <c r="M636" s="974">
        <v>0</v>
      </c>
      <c r="N636" s="974">
        <v>0</v>
      </c>
      <c r="O636" s="963">
        <f t="shared" si="122"/>
        <v>1661291</v>
      </c>
      <c r="P636" s="974">
        <v>0</v>
      </c>
      <c r="Q636" s="974">
        <v>0</v>
      </c>
      <c r="R636" s="964">
        <v>2020</v>
      </c>
      <c r="S636" s="1006" t="s">
        <v>1387</v>
      </c>
      <c r="U636" s="967"/>
    </row>
    <row r="637" spans="1:21" s="1015" customFormat="1" ht="41.25" customHeight="1">
      <c r="A637" s="956">
        <v>113</v>
      </c>
      <c r="B637" s="972" t="s">
        <v>1733</v>
      </c>
      <c r="C637" s="957">
        <v>1962</v>
      </c>
      <c r="D637" s="957"/>
      <c r="E637" s="956" t="s">
        <v>218</v>
      </c>
      <c r="F637" s="957">
        <v>2</v>
      </c>
      <c r="G637" s="957">
        <v>1</v>
      </c>
      <c r="H637" s="973">
        <v>362.4</v>
      </c>
      <c r="I637" s="973">
        <v>331.3</v>
      </c>
      <c r="J637" s="973">
        <v>297.39999999999998</v>
      </c>
      <c r="K637" s="957">
        <v>17</v>
      </c>
      <c r="L637" s="971">
        <v>873178</v>
      </c>
      <c r="M637" s="974">
        <v>0</v>
      </c>
      <c r="N637" s="974">
        <v>0</v>
      </c>
      <c r="O637" s="963">
        <f t="shared" si="122"/>
        <v>873178</v>
      </c>
      <c r="P637" s="974">
        <v>0</v>
      </c>
      <c r="Q637" s="974">
        <v>0</v>
      </c>
      <c r="R637" s="964">
        <v>2020</v>
      </c>
      <c r="S637" s="1006" t="s">
        <v>1387</v>
      </c>
      <c r="U637" s="967"/>
    </row>
    <row r="638" spans="1:21" s="1015" customFormat="1" ht="41.25" customHeight="1">
      <c r="A638" s="956">
        <v>114</v>
      </c>
      <c r="B638" s="972" t="s">
        <v>1734</v>
      </c>
      <c r="C638" s="957">
        <v>1960</v>
      </c>
      <c r="D638" s="957"/>
      <c r="E638" s="956" t="s">
        <v>218</v>
      </c>
      <c r="F638" s="957">
        <v>4</v>
      </c>
      <c r="G638" s="957">
        <v>2</v>
      </c>
      <c r="H638" s="973">
        <v>1367.9</v>
      </c>
      <c r="I638" s="973">
        <v>1271.3</v>
      </c>
      <c r="J638" s="973">
        <v>1258.5999999999999</v>
      </c>
      <c r="K638" s="957">
        <v>47</v>
      </c>
      <c r="L638" s="971">
        <v>2869710</v>
      </c>
      <c r="M638" s="974">
        <v>0</v>
      </c>
      <c r="N638" s="974">
        <v>0</v>
      </c>
      <c r="O638" s="963">
        <f t="shared" si="122"/>
        <v>2869710</v>
      </c>
      <c r="P638" s="974">
        <v>0</v>
      </c>
      <c r="Q638" s="974">
        <v>0</v>
      </c>
      <c r="R638" s="964">
        <v>2020</v>
      </c>
      <c r="S638" s="1006" t="s">
        <v>1387</v>
      </c>
      <c r="U638" s="967"/>
    </row>
    <row r="639" spans="1:21" ht="44.45" customHeight="1">
      <c r="A639" s="956">
        <v>115</v>
      </c>
      <c r="B639" s="972" t="s">
        <v>1735</v>
      </c>
      <c r="C639" s="957">
        <v>1971</v>
      </c>
      <c r="D639" s="957"/>
      <c r="E639" s="956" t="s">
        <v>218</v>
      </c>
      <c r="F639" s="957">
        <v>5</v>
      </c>
      <c r="G639" s="957">
        <v>4</v>
      </c>
      <c r="H639" s="973">
        <v>3545.9</v>
      </c>
      <c r="I639" s="973">
        <v>3358.9</v>
      </c>
      <c r="J639" s="973">
        <f>I639-151.8</f>
        <v>3207.1</v>
      </c>
      <c r="K639" s="957">
        <v>134</v>
      </c>
      <c r="L639" s="971">
        <v>197678</v>
      </c>
      <c r="M639" s="974">
        <v>0</v>
      </c>
      <c r="N639" s="974">
        <v>0</v>
      </c>
      <c r="O639" s="963">
        <f t="shared" si="122"/>
        <v>197678</v>
      </c>
      <c r="P639" s="974">
        <v>0</v>
      </c>
      <c r="Q639" s="974">
        <v>0</v>
      </c>
      <c r="R639" s="964">
        <v>2020</v>
      </c>
      <c r="S639" s="1006" t="s">
        <v>1387</v>
      </c>
      <c r="U639" s="967"/>
    </row>
    <row r="640" spans="1:21" ht="40.15" customHeight="1">
      <c r="A640" s="956">
        <v>116</v>
      </c>
      <c r="B640" s="972" t="s">
        <v>1736</v>
      </c>
      <c r="C640" s="957">
        <v>1959</v>
      </c>
      <c r="D640" s="957"/>
      <c r="E640" s="956" t="s">
        <v>218</v>
      </c>
      <c r="F640" s="957">
        <v>2</v>
      </c>
      <c r="G640" s="957">
        <v>2</v>
      </c>
      <c r="H640" s="973">
        <v>681.5</v>
      </c>
      <c r="I640" s="973">
        <v>632.1</v>
      </c>
      <c r="J640" s="973">
        <v>589.6</v>
      </c>
      <c r="K640" s="957">
        <v>28</v>
      </c>
      <c r="L640" s="971">
        <v>1532993</v>
      </c>
      <c r="M640" s="974">
        <v>0</v>
      </c>
      <c r="N640" s="974">
        <v>0</v>
      </c>
      <c r="O640" s="963">
        <f t="shared" si="122"/>
        <v>1532993</v>
      </c>
      <c r="P640" s="974">
        <v>0</v>
      </c>
      <c r="Q640" s="974">
        <v>0</v>
      </c>
      <c r="R640" s="964">
        <v>2020</v>
      </c>
      <c r="S640" s="1006" t="s">
        <v>1387</v>
      </c>
      <c r="U640" s="967"/>
    </row>
    <row r="641" spans="1:21" ht="42" customHeight="1">
      <c r="A641" s="956">
        <v>117</v>
      </c>
      <c r="B641" s="972" t="s">
        <v>1737</v>
      </c>
      <c r="C641" s="957">
        <v>1953</v>
      </c>
      <c r="D641" s="957"/>
      <c r="E641" s="956" t="s">
        <v>218</v>
      </c>
      <c r="F641" s="957">
        <v>3</v>
      </c>
      <c r="G641" s="957">
        <v>3</v>
      </c>
      <c r="H641" s="973">
        <v>2201.1999999999998</v>
      </c>
      <c r="I641" s="973">
        <v>1827.5</v>
      </c>
      <c r="J641" s="973">
        <v>1827.5</v>
      </c>
      <c r="K641" s="957">
        <v>50</v>
      </c>
      <c r="L641" s="971">
        <v>1996706.03</v>
      </c>
      <c r="M641" s="974">
        <v>0</v>
      </c>
      <c r="N641" s="974">
        <v>0</v>
      </c>
      <c r="O641" s="963">
        <f t="shared" si="122"/>
        <v>1996706.03</v>
      </c>
      <c r="P641" s="974">
        <v>0</v>
      </c>
      <c r="Q641" s="974">
        <v>0</v>
      </c>
      <c r="R641" s="964">
        <v>2020</v>
      </c>
      <c r="S641" s="1006" t="s">
        <v>1387</v>
      </c>
      <c r="U641" s="967"/>
    </row>
    <row r="642" spans="1:21" ht="42.6" customHeight="1">
      <c r="A642" s="956">
        <v>118</v>
      </c>
      <c r="B642" s="972" t="s">
        <v>1937</v>
      </c>
      <c r="C642" s="957">
        <v>1959</v>
      </c>
      <c r="D642" s="957"/>
      <c r="E642" s="956" t="s">
        <v>218</v>
      </c>
      <c r="F642" s="957">
        <v>3</v>
      </c>
      <c r="G642" s="957">
        <v>2</v>
      </c>
      <c r="H642" s="973">
        <v>1012.8</v>
      </c>
      <c r="I642" s="973">
        <v>983.7</v>
      </c>
      <c r="J642" s="973">
        <v>947.3</v>
      </c>
      <c r="K642" s="957">
        <v>22</v>
      </c>
      <c r="L642" s="971">
        <v>2589668</v>
      </c>
      <c r="M642" s="974">
        <v>0</v>
      </c>
      <c r="N642" s="974">
        <v>0</v>
      </c>
      <c r="O642" s="963">
        <f t="shared" si="122"/>
        <v>2589668</v>
      </c>
      <c r="P642" s="974">
        <v>0</v>
      </c>
      <c r="Q642" s="974">
        <v>0</v>
      </c>
      <c r="R642" s="964">
        <v>2020</v>
      </c>
      <c r="S642" s="1006" t="s">
        <v>1387</v>
      </c>
      <c r="U642" s="967"/>
    </row>
    <row r="643" spans="1:21" ht="42" customHeight="1">
      <c r="A643" s="956">
        <v>119</v>
      </c>
      <c r="B643" s="972" t="s">
        <v>1738</v>
      </c>
      <c r="C643" s="957">
        <v>1989</v>
      </c>
      <c r="D643" s="957"/>
      <c r="E643" s="956" t="s">
        <v>219</v>
      </c>
      <c r="F643" s="957">
        <v>5</v>
      </c>
      <c r="G643" s="957">
        <v>5</v>
      </c>
      <c r="H643" s="973">
        <v>4177.7</v>
      </c>
      <c r="I643" s="973">
        <v>3828.8</v>
      </c>
      <c r="J643" s="973">
        <v>3674.3</v>
      </c>
      <c r="K643" s="957">
        <v>153</v>
      </c>
      <c r="L643" s="971">
        <v>2672049</v>
      </c>
      <c r="M643" s="974">
        <v>0</v>
      </c>
      <c r="N643" s="974">
        <v>0</v>
      </c>
      <c r="O643" s="963">
        <f t="shared" si="122"/>
        <v>2672049</v>
      </c>
      <c r="P643" s="974">
        <v>0</v>
      </c>
      <c r="Q643" s="974">
        <v>0</v>
      </c>
      <c r="R643" s="964">
        <v>2020</v>
      </c>
      <c r="S643" s="1006" t="s">
        <v>1387</v>
      </c>
      <c r="U643" s="967"/>
    </row>
    <row r="644" spans="1:21" ht="42" customHeight="1">
      <c r="A644" s="956">
        <v>120</v>
      </c>
      <c r="B644" s="972" t="s">
        <v>1739</v>
      </c>
      <c r="C644" s="957">
        <v>1959</v>
      </c>
      <c r="D644" s="957"/>
      <c r="E644" s="956" t="s">
        <v>218</v>
      </c>
      <c r="F644" s="957">
        <v>4</v>
      </c>
      <c r="G644" s="957">
        <v>2</v>
      </c>
      <c r="H644" s="973">
        <v>1976.8</v>
      </c>
      <c r="I644" s="973">
        <v>1759.7</v>
      </c>
      <c r="J644" s="973">
        <v>1669.7</v>
      </c>
      <c r="K644" s="957">
        <v>70</v>
      </c>
      <c r="L644" s="971">
        <v>2635861</v>
      </c>
      <c r="M644" s="974">
        <v>0</v>
      </c>
      <c r="N644" s="974">
        <v>0</v>
      </c>
      <c r="O644" s="963">
        <f t="shared" si="122"/>
        <v>2635861</v>
      </c>
      <c r="P644" s="974">
        <v>0</v>
      </c>
      <c r="Q644" s="974">
        <v>0</v>
      </c>
      <c r="R644" s="964">
        <v>2020</v>
      </c>
      <c r="S644" s="1006" t="s">
        <v>1387</v>
      </c>
      <c r="U644" s="967"/>
    </row>
    <row r="645" spans="1:21" ht="42" customHeight="1">
      <c r="A645" s="956">
        <v>121</v>
      </c>
      <c r="B645" s="972" t="s">
        <v>1671</v>
      </c>
      <c r="C645" s="957">
        <v>1955</v>
      </c>
      <c r="D645" s="957"/>
      <c r="E645" s="956" t="s">
        <v>218</v>
      </c>
      <c r="F645" s="957">
        <v>2</v>
      </c>
      <c r="G645" s="957">
        <v>2</v>
      </c>
      <c r="H645" s="973">
        <v>512</v>
      </c>
      <c r="I645" s="973">
        <v>468.9</v>
      </c>
      <c r="J645" s="973">
        <v>413.7</v>
      </c>
      <c r="K645" s="957">
        <v>29</v>
      </c>
      <c r="L645" s="971">
        <v>360479.63</v>
      </c>
      <c r="M645" s="974">
        <v>0</v>
      </c>
      <c r="N645" s="974">
        <v>0</v>
      </c>
      <c r="O645" s="963">
        <f t="shared" si="122"/>
        <v>360479.63</v>
      </c>
      <c r="P645" s="974">
        <v>0</v>
      </c>
      <c r="Q645" s="974">
        <v>0</v>
      </c>
      <c r="R645" s="964">
        <v>2021</v>
      </c>
      <c r="S645" s="1006" t="s">
        <v>1387</v>
      </c>
      <c r="U645" s="967"/>
    </row>
    <row r="646" spans="1:21" ht="42" customHeight="1">
      <c r="A646" s="956">
        <v>122</v>
      </c>
      <c r="B646" s="972" t="s">
        <v>1740</v>
      </c>
      <c r="C646" s="957">
        <v>1959</v>
      </c>
      <c r="D646" s="957"/>
      <c r="E646" s="956" t="s">
        <v>218</v>
      </c>
      <c r="F646" s="957">
        <v>2</v>
      </c>
      <c r="G646" s="957">
        <v>2</v>
      </c>
      <c r="H646" s="973">
        <v>675.3</v>
      </c>
      <c r="I646" s="973">
        <v>628.20000000000005</v>
      </c>
      <c r="J646" s="973">
        <v>585.79999999999995</v>
      </c>
      <c r="K646" s="957">
        <v>32</v>
      </c>
      <c r="L646" s="971">
        <v>1275755</v>
      </c>
      <c r="M646" s="974">
        <v>0</v>
      </c>
      <c r="N646" s="974">
        <v>0</v>
      </c>
      <c r="O646" s="963">
        <f t="shared" si="122"/>
        <v>1275755</v>
      </c>
      <c r="P646" s="974">
        <v>0</v>
      </c>
      <c r="Q646" s="974">
        <v>0</v>
      </c>
      <c r="R646" s="964">
        <v>2021</v>
      </c>
      <c r="S646" s="1006" t="s">
        <v>1387</v>
      </c>
      <c r="U646" s="967"/>
    </row>
    <row r="647" spans="1:21" ht="42.6" customHeight="1">
      <c r="A647" s="956">
        <v>123</v>
      </c>
      <c r="B647" s="972" t="s">
        <v>1741</v>
      </c>
      <c r="C647" s="957">
        <v>1961</v>
      </c>
      <c r="D647" s="957"/>
      <c r="E647" s="956" t="s">
        <v>218</v>
      </c>
      <c r="F647" s="957">
        <v>4</v>
      </c>
      <c r="G647" s="957">
        <v>2</v>
      </c>
      <c r="H647" s="973">
        <v>1379.1</v>
      </c>
      <c r="I647" s="973">
        <v>1277.7</v>
      </c>
      <c r="J647" s="973">
        <v>1245.2</v>
      </c>
      <c r="K647" s="957">
        <v>54</v>
      </c>
      <c r="L647" s="971">
        <v>2658432.25</v>
      </c>
      <c r="M647" s="974">
        <v>0</v>
      </c>
      <c r="N647" s="974">
        <v>0</v>
      </c>
      <c r="O647" s="963">
        <f t="shared" si="122"/>
        <v>2658432.25</v>
      </c>
      <c r="P647" s="974">
        <v>0</v>
      </c>
      <c r="Q647" s="974">
        <v>0</v>
      </c>
      <c r="R647" s="964">
        <v>2021</v>
      </c>
      <c r="S647" s="1006" t="s">
        <v>1383</v>
      </c>
      <c r="U647" s="967"/>
    </row>
    <row r="648" spans="1:21" ht="43.15" customHeight="1">
      <c r="A648" s="956">
        <v>124</v>
      </c>
      <c r="B648" s="972" t="s">
        <v>1742</v>
      </c>
      <c r="C648" s="957">
        <v>1960</v>
      </c>
      <c r="D648" s="957"/>
      <c r="E648" s="956" t="s">
        <v>218</v>
      </c>
      <c r="F648" s="957">
        <v>4</v>
      </c>
      <c r="G648" s="957">
        <v>2</v>
      </c>
      <c r="H648" s="973">
        <v>1376.7</v>
      </c>
      <c r="I648" s="973">
        <v>1289.2</v>
      </c>
      <c r="J648" s="973">
        <v>1213.8</v>
      </c>
      <c r="K648" s="957">
        <v>53</v>
      </c>
      <c r="L648" s="971">
        <v>6099267</v>
      </c>
      <c r="M648" s="974">
        <v>0</v>
      </c>
      <c r="N648" s="974">
        <v>0</v>
      </c>
      <c r="O648" s="963">
        <f t="shared" si="122"/>
        <v>6099267</v>
      </c>
      <c r="P648" s="974">
        <v>0</v>
      </c>
      <c r="Q648" s="974">
        <v>0</v>
      </c>
      <c r="R648" s="964">
        <v>2021</v>
      </c>
      <c r="S648" s="1006" t="s">
        <v>1387</v>
      </c>
      <c r="U648" s="967"/>
    </row>
    <row r="649" spans="1:21" ht="42.6" customHeight="1">
      <c r="A649" s="956">
        <v>125</v>
      </c>
      <c r="B649" s="972" t="s">
        <v>1938</v>
      </c>
      <c r="C649" s="957">
        <v>1968</v>
      </c>
      <c r="D649" s="957"/>
      <c r="E649" s="956" t="s">
        <v>219</v>
      </c>
      <c r="F649" s="957">
        <v>5</v>
      </c>
      <c r="G649" s="957">
        <v>5</v>
      </c>
      <c r="H649" s="973">
        <v>3421.8</v>
      </c>
      <c r="I649" s="973">
        <v>3086.4</v>
      </c>
      <c r="J649" s="973">
        <v>3045</v>
      </c>
      <c r="K649" s="957">
        <v>144</v>
      </c>
      <c r="L649" s="971">
        <v>13068971</v>
      </c>
      <c r="M649" s="974">
        <v>0</v>
      </c>
      <c r="N649" s="974">
        <v>0</v>
      </c>
      <c r="O649" s="963">
        <f t="shared" si="122"/>
        <v>13068971</v>
      </c>
      <c r="P649" s="974">
        <v>0</v>
      </c>
      <c r="Q649" s="974">
        <v>0</v>
      </c>
      <c r="R649" s="964">
        <v>2021</v>
      </c>
      <c r="S649" s="1006" t="s">
        <v>1387</v>
      </c>
      <c r="U649" s="967"/>
    </row>
    <row r="650" spans="1:21" ht="44.45" customHeight="1">
      <c r="A650" s="956">
        <v>126</v>
      </c>
      <c r="B650" s="972" t="s">
        <v>1743</v>
      </c>
      <c r="C650" s="957">
        <v>1960</v>
      </c>
      <c r="D650" s="957"/>
      <c r="E650" s="956" t="s">
        <v>220</v>
      </c>
      <c r="F650" s="957">
        <v>3</v>
      </c>
      <c r="G650" s="957">
        <v>2</v>
      </c>
      <c r="H650" s="973">
        <v>830.8</v>
      </c>
      <c r="I650" s="973">
        <v>756.5</v>
      </c>
      <c r="J650" s="973">
        <v>714.7</v>
      </c>
      <c r="K650" s="957">
        <v>26</v>
      </c>
      <c r="L650" s="971">
        <v>486594</v>
      </c>
      <c r="M650" s="974">
        <v>0</v>
      </c>
      <c r="N650" s="974">
        <v>0</v>
      </c>
      <c r="O650" s="963">
        <f t="shared" si="122"/>
        <v>486594</v>
      </c>
      <c r="P650" s="974">
        <v>0</v>
      </c>
      <c r="Q650" s="974">
        <v>0</v>
      </c>
      <c r="R650" s="964">
        <v>2021</v>
      </c>
      <c r="S650" s="1006" t="s">
        <v>1387</v>
      </c>
      <c r="U650" s="967"/>
    </row>
    <row r="651" spans="1:21" ht="40.9" customHeight="1">
      <c r="A651" s="956">
        <v>127</v>
      </c>
      <c r="B651" s="972" t="s">
        <v>1744</v>
      </c>
      <c r="C651" s="957">
        <v>1982</v>
      </c>
      <c r="D651" s="957"/>
      <c r="E651" s="956" t="s">
        <v>219</v>
      </c>
      <c r="F651" s="957">
        <v>9</v>
      </c>
      <c r="G651" s="957">
        <v>2</v>
      </c>
      <c r="H651" s="973">
        <v>7009.1</v>
      </c>
      <c r="I651" s="973">
        <v>6649.6</v>
      </c>
      <c r="J651" s="973">
        <v>6247</v>
      </c>
      <c r="K651" s="957">
        <v>240</v>
      </c>
      <c r="L651" s="971">
        <v>5258538</v>
      </c>
      <c r="M651" s="974">
        <v>0</v>
      </c>
      <c r="N651" s="974">
        <v>0</v>
      </c>
      <c r="O651" s="963">
        <f t="shared" si="122"/>
        <v>5258538</v>
      </c>
      <c r="P651" s="974">
        <v>0</v>
      </c>
      <c r="Q651" s="974">
        <v>0</v>
      </c>
      <c r="R651" s="964">
        <v>2021</v>
      </c>
      <c r="S651" s="1006" t="s">
        <v>1383</v>
      </c>
      <c r="U651" s="967"/>
    </row>
    <row r="652" spans="1:21" ht="40.9" customHeight="1">
      <c r="A652" s="956">
        <v>128</v>
      </c>
      <c r="B652" s="972" t="s">
        <v>1745</v>
      </c>
      <c r="C652" s="957">
        <v>1960</v>
      </c>
      <c r="D652" s="957"/>
      <c r="E652" s="956" t="s">
        <v>218</v>
      </c>
      <c r="F652" s="957">
        <v>2</v>
      </c>
      <c r="G652" s="957">
        <v>1</v>
      </c>
      <c r="H652" s="973">
        <v>296.10000000000002</v>
      </c>
      <c r="I652" s="973">
        <v>285.10000000000002</v>
      </c>
      <c r="J652" s="973">
        <v>246.3</v>
      </c>
      <c r="K652" s="957">
        <v>16</v>
      </c>
      <c r="L652" s="971">
        <v>2423166</v>
      </c>
      <c r="M652" s="974">
        <v>0</v>
      </c>
      <c r="N652" s="974">
        <v>0</v>
      </c>
      <c r="O652" s="963">
        <f t="shared" si="122"/>
        <v>2423166</v>
      </c>
      <c r="P652" s="974">
        <v>0</v>
      </c>
      <c r="Q652" s="974">
        <v>0</v>
      </c>
      <c r="R652" s="964">
        <v>2021</v>
      </c>
      <c r="S652" s="1006" t="s">
        <v>1387</v>
      </c>
      <c r="U652" s="967"/>
    </row>
    <row r="653" spans="1:21" ht="41.45" customHeight="1">
      <c r="A653" s="956">
        <v>129</v>
      </c>
      <c r="B653" s="972" t="s">
        <v>1746</v>
      </c>
      <c r="C653" s="957">
        <v>1948</v>
      </c>
      <c r="D653" s="957"/>
      <c r="E653" s="956" t="s">
        <v>220</v>
      </c>
      <c r="F653" s="957">
        <v>2</v>
      </c>
      <c r="G653" s="957">
        <v>3</v>
      </c>
      <c r="H653" s="973">
        <v>1324.2</v>
      </c>
      <c r="I653" s="973">
        <v>1206</v>
      </c>
      <c r="J653" s="973">
        <v>1093.4000000000001</v>
      </c>
      <c r="K653" s="957">
        <v>60</v>
      </c>
      <c r="L653" s="971">
        <v>701336</v>
      </c>
      <c r="M653" s="974">
        <v>0</v>
      </c>
      <c r="N653" s="974">
        <v>0</v>
      </c>
      <c r="O653" s="963">
        <f t="shared" ref="O653:O684" si="123">L653</f>
        <v>701336</v>
      </c>
      <c r="P653" s="974">
        <v>0</v>
      </c>
      <c r="Q653" s="974">
        <v>0</v>
      </c>
      <c r="R653" s="964">
        <v>2021</v>
      </c>
      <c r="S653" s="1006" t="s">
        <v>1387</v>
      </c>
      <c r="U653" s="967"/>
    </row>
    <row r="654" spans="1:21" ht="40.9" customHeight="1">
      <c r="A654" s="956">
        <v>130</v>
      </c>
      <c r="B654" s="972" t="s">
        <v>1747</v>
      </c>
      <c r="C654" s="957">
        <v>1962</v>
      </c>
      <c r="D654" s="957"/>
      <c r="E654" s="956" t="s">
        <v>218</v>
      </c>
      <c r="F654" s="957">
        <v>5</v>
      </c>
      <c r="G654" s="957">
        <v>2</v>
      </c>
      <c r="H654" s="973">
        <v>1870.7</v>
      </c>
      <c r="I654" s="973">
        <v>1754.3</v>
      </c>
      <c r="J654" s="973">
        <v>1410.6</v>
      </c>
      <c r="K654" s="957">
        <v>62</v>
      </c>
      <c r="L654" s="971">
        <v>13772351</v>
      </c>
      <c r="M654" s="974">
        <v>0</v>
      </c>
      <c r="N654" s="974">
        <v>0</v>
      </c>
      <c r="O654" s="963">
        <f t="shared" si="123"/>
        <v>13772351</v>
      </c>
      <c r="P654" s="974">
        <v>0</v>
      </c>
      <c r="Q654" s="974">
        <v>0</v>
      </c>
      <c r="R654" s="964">
        <v>2021</v>
      </c>
      <c r="S654" s="1006" t="s">
        <v>1383</v>
      </c>
      <c r="U654" s="967"/>
    </row>
    <row r="655" spans="1:21" ht="43.9" customHeight="1">
      <c r="A655" s="956">
        <v>131</v>
      </c>
      <c r="B655" s="972" t="s">
        <v>1748</v>
      </c>
      <c r="C655" s="957">
        <v>1960</v>
      </c>
      <c r="D655" s="957"/>
      <c r="E655" s="956" t="s">
        <v>218</v>
      </c>
      <c r="F655" s="957">
        <v>5</v>
      </c>
      <c r="G655" s="957">
        <v>2</v>
      </c>
      <c r="H655" s="973">
        <v>1762.6</v>
      </c>
      <c r="I655" s="973">
        <v>1627.2</v>
      </c>
      <c r="J655" s="973">
        <v>1212.5999999999999</v>
      </c>
      <c r="K655" s="957">
        <v>49</v>
      </c>
      <c r="L655" s="971">
        <v>3753928</v>
      </c>
      <c r="M655" s="974">
        <v>0</v>
      </c>
      <c r="N655" s="974">
        <v>0</v>
      </c>
      <c r="O655" s="963">
        <f t="shared" si="123"/>
        <v>3753928</v>
      </c>
      <c r="P655" s="974">
        <v>0</v>
      </c>
      <c r="Q655" s="974">
        <v>0</v>
      </c>
      <c r="R655" s="964">
        <v>2021</v>
      </c>
      <c r="S655" s="1006" t="s">
        <v>1387</v>
      </c>
      <c r="U655" s="967"/>
    </row>
    <row r="656" spans="1:21" ht="40.15" customHeight="1">
      <c r="A656" s="956">
        <v>132</v>
      </c>
      <c r="B656" s="972" t="s">
        <v>1749</v>
      </c>
      <c r="C656" s="957">
        <v>1961</v>
      </c>
      <c r="D656" s="957"/>
      <c r="E656" s="956" t="s">
        <v>218</v>
      </c>
      <c r="F656" s="957">
        <v>4</v>
      </c>
      <c r="G656" s="957">
        <v>3</v>
      </c>
      <c r="H656" s="973">
        <v>2325.4</v>
      </c>
      <c r="I656" s="973">
        <v>2168.1999999999998</v>
      </c>
      <c r="J656" s="973">
        <v>1412.5</v>
      </c>
      <c r="K656" s="957">
        <v>68</v>
      </c>
      <c r="L656" s="971">
        <v>7862988</v>
      </c>
      <c r="M656" s="974">
        <v>0</v>
      </c>
      <c r="N656" s="974">
        <v>0</v>
      </c>
      <c r="O656" s="963">
        <f t="shared" si="123"/>
        <v>7862988</v>
      </c>
      <c r="P656" s="974">
        <v>0</v>
      </c>
      <c r="Q656" s="974">
        <v>0</v>
      </c>
      <c r="R656" s="964">
        <v>2021</v>
      </c>
      <c r="S656" s="1006" t="s">
        <v>1383</v>
      </c>
      <c r="U656" s="967"/>
    </row>
    <row r="657" spans="1:21" ht="42" customHeight="1">
      <c r="A657" s="956">
        <v>133</v>
      </c>
      <c r="B657" s="972" t="s">
        <v>1750</v>
      </c>
      <c r="C657" s="957">
        <v>1989</v>
      </c>
      <c r="D657" s="957"/>
      <c r="E657" s="956" t="s">
        <v>219</v>
      </c>
      <c r="F657" s="957">
        <v>9</v>
      </c>
      <c r="G657" s="957">
        <v>5</v>
      </c>
      <c r="H657" s="973">
        <v>11828.8</v>
      </c>
      <c r="I657" s="973">
        <v>10514.3</v>
      </c>
      <c r="J657" s="973">
        <f>I657-740</f>
        <v>9774.2999999999993</v>
      </c>
      <c r="K657" s="957">
        <v>515</v>
      </c>
      <c r="L657" s="971">
        <v>13748049.279999999</v>
      </c>
      <c r="M657" s="974">
        <v>0</v>
      </c>
      <c r="N657" s="974">
        <v>0</v>
      </c>
      <c r="O657" s="963">
        <f t="shared" si="123"/>
        <v>13748049.279999999</v>
      </c>
      <c r="P657" s="974">
        <v>0</v>
      </c>
      <c r="Q657" s="974">
        <v>0</v>
      </c>
      <c r="R657" s="964">
        <v>2021</v>
      </c>
      <c r="S657" s="1006" t="s">
        <v>1383</v>
      </c>
      <c r="U657" s="967"/>
    </row>
    <row r="658" spans="1:21" ht="43.9" customHeight="1">
      <c r="A658" s="956">
        <v>134</v>
      </c>
      <c r="B658" s="972" t="s">
        <v>1939</v>
      </c>
      <c r="C658" s="957">
        <v>1982</v>
      </c>
      <c r="D658" s="957"/>
      <c r="E658" s="956" t="s">
        <v>219</v>
      </c>
      <c r="F658" s="957">
        <v>9</v>
      </c>
      <c r="G658" s="957">
        <v>2</v>
      </c>
      <c r="H658" s="973">
        <v>4292.1000000000004</v>
      </c>
      <c r="I658" s="973">
        <v>3860.4</v>
      </c>
      <c r="J658" s="973">
        <v>3054.3</v>
      </c>
      <c r="K658" s="957">
        <v>148</v>
      </c>
      <c r="L658" s="971">
        <v>5499219.71</v>
      </c>
      <c r="M658" s="974">
        <v>0</v>
      </c>
      <c r="N658" s="974">
        <v>0</v>
      </c>
      <c r="O658" s="963">
        <f t="shared" si="123"/>
        <v>5499219.71</v>
      </c>
      <c r="P658" s="974">
        <v>0</v>
      </c>
      <c r="Q658" s="974">
        <v>0</v>
      </c>
      <c r="R658" s="964">
        <v>2021</v>
      </c>
      <c r="S658" s="1006" t="s">
        <v>1383</v>
      </c>
      <c r="U658" s="967"/>
    </row>
    <row r="659" spans="1:21" ht="43.9" customHeight="1">
      <c r="A659" s="956">
        <v>135</v>
      </c>
      <c r="B659" s="972" t="s">
        <v>1751</v>
      </c>
      <c r="C659" s="957">
        <v>1986</v>
      </c>
      <c r="D659" s="957"/>
      <c r="E659" s="956" t="s">
        <v>219</v>
      </c>
      <c r="F659" s="957">
        <v>9</v>
      </c>
      <c r="G659" s="957">
        <v>5</v>
      </c>
      <c r="H659" s="973">
        <v>9814.7999999999993</v>
      </c>
      <c r="I659" s="973">
        <v>9759.2999999999993</v>
      </c>
      <c r="J659" s="973">
        <f>I659-245.8</f>
        <v>9513.5</v>
      </c>
      <c r="K659" s="957">
        <v>427</v>
      </c>
      <c r="L659" s="971">
        <v>13748049.279999999</v>
      </c>
      <c r="M659" s="974">
        <v>0</v>
      </c>
      <c r="N659" s="974">
        <v>0</v>
      </c>
      <c r="O659" s="963">
        <f t="shared" si="123"/>
        <v>13748049.279999999</v>
      </c>
      <c r="P659" s="974">
        <v>0</v>
      </c>
      <c r="Q659" s="974">
        <v>0</v>
      </c>
      <c r="R659" s="964">
        <v>2021</v>
      </c>
      <c r="S659" s="1006" t="s">
        <v>1383</v>
      </c>
      <c r="U659" s="967"/>
    </row>
    <row r="660" spans="1:21" ht="37.9" customHeight="1">
      <c r="A660" s="956">
        <v>136</v>
      </c>
      <c r="B660" s="972" t="s">
        <v>1940</v>
      </c>
      <c r="C660" s="957">
        <v>1984</v>
      </c>
      <c r="D660" s="957"/>
      <c r="E660" s="956" t="s">
        <v>219</v>
      </c>
      <c r="F660" s="957">
        <v>9</v>
      </c>
      <c r="G660" s="957">
        <v>1</v>
      </c>
      <c r="H660" s="973">
        <v>1942.7</v>
      </c>
      <c r="I660" s="973">
        <v>1931.6</v>
      </c>
      <c r="J660" s="973">
        <v>1762</v>
      </c>
      <c r="K660" s="957">
        <v>87</v>
      </c>
      <c r="L660" s="971">
        <v>2749609.86</v>
      </c>
      <c r="M660" s="974">
        <v>0</v>
      </c>
      <c r="N660" s="974">
        <v>0</v>
      </c>
      <c r="O660" s="963">
        <f t="shared" si="123"/>
        <v>2749609.86</v>
      </c>
      <c r="P660" s="974">
        <v>0</v>
      </c>
      <c r="Q660" s="974">
        <v>0</v>
      </c>
      <c r="R660" s="964">
        <v>2021</v>
      </c>
      <c r="S660" s="1006" t="s">
        <v>1383</v>
      </c>
      <c r="U660" s="967"/>
    </row>
    <row r="661" spans="1:21" ht="40.15" customHeight="1">
      <c r="A661" s="956">
        <v>137</v>
      </c>
      <c r="B661" s="972" t="s">
        <v>1941</v>
      </c>
      <c r="C661" s="957">
        <v>1978</v>
      </c>
      <c r="D661" s="957"/>
      <c r="E661" s="956" t="s">
        <v>219</v>
      </c>
      <c r="F661" s="957">
        <v>9</v>
      </c>
      <c r="G661" s="957">
        <v>3</v>
      </c>
      <c r="H661" s="973">
        <v>5576.3</v>
      </c>
      <c r="I661" s="973">
        <v>5559.8</v>
      </c>
      <c r="J661" s="973">
        <v>4987.3</v>
      </c>
      <c r="K661" s="957">
        <v>219</v>
      </c>
      <c r="L661" s="971">
        <v>8248829.5700000003</v>
      </c>
      <c r="M661" s="974">
        <v>0</v>
      </c>
      <c r="N661" s="974">
        <v>0</v>
      </c>
      <c r="O661" s="963">
        <f t="shared" si="123"/>
        <v>8248829.5700000003</v>
      </c>
      <c r="P661" s="974">
        <v>0</v>
      </c>
      <c r="Q661" s="974">
        <v>0</v>
      </c>
      <c r="R661" s="964">
        <v>2021</v>
      </c>
      <c r="S661" s="1006" t="s">
        <v>1383</v>
      </c>
      <c r="U661" s="967"/>
    </row>
    <row r="662" spans="1:21" ht="39" customHeight="1">
      <c r="A662" s="956">
        <v>138</v>
      </c>
      <c r="B662" s="972" t="s">
        <v>1942</v>
      </c>
      <c r="C662" s="957">
        <v>1979</v>
      </c>
      <c r="D662" s="957"/>
      <c r="E662" s="956" t="s">
        <v>219</v>
      </c>
      <c r="F662" s="957">
        <v>9</v>
      </c>
      <c r="G662" s="957">
        <v>1</v>
      </c>
      <c r="H662" s="973">
        <v>2227.3000000000002</v>
      </c>
      <c r="I662" s="973">
        <v>1983.8</v>
      </c>
      <c r="J662" s="973">
        <v>1544.2</v>
      </c>
      <c r="K662" s="957">
        <v>82</v>
      </c>
      <c r="L662" s="971">
        <v>2749609.86</v>
      </c>
      <c r="M662" s="974">
        <v>0</v>
      </c>
      <c r="N662" s="974">
        <v>0</v>
      </c>
      <c r="O662" s="963">
        <f t="shared" si="123"/>
        <v>2749609.86</v>
      </c>
      <c r="P662" s="974">
        <v>0</v>
      </c>
      <c r="Q662" s="974">
        <v>0</v>
      </c>
      <c r="R662" s="964">
        <v>2021</v>
      </c>
      <c r="S662" s="1006" t="s">
        <v>1383</v>
      </c>
      <c r="U662" s="967"/>
    </row>
    <row r="663" spans="1:21" ht="42" customHeight="1">
      <c r="A663" s="956">
        <v>139</v>
      </c>
      <c r="B663" s="972" t="s">
        <v>1752</v>
      </c>
      <c r="C663" s="957">
        <v>1989</v>
      </c>
      <c r="D663" s="957"/>
      <c r="E663" s="956" t="s">
        <v>219</v>
      </c>
      <c r="F663" s="957">
        <v>9</v>
      </c>
      <c r="G663" s="957">
        <v>4</v>
      </c>
      <c r="H663" s="973">
        <v>9037.2999999999993</v>
      </c>
      <c r="I663" s="973">
        <v>8132.8</v>
      </c>
      <c r="J663" s="973">
        <v>7598.3</v>
      </c>
      <c r="K663" s="957">
        <v>277</v>
      </c>
      <c r="L663" s="971">
        <v>10998439.42</v>
      </c>
      <c r="M663" s="974">
        <v>0</v>
      </c>
      <c r="N663" s="974">
        <v>0</v>
      </c>
      <c r="O663" s="963">
        <f t="shared" si="123"/>
        <v>10998439.42</v>
      </c>
      <c r="P663" s="974">
        <v>0</v>
      </c>
      <c r="Q663" s="974">
        <v>0</v>
      </c>
      <c r="R663" s="964">
        <v>2021</v>
      </c>
      <c r="S663" s="1006" t="s">
        <v>1383</v>
      </c>
      <c r="U663" s="967"/>
    </row>
    <row r="664" spans="1:21" ht="34.9" customHeight="1">
      <c r="A664" s="956">
        <v>140</v>
      </c>
      <c r="B664" s="972" t="s">
        <v>1753</v>
      </c>
      <c r="C664" s="957">
        <v>1987</v>
      </c>
      <c r="D664" s="957"/>
      <c r="E664" s="956" t="s">
        <v>219</v>
      </c>
      <c r="F664" s="991" t="s">
        <v>1591</v>
      </c>
      <c r="G664" s="957">
        <v>10</v>
      </c>
      <c r="H664" s="973">
        <v>11346.8</v>
      </c>
      <c r="I664" s="973">
        <v>10316.6</v>
      </c>
      <c r="J664" s="973">
        <v>8569.4</v>
      </c>
      <c r="K664" s="957">
        <v>322</v>
      </c>
      <c r="L664" s="971">
        <v>5499219.71</v>
      </c>
      <c r="M664" s="974">
        <v>0</v>
      </c>
      <c r="N664" s="974">
        <v>0</v>
      </c>
      <c r="O664" s="963">
        <f t="shared" si="123"/>
        <v>5499219.71</v>
      </c>
      <c r="P664" s="974">
        <v>0</v>
      </c>
      <c r="Q664" s="974">
        <v>0</v>
      </c>
      <c r="R664" s="964">
        <v>2021</v>
      </c>
      <c r="S664" s="1006" t="s">
        <v>1383</v>
      </c>
      <c r="U664" s="967"/>
    </row>
    <row r="665" spans="1:21" ht="42.6" customHeight="1">
      <c r="A665" s="956">
        <v>141</v>
      </c>
      <c r="B665" s="972" t="s">
        <v>1943</v>
      </c>
      <c r="C665" s="957">
        <v>1993</v>
      </c>
      <c r="D665" s="957"/>
      <c r="E665" s="956" t="s">
        <v>219</v>
      </c>
      <c r="F665" s="957">
        <v>9</v>
      </c>
      <c r="G665" s="957">
        <v>1</v>
      </c>
      <c r="H665" s="973">
        <v>4580</v>
      </c>
      <c r="I665" s="973">
        <v>3822.5</v>
      </c>
      <c r="J665" s="973">
        <v>3798.9</v>
      </c>
      <c r="K665" s="957">
        <v>123</v>
      </c>
      <c r="L665" s="971">
        <v>2749609.86</v>
      </c>
      <c r="M665" s="974">
        <v>0</v>
      </c>
      <c r="N665" s="974">
        <v>0</v>
      </c>
      <c r="O665" s="963">
        <f t="shared" si="123"/>
        <v>2749609.86</v>
      </c>
      <c r="P665" s="974">
        <v>0</v>
      </c>
      <c r="Q665" s="974">
        <v>0</v>
      </c>
      <c r="R665" s="964">
        <v>2021</v>
      </c>
      <c r="S665" s="1006" t="s">
        <v>1383</v>
      </c>
      <c r="U665" s="967"/>
    </row>
    <row r="666" spans="1:21" ht="40.9" customHeight="1">
      <c r="A666" s="956">
        <v>142</v>
      </c>
      <c r="B666" s="972" t="s">
        <v>1754</v>
      </c>
      <c r="C666" s="957">
        <v>1990</v>
      </c>
      <c r="D666" s="957"/>
      <c r="E666" s="956" t="s">
        <v>219</v>
      </c>
      <c r="F666" s="957">
        <v>9</v>
      </c>
      <c r="G666" s="957">
        <v>4</v>
      </c>
      <c r="H666" s="973">
        <v>9004.5</v>
      </c>
      <c r="I666" s="973">
        <v>8096.1</v>
      </c>
      <c r="J666" s="973">
        <v>7544.2</v>
      </c>
      <c r="K666" s="957">
        <v>311</v>
      </c>
      <c r="L666" s="971">
        <v>10998439.42</v>
      </c>
      <c r="M666" s="974">
        <v>0</v>
      </c>
      <c r="N666" s="974">
        <v>0</v>
      </c>
      <c r="O666" s="963">
        <f t="shared" si="123"/>
        <v>10998439.42</v>
      </c>
      <c r="P666" s="974">
        <v>0</v>
      </c>
      <c r="Q666" s="974">
        <v>0</v>
      </c>
      <c r="R666" s="964">
        <v>2021</v>
      </c>
      <c r="S666" s="1006" t="s">
        <v>1383</v>
      </c>
      <c r="U666" s="967"/>
    </row>
    <row r="667" spans="1:21" ht="40.9" customHeight="1">
      <c r="A667" s="956">
        <v>143</v>
      </c>
      <c r="B667" s="972" t="s">
        <v>1944</v>
      </c>
      <c r="C667" s="957">
        <v>1992</v>
      </c>
      <c r="D667" s="957"/>
      <c r="E667" s="956" t="s">
        <v>219</v>
      </c>
      <c r="F667" s="957">
        <v>9</v>
      </c>
      <c r="G667" s="957">
        <v>1</v>
      </c>
      <c r="H667" s="973">
        <v>4783.5</v>
      </c>
      <c r="I667" s="973">
        <v>3816</v>
      </c>
      <c r="J667" s="973">
        <v>3745.3</v>
      </c>
      <c r="K667" s="957">
        <v>109</v>
      </c>
      <c r="L667" s="971">
        <v>2749609.86</v>
      </c>
      <c r="M667" s="974">
        <v>0</v>
      </c>
      <c r="N667" s="974">
        <v>0</v>
      </c>
      <c r="O667" s="963">
        <f t="shared" si="123"/>
        <v>2749609.86</v>
      </c>
      <c r="P667" s="974">
        <v>0</v>
      </c>
      <c r="Q667" s="974">
        <v>0</v>
      </c>
      <c r="R667" s="964">
        <v>2021</v>
      </c>
      <c r="S667" s="1006" t="s">
        <v>1383</v>
      </c>
      <c r="U667" s="967"/>
    </row>
    <row r="668" spans="1:21" ht="38.450000000000003" customHeight="1">
      <c r="A668" s="956">
        <v>144</v>
      </c>
      <c r="B668" s="972" t="s">
        <v>1755</v>
      </c>
      <c r="C668" s="957">
        <v>1977</v>
      </c>
      <c r="D668" s="957"/>
      <c r="E668" s="956" t="s">
        <v>218</v>
      </c>
      <c r="F668" s="957">
        <v>5</v>
      </c>
      <c r="G668" s="957">
        <v>6</v>
      </c>
      <c r="H668" s="973">
        <v>5003.7</v>
      </c>
      <c r="I668" s="973">
        <v>4552.5</v>
      </c>
      <c r="J668" s="973">
        <v>4461.8</v>
      </c>
      <c r="K668" s="957">
        <v>191</v>
      </c>
      <c r="L668" s="971">
        <v>21208937</v>
      </c>
      <c r="M668" s="974">
        <v>0</v>
      </c>
      <c r="N668" s="974">
        <v>0</v>
      </c>
      <c r="O668" s="963">
        <f t="shared" si="123"/>
        <v>21208937</v>
      </c>
      <c r="P668" s="974">
        <v>0</v>
      </c>
      <c r="Q668" s="974">
        <v>0</v>
      </c>
      <c r="R668" s="964">
        <v>2022</v>
      </c>
      <c r="S668" s="1006" t="s">
        <v>1387</v>
      </c>
      <c r="U668" s="967"/>
    </row>
    <row r="669" spans="1:21" ht="42.6" customHeight="1">
      <c r="A669" s="956">
        <v>145</v>
      </c>
      <c r="B669" s="972" t="s">
        <v>1689</v>
      </c>
      <c r="C669" s="957">
        <v>1958</v>
      </c>
      <c r="D669" s="957"/>
      <c r="E669" s="956" t="s">
        <v>218</v>
      </c>
      <c r="F669" s="957">
        <v>4</v>
      </c>
      <c r="G669" s="957">
        <v>5</v>
      </c>
      <c r="H669" s="973">
        <v>6247.5</v>
      </c>
      <c r="I669" s="973">
        <v>5713.3</v>
      </c>
      <c r="J669" s="973">
        <v>3999.9</v>
      </c>
      <c r="K669" s="957">
        <v>117</v>
      </c>
      <c r="L669" s="971">
        <v>3696801.08</v>
      </c>
      <c r="M669" s="974">
        <v>0</v>
      </c>
      <c r="N669" s="974">
        <v>0</v>
      </c>
      <c r="O669" s="963">
        <f t="shared" si="123"/>
        <v>3696801.08</v>
      </c>
      <c r="P669" s="974">
        <v>0</v>
      </c>
      <c r="Q669" s="974">
        <v>0</v>
      </c>
      <c r="R669" s="964">
        <v>2022</v>
      </c>
      <c r="S669" s="1006" t="s">
        <v>1387</v>
      </c>
      <c r="U669" s="967"/>
    </row>
    <row r="670" spans="1:21" ht="40.15" customHeight="1">
      <c r="A670" s="956">
        <v>146</v>
      </c>
      <c r="B670" s="972" t="s">
        <v>1756</v>
      </c>
      <c r="C670" s="957">
        <v>1960</v>
      </c>
      <c r="D670" s="957"/>
      <c r="E670" s="956" t="s">
        <v>218</v>
      </c>
      <c r="F670" s="957">
        <v>4</v>
      </c>
      <c r="G670" s="957">
        <v>4</v>
      </c>
      <c r="H670" s="973">
        <v>2758.7</v>
      </c>
      <c r="I670" s="973">
        <v>2563.4</v>
      </c>
      <c r="J670" s="973">
        <v>2405.4</v>
      </c>
      <c r="K670" s="957">
        <v>105</v>
      </c>
      <c r="L670" s="971">
        <v>5106091.2699999996</v>
      </c>
      <c r="M670" s="974">
        <v>0</v>
      </c>
      <c r="N670" s="974">
        <v>0</v>
      </c>
      <c r="O670" s="963">
        <f t="shared" si="123"/>
        <v>5106091.2699999996</v>
      </c>
      <c r="P670" s="974">
        <v>0</v>
      </c>
      <c r="Q670" s="974">
        <v>0</v>
      </c>
      <c r="R670" s="964">
        <v>2022</v>
      </c>
      <c r="S670" s="1006" t="s">
        <v>1387</v>
      </c>
      <c r="U670" s="967"/>
    </row>
    <row r="671" spans="1:21" ht="42.6" customHeight="1">
      <c r="A671" s="956">
        <v>147</v>
      </c>
      <c r="B671" s="972" t="s">
        <v>1757</v>
      </c>
      <c r="C671" s="957">
        <v>1973</v>
      </c>
      <c r="D671" s="957"/>
      <c r="E671" s="956" t="s">
        <v>219</v>
      </c>
      <c r="F671" s="957">
        <v>5</v>
      </c>
      <c r="G671" s="957">
        <v>4</v>
      </c>
      <c r="H671" s="973">
        <v>3984.3</v>
      </c>
      <c r="I671" s="973">
        <v>3386.1</v>
      </c>
      <c r="J671" s="973">
        <v>3270.6</v>
      </c>
      <c r="K671" s="957">
        <v>68</v>
      </c>
      <c r="L671" s="971">
        <v>10683407</v>
      </c>
      <c r="M671" s="974">
        <v>0</v>
      </c>
      <c r="N671" s="974">
        <v>0</v>
      </c>
      <c r="O671" s="963">
        <f t="shared" si="123"/>
        <v>10683407</v>
      </c>
      <c r="P671" s="974">
        <v>0</v>
      </c>
      <c r="Q671" s="974">
        <v>0</v>
      </c>
      <c r="R671" s="964">
        <v>2022</v>
      </c>
      <c r="S671" s="1006" t="s">
        <v>1383</v>
      </c>
      <c r="U671" s="967"/>
    </row>
    <row r="672" spans="1:21" ht="43.9" customHeight="1">
      <c r="A672" s="956">
        <v>148</v>
      </c>
      <c r="B672" s="972" t="s">
        <v>1758</v>
      </c>
      <c r="C672" s="957">
        <v>1950</v>
      </c>
      <c r="D672" s="957"/>
      <c r="E672" s="956" t="s">
        <v>220</v>
      </c>
      <c r="F672" s="957">
        <v>2</v>
      </c>
      <c r="G672" s="957">
        <v>2</v>
      </c>
      <c r="H672" s="973">
        <v>769.5</v>
      </c>
      <c r="I672" s="973">
        <v>696.6</v>
      </c>
      <c r="J672" s="973">
        <v>620.29999999999995</v>
      </c>
      <c r="K672" s="957">
        <v>45</v>
      </c>
      <c r="L672" s="971">
        <v>1719275.94</v>
      </c>
      <c r="M672" s="974">
        <v>0</v>
      </c>
      <c r="N672" s="974">
        <v>0</v>
      </c>
      <c r="O672" s="963">
        <f t="shared" si="123"/>
        <v>1719275.94</v>
      </c>
      <c r="P672" s="974">
        <v>0</v>
      </c>
      <c r="Q672" s="974">
        <v>0</v>
      </c>
      <c r="R672" s="964">
        <v>2022</v>
      </c>
      <c r="S672" s="1006" t="s">
        <v>1387</v>
      </c>
      <c r="U672" s="967"/>
    </row>
    <row r="673" spans="1:21" ht="42" customHeight="1">
      <c r="A673" s="956">
        <v>149</v>
      </c>
      <c r="B673" s="972" t="s">
        <v>1759</v>
      </c>
      <c r="C673" s="957">
        <v>1963</v>
      </c>
      <c r="D673" s="957"/>
      <c r="E673" s="956" t="s">
        <v>218</v>
      </c>
      <c r="F673" s="957">
        <v>4</v>
      </c>
      <c r="G673" s="957">
        <v>4</v>
      </c>
      <c r="H673" s="973">
        <v>1911.1</v>
      </c>
      <c r="I673" s="973">
        <v>1500.1</v>
      </c>
      <c r="J673" s="973">
        <v>2256.6</v>
      </c>
      <c r="K673" s="957">
        <v>95</v>
      </c>
      <c r="L673" s="971">
        <v>11926908</v>
      </c>
      <c r="M673" s="974">
        <v>0</v>
      </c>
      <c r="N673" s="974">
        <v>0</v>
      </c>
      <c r="O673" s="963">
        <f t="shared" si="123"/>
        <v>11926908</v>
      </c>
      <c r="P673" s="974">
        <v>0</v>
      </c>
      <c r="Q673" s="974">
        <v>0</v>
      </c>
      <c r="R673" s="964">
        <v>2022</v>
      </c>
      <c r="S673" s="1006" t="s">
        <v>1387</v>
      </c>
      <c r="U673" s="967"/>
    </row>
    <row r="674" spans="1:21" ht="42" customHeight="1">
      <c r="A674" s="956">
        <v>150</v>
      </c>
      <c r="B674" s="972" t="s">
        <v>1760</v>
      </c>
      <c r="C674" s="957">
        <v>1965</v>
      </c>
      <c r="D674" s="957"/>
      <c r="E674" s="956" t="s">
        <v>218</v>
      </c>
      <c r="F674" s="957">
        <v>5</v>
      </c>
      <c r="G674" s="957">
        <v>2</v>
      </c>
      <c r="H674" s="973">
        <v>1746.3</v>
      </c>
      <c r="I674" s="973">
        <v>1592.2</v>
      </c>
      <c r="J674" s="973">
        <v>504.4</v>
      </c>
      <c r="K674" s="957">
        <v>84</v>
      </c>
      <c r="L674" s="971">
        <v>6562045</v>
      </c>
      <c r="M674" s="974">
        <v>0</v>
      </c>
      <c r="N674" s="974">
        <v>0</v>
      </c>
      <c r="O674" s="963">
        <f t="shared" si="123"/>
        <v>6562045</v>
      </c>
      <c r="P674" s="974">
        <v>0</v>
      </c>
      <c r="Q674" s="974">
        <v>0</v>
      </c>
      <c r="R674" s="964">
        <v>2022</v>
      </c>
      <c r="S674" s="1006" t="s">
        <v>1387</v>
      </c>
      <c r="U674" s="967"/>
    </row>
    <row r="675" spans="1:21" ht="42.6" customHeight="1">
      <c r="A675" s="956">
        <v>151</v>
      </c>
      <c r="B675" s="972" t="s">
        <v>1761</v>
      </c>
      <c r="C675" s="957">
        <v>1950</v>
      </c>
      <c r="D675" s="957"/>
      <c r="E675" s="956" t="s">
        <v>220</v>
      </c>
      <c r="F675" s="957">
        <v>2</v>
      </c>
      <c r="G675" s="957">
        <v>2</v>
      </c>
      <c r="H675" s="973">
        <v>799.3</v>
      </c>
      <c r="I675" s="973">
        <v>722.8</v>
      </c>
      <c r="J675" s="973">
        <v>543.20000000000005</v>
      </c>
      <c r="K675" s="957">
        <v>39</v>
      </c>
      <c r="L675" s="971">
        <v>551566.66</v>
      </c>
      <c r="M675" s="974">
        <v>0</v>
      </c>
      <c r="N675" s="974">
        <v>0</v>
      </c>
      <c r="O675" s="963">
        <f t="shared" si="123"/>
        <v>551566.66</v>
      </c>
      <c r="P675" s="974">
        <v>0</v>
      </c>
      <c r="Q675" s="974">
        <v>0</v>
      </c>
      <c r="R675" s="964">
        <v>2022</v>
      </c>
      <c r="S675" s="1006" t="s">
        <v>1387</v>
      </c>
      <c r="U675" s="967"/>
    </row>
    <row r="676" spans="1:21" ht="40.9" customHeight="1">
      <c r="A676" s="956">
        <v>152</v>
      </c>
      <c r="B676" s="976" t="s">
        <v>1762</v>
      </c>
      <c r="C676" s="957">
        <v>1953</v>
      </c>
      <c r="D676" s="957"/>
      <c r="E676" s="956" t="s">
        <v>218</v>
      </c>
      <c r="F676" s="957">
        <v>2</v>
      </c>
      <c r="G676" s="957">
        <v>2</v>
      </c>
      <c r="H676" s="973">
        <v>697.1</v>
      </c>
      <c r="I676" s="973">
        <v>627</v>
      </c>
      <c r="J676" s="973">
        <v>607.70000000000005</v>
      </c>
      <c r="K676" s="957">
        <v>42</v>
      </c>
      <c r="L676" s="965">
        <v>6693380.4100000001</v>
      </c>
      <c r="M676" s="974">
        <v>0</v>
      </c>
      <c r="N676" s="974">
        <v>0</v>
      </c>
      <c r="O676" s="963">
        <f t="shared" si="123"/>
        <v>6693380.4100000001</v>
      </c>
      <c r="P676" s="974">
        <v>0</v>
      </c>
      <c r="Q676" s="974">
        <v>0</v>
      </c>
      <c r="R676" s="964">
        <v>2022</v>
      </c>
      <c r="S676" s="1006" t="s">
        <v>1387</v>
      </c>
      <c r="U676" s="967"/>
    </row>
    <row r="677" spans="1:21" ht="40.15" customHeight="1">
      <c r="A677" s="956">
        <v>153</v>
      </c>
      <c r="B677" s="976" t="s">
        <v>1763</v>
      </c>
      <c r="C677" s="957">
        <v>1957</v>
      </c>
      <c r="D677" s="957"/>
      <c r="E677" s="956" t="s">
        <v>218</v>
      </c>
      <c r="F677" s="957">
        <v>4</v>
      </c>
      <c r="G677" s="957">
        <v>4</v>
      </c>
      <c r="H677" s="973">
        <v>3324.7</v>
      </c>
      <c r="I677" s="973">
        <v>2981.4</v>
      </c>
      <c r="J677" s="973">
        <v>2981.4</v>
      </c>
      <c r="K677" s="957">
        <v>132</v>
      </c>
      <c r="L677" s="965">
        <v>15599076.48</v>
      </c>
      <c r="M677" s="974">
        <v>0</v>
      </c>
      <c r="N677" s="974">
        <v>0</v>
      </c>
      <c r="O677" s="963">
        <f t="shared" si="123"/>
        <v>15599076.48</v>
      </c>
      <c r="P677" s="974">
        <v>0</v>
      </c>
      <c r="Q677" s="974">
        <v>0</v>
      </c>
      <c r="R677" s="964">
        <v>2022</v>
      </c>
      <c r="S677" s="1006" t="s">
        <v>1387</v>
      </c>
      <c r="U677" s="967"/>
    </row>
    <row r="678" spans="1:21" ht="43.9" customHeight="1">
      <c r="A678" s="956">
        <v>154</v>
      </c>
      <c r="B678" s="976" t="s">
        <v>1764</v>
      </c>
      <c r="C678" s="957">
        <v>1951</v>
      </c>
      <c r="D678" s="957"/>
      <c r="E678" s="956" t="s">
        <v>218</v>
      </c>
      <c r="F678" s="957">
        <v>2</v>
      </c>
      <c r="G678" s="957">
        <v>3</v>
      </c>
      <c r="H678" s="973">
        <v>1530.1</v>
      </c>
      <c r="I678" s="973">
        <v>1366.3</v>
      </c>
      <c r="J678" s="973">
        <v>1366.3</v>
      </c>
      <c r="K678" s="957">
        <v>52</v>
      </c>
      <c r="L678" s="965">
        <v>32731154.649999999</v>
      </c>
      <c r="M678" s="974">
        <v>0</v>
      </c>
      <c r="N678" s="974">
        <v>0</v>
      </c>
      <c r="O678" s="963">
        <f t="shared" si="123"/>
        <v>32731154.649999999</v>
      </c>
      <c r="P678" s="974">
        <v>0</v>
      </c>
      <c r="Q678" s="974">
        <v>0</v>
      </c>
      <c r="R678" s="964">
        <v>2022</v>
      </c>
      <c r="S678" s="1006" t="s">
        <v>1383</v>
      </c>
      <c r="U678" s="967"/>
    </row>
    <row r="679" spans="1:21" ht="42.6" customHeight="1">
      <c r="A679" s="956">
        <v>155</v>
      </c>
      <c r="B679" s="976" t="s">
        <v>1765</v>
      </c>
      <c r="C679" s="957">
        <v>1956</v>
      </c>
      <c r="D679" s="957"/>
      <c r="E679" s="956" t="s">
        <v>218</v>
      </c>
      <c r="F679" s="957">
        <v>2</v>
      </c>
      <c r="G679" s="957">
        <v>2</v>
      </c>
      <c r="H679" s="973">
        <v>430.6</v>
      </c>
      <c r="I679" s="973">
        <v>385.8</v>
      </c>
      <c r="J679" s="973">
        <v>365.4</v>
      </c>
      <c r="K679" s="957">
        <v>36</v>
      </c>
      <c r="L679" s="965">
        <v>2470545.9299999997</v>
      </c>
      <c r="M679" s="974">
        <v>0</v>
      </c>
      <c r="N679" s="974">
        <v>0</v>
      </c>
      <c r="O679" s="963">
        <f t="shared" si="123"/>
        <v>2470545.9299999997</v>
      </c>
      <c r="P679" s="974">
        <v>0</v>
      </c>
      <c r="Q679" s="974">
        <v>0</v>
      </c>
      <c r="R679" s="964">
        <v>2022</v>
      </c>
      <c r="S679" s="1006" t="s">
        <v>1383</v>
      </c>
      <c r="U679" s="967"/>
    </row>
    <row r="680" spans="1:21" ht="42.6" customHeight="1">
      <c r="A680" s="956">
        <v>156</v>
      </c>
      <c r="B680" s="976" t="s">
        <v>1766</v>
      </c>
      <c r="C680" s="957">
        <v>1972</v>
      </c>
      <c r="D680" s="957"/>
      <c r="E680" s="956" t="s">
        <v>219</v>
      </c>
      <c r="F680" s="957">
        <v>5</v>
      </c>
      <c r="G680" s="957">
        <v>4</v>
      </c>
      <c r="H680" s="973">
        <v>3679.4</v>
      </c>
      <c r="I680" s="973">
        <v>3386.1</v>
      </c>
      <c r="J680" s="973">
        <v>3022.9</v>
      </c>
      <c r="K680" s="957">
        <v>70</v>
      </c>
      <c r="L680" s="965">
        <v>28462648.93</v>
      </c>
      <c r="M680" s="974">
        <v>0</v>
      </c>
      <c r="N680" s="974">
        <v>0</v>
      </c>
      <c r="O680" s="963">
        <f t="shared" si="123"/>
        <v>28462648.93</v>
      </c>
      <c r="P680" s="974">
        <v>0</v>
      </c>
      <c r="Q680" s="974">
        <v>0</v>
      </c>
      <c r="R680" s="964">
        <v>2022</v>
      </c>
      <c r="S680" s="1006" t="s">
        <v>1383</v>
      </c>
      <c r="U680" s="967"/>
    </row>
    <row r="681" spans="1:21" ht="39" customHeight="1">
      <c r="A681" s="956">
        <v>157</v>
      </c>
      <c r="B681" s="976" t="s">
        <v>1740</v>
      </c>
      <c r="C681" s="957">
        <v>1959</v>
      </c>
      <c r="D681" s="957"/>
      <c r="E681" s="956" t="s">
        <v>218</v>
      </c>
      <c r="F681" s="957">
        <v>2</v>
      </c>
      <c r="G681" s="957">
        <v>2</v>
      </c>
      <c r="H681" s="973">
        <v>675.3</v>
      </c>
      <c r="I681" s="973">
        <v>628.20000000000005</v>
      </c>
      <c r="J681" s="973">
        <v>588.29999999999995</v>
      </c>
      <c r="K681" s="957">
        <v>32</v>
      </c>
      <c r="L681" s="965">
        <v>1024462.1399999999</v>
      </c>
      <c r="M681" s="974">
        <v>0</v>
      </c>
      <c r="N681" s="974">
        <v>0</v>
      </c>
      <c r="O681" s="963">
        <f t="shared" si="123"/>
        <v>1024462.1399999999</v>
      </c>
      <c r="P681" s="974">
        <v>0</v>
      </c>
      <c r="Q681" s="974">
        <v>0</v>
      </c>
      <c r="R681" s="964">
        <v>2022</v>
      </c>
      <c r="S681" s="1006" t="s">
        <v>1387</v>
      </c>
      <c r="U681" s="967"/>
    </row>
    <row r="682" spans="1:21" ht="44.45" customHeight="1">
      <c r="A682" s="956">
        <v>158</v>
      </c>
      <c r="B682" s="976" t="s">
        <v>1767</v>
      </c>
      <c r="C682" s="957">
        <v>1973</v>
      </c>
      <c r="D682" s="957"/>
      <c r="E682" s="956" t="s">
        <v>218</v>
      </c>
      <c r="F682" s="957">
        <v>5</v>
      </c>
      <c r="G682" s="957">
        <v>1</v>
      </c>
      <c r="H682" s="973">
        <v>2502.5</v>
      </c>
      <c r="I682" s="973">
        <v>1954.5</v>
      </c>
      <c r="J682" s="973">
        <v>1830.2</v>
      </c>
      <c r="K682" s="957">
        <v>143</v>
      </c>
      <c r="L682" s="965">
        <v>16969785.760000002</v>
      </c>
      <c r="M682" s="974">
        <v>0</v>
      </c>
      <c r="N682" s="974">
        <v>0</v>
      </c>
      <c r="O682" s="963">
        <f t="shared" si="123"/>
        <v>16969785.760000002</v>
      </c>
      <c r="P682" s="974">
        <v>0</v>
      </c>
      <c r="Q682" s="974">
        <v>0</v>
      </c>
      <c r="R682" s="964">
        <v>2022</v>
      </c>
      <c r="S682" s="1006" t="s">
        <v>1383</v>
      </c>
      <c r="U682" s="967"/>
    </row>
    <row r="683" spans="1:21" ht="40.15" customHeight="1">
      <c r="A683" s="956">
        <v>159</v>
      </c>
      <c r="B683" s="976" t="s">
        <v>1768</v>
      </c>
      <c r="C683" s="957">
        <v>1969</v>
      </c>
      <c r="D683" s="957"/>
      <c r="E683" s="956" t="s">
        <v>218</v>
      </c>
      <c r="F683" s="957">
        <v>4</v>
      </c>
      <c r="G683" s="957">
        <v>2</v>
      </c>
      <c r="H683" s="973">
        <v>1372.1</v>
      </c>
      <c r="I683" s="973">
        <v>1275</v>
      </c>
      <c r="J683" s="973">
        <v>1275</v>
      </c>
      <c r="K683" s="957">
        <v>82</v>
      </c>
      <c r="L683" s="965">
        <v>9613909.2899999991</v>
      </c>
      <c r="M683" s="974">
        <v>0</v>
      </c>
      <c r="N683" s="974">
        <v>0</v>
      </c>
      <c r="O683" s="963">
        <f t="shared" si="123"/>
        <v>9613909.2899999991</v>
      </c>
      <c r="P683" s="974">
        <v>0</v>
      </c>
      <c r="Q683" s="974">
        <v>0</v>
      </c>
      <c r="R683" s="964">
        <v>2022</v>
      </c>
      <c r="S683" s="1006" t="s">
        <v>1383</v>
      </c>
      <c r="U683" s="967"/>
    </row>
    <row r="684" spans="1:21" ht="42" customHeight="1">
      <c r="A684" s="956">
        <v>160</v>
      </c>
      <c r="B684" s="976" t="s">
        <v>1743</v>
      </c>
      <c r="C684" s="957">
        <v>1960</v>
      </c>
      <c r="D684" s="957"/>
      <c r="E684" s="956" t="s">
        <v>220</v>
      </c>
      <c r="F684" s="957">
        <v>3</v>
      </c>
      <c r="G684" s="957">
        <v>2</v>
      </c>
      <c r="H684" s="973">
        <v>830.8</v>
      </c>
      <c r="I684" s="973">
        <v>756.5</v>
      </c>
      <c r="J684" s="973">
        <v>714.7</v>
      </c>
      <c r="K684" s="957">
        <v>26</v>
      </c>
      <c r="L684" s="965">
        <v>2716601.3400000003</v>
      </c>
      <c r="M684" s="974">
        <v>0</v>
      </c>
      <c r="N684" s="974">
        <v>0</v>
      </c>
      <c r="O684" s="963">
        <f t="shared" si="123"/>
        <v>2716601.3400000003</v>
      </c>
      <c r="P684" s="974">
        <v>0</v>
      </c>
      <c r="Q684" s="974">
        <v>0</v>
      </c>
      <c r="R684" s="964">
        <v>2022</v>
      </c>
      <c r="S684" s="1006" t="s">
        <v>1383</v>
      </c>
      <c r="U684" s="967"/>
    </row>
    <row r="685" spans="1:21" ht="43.5" customHeight="1">
      <c r="A685" s="956">
        <v>161</v>
      </c>
      <c r="B685" s="976" t="s">
        <v>1769</v>
      </c>
      <c r="C685" s="957">
        <v>1936</v>
      </c>
      <c r="D685" s="957"/>
      <c r="E685" s="956" t="s">
        <v>218</v>
      </c>
      <c r="F685" s="957">
        <v>4</v>
      </c>
      <c r="G685" s="957">
        <v>4</v>
      </c>
      <c r="H685" s="973">
        <v>5021.7</v>
      </c>
      <c r="I685" s="973">
        <v>4620.5</v>
      </c>
      <c r="J685" s="973">
        <v>1855.7</v>
      </c>
      <c r="K685" s="957">
        <v>150</v>
      </c>
      <c r="L685" s="965">
        <v>158366868.72</v>
      </c>
      <c r="M685" s="974">
        <v>0</v>
      </c>
      <c r="N685" s="974">
        <v>0</v>
      </c>
      <c r="O685" s="1033">
        <v>158366868.72</v>
      </c>
      <c r="P685" s="974">
        <v>0</v>
      </c>
      <c r="Q685" s="974">
        <v>0</v>
      </c>
      <c r="R685" s="964">
        <v>2022</v>
      </c>
      <c r="S685" s="1006" t="s">
        <v>1387</v>
      </c>
      <c r="U685" s="967"/>
    </row>
    <row r="686" spans="1:21" ht="44.45" customHeight="1">
      <c r="A686" s="1172" t="s">
        <v>2053</v>
      </c>
      <c r="B686" s="1173"/>
      <c r="C686" s="1173"/>
      <c r="D686" s="1173"/>
      <c r="E686" s="1173"/>
      <c r="F686" s="1173"/>
      <c r="G686" s="1174"/>
      <c r="H686" s="963">
        <f>SUM(H687:H727)</f>
        <v>43635.510000000017</v>
      </c>
      <c r="I686" s="963">
        <f t="shared" ref="I686:P686" si="124">SUM(I687:I727)</f>
        <v>41263.280000000006</v>
      </c>
      <c r="J686" s="963">
        <f t="shared" si="124"/>
        <v>30398.229999999996</v>
      </c>
      <c r="K686" s="977">
        <f t="shared" si="124"/>
        <v>1603</v>
      </c>
      <c r="L686" s="965">
        <f t="shared" si="124"/>
        <v>84862777.410000011</v>
      </c>
      <c r="M686" s="963">
        <f t="shared" si="124"/>
        <v>0</v>
      </c>
      <c r="N686" s="963">
        <f t="shared" si="124"/>
        <v>0</v>
      </c>
      <c r="O686" s="963">
        <f t="shared" si="124"/>
        <v>84862777.410000011</v>
      </c>
      <c r="P686" s="963">
        <f t="shared" si="124"/>
        <v>0</v>
      </c>
      <c r="Q686" s="963">
        <f>SUM(Q687:Q727)</f>
        <v>0</v>
      </c>
      <c r="R686" s="968" t="s">
        <v>40</v>
      </c>
      <c r="S686" s="968" t="s">
        <v>40</v>
      </c>
      <c r="U686" s="967"/>
    </row>
    <row r="687" spans="1:21" ht="42.6" customHeight="1">
      <c r="A687" s="956">
        <v>162</v>
      </c>
      <c r="B687" s="976" t="s">
        <v>1612</v>
      </c>
      <c r="C687" s="956">
        <v>1956</v>
      </c>
      <c r="D687" s="956"/>
      <c r="E687" s="956" t="s">
        <v>218</v>
      </c>
      <c r="F687" s="956">
        <v>2</v>
      </c>
      <c r="G687" s="956">
        <v>2</v>
      </c>
      <c r="H687" s="963">
        <v>649.6</v>
      </c>
      <c r="I687" s="963">
        <v>578.5</v>
      </c>
      <c r="J687" s="963">
        <v>524.79999999999995</v>
      </c>
      <c r="K687" s="956">
        <v>23</v>
      </c>
      <c r="L687" s="965">
        <v>224043.26</v>
      </c>
      <c r="M687" s="974">
        <v>0</v>
      </c>
      <c r="N687" s="974">
        <v>0</v>
      </c>
      <c r="O687" s="963">
        <f>L687</f>
        <v>224043.26</v>
      </c>
      <c r="P687" s="974">
        <v>0</v>
      </c>
      <c r="Q687" s="974">
        <v>0</v>
      </c>
      <c r="R687" s="956">
        <v>2018</v>
      </c>
      <c r="S687" s="956">
        <v>2023</v>
      </c>
      <c r="U687" s="967"/>
    </row>
    <row r="688" spans="1:21" ht="40.9" customHeight="1">
      <c r="A688" s="956">
        <v>163</v>
      </c>
      <c r="B688" s="976" t="s">
        <v>1613</v>
      </c>
      <c r="C688" s="956">
        <v>1961</v>
      </c>
      <c r="D688" s="956"/>
      <c r="E688" s="956" t="s">
        <v>218</v>
      </c>
      <c r="F688" s="956">
        <v>2</v>
      </c>
      <c r="G688" s="956">
        <v>2</v>
      </c>
      <c r="H688" s="963">
        <v>850.8</v>
      </c>
      <c r="I688" s="963">
        <v>850.8</v>
      </c>
      <c r="J688" s="963">
        <v>614.4</v>
      </c>
      <c r="K688" s="956">
        <v>19</v>
      </c>
      <c r="L688" s="965">
        <v>1749322.01</v>
      </c>
      <c r="M688" s="974">
        <v>0</v>
      </c>
      <c r="N688" s="974">
        <v>0</v>
      </c>
      <c r="O688" s="963">
        <v>1749322.01</v>
      </c>
      <c r="P688" s="974">
        <v>0</v>
      </c>
      <c r="Q688" s="974">
        <v>0</v>
      </c>
      <c r="R688" s="956">
        <v>2018</v>
      </c>
      <c r="S688" s="956">
        <v>2023</v>
      </c>
      <c r="U688" s="967"/>
    </row>
    <row r="689" spans="1:21" ht="39" customHeight="1">
      <c r="A689" s="956">
        <v>164</v>
      </c>
      <c r="B689" s="976" t="s">
        <v>1614</v>
      </c>
      <c r="C689" s="956">
        <v>1961</v>
      </c>
      <c r="D689" s="956"/>
      <c r="E689" s="956" t="s">
        <v>218</v>
      </c>
      <c r="F689" s="956">
        <v>3</v>
      </c>
      <c r="G689" s="956">
        <v>3</v>
      </c>
      <c r="H689" s="963">
        <v>2371.6999999999998</v>
      </c>
      <c r="I689" s="963">
        <v>1184</v>
      </c>
      <c r="J689" s="963">
        <v>219.3</v>
      </c>
      <c r="K689" s="956">
        <v>50</v>
      </c>
      <c r="L689" s="965">
        <v>5408489.0199999996</v>
      </c>
      <c r="M689" s="974">
        <v>0</v>
      </c>
      <c r="N689" s="974">
        <v>0</v>
      </c>
      <c r="O689" s="963">
        <v>5408489.0199999996</v>
      </c>
      <c r="P689" s="974">
        <v>0</v>
      </c>
      <c r="Q689" s="974">
        <v>0</v>
      </c>
      <c r="R689" s="956">
        <v>2018</v>
      </c>
      <c r="S689" s="956">
        <v>2023</v>
      </c>
      <c r="U689" s="967"/>
    </row>
    <row r="690" spans="1:21" ht="40.9" customHeight="1">
      <c r="A690" s="956">
        <v>165</v>
      </c>
      <c r="B690" s="976" t="s">
        <v>1615</v>
      </c>
      <c r="C690" s="956">
        <v>1928</v>
      </c>
      <c r="D690" s="956"/>
      <c r="E690" s="956" t="s">
        <v>218</v>
      </c>
      <c r="F690" s="956">
        <v>3</v>
      </c>
      <c r="G690" s="956">
        <v>2</v>
      </c>
      <c r="H690" s="963">
        <v>1491.5</v>
      </c>
      <c r="I690" s="963">
        <v>1274.9000000000001</v>
      </c>
      <c r="J690" s="963">
        <v>1274.9000000000001</v>
      </c>
      <c r="K690" s="956">
        <v>11</v>
      </c>
      <c r="L690" s="965">
        <v>1160547.82</v>
      </c>
      <c r="M690" s="974">
        <v>0</v>
      </c>
      <c r="N690" s="974">
        <v>0</v>
      </c>
      <c r="O690" s="963">
        <v>1160547.82</v>
      </c>
      <c r="P690" s="974">
        <v>0</v>
      </c>
      <c r="Q690" s="974">
        <v>0</v>
      </c>
      <c r="R690" s="956">
        <v>2018</v>
      </c>
      <c r="S690" s="956">
        <v>2023</v>
      </c>
      <c r="U690" s="967"/>
    </row>
    <row r="691" spans="1:21" ht="52.5" customHeight="1">
      <c r="A691" s="956">
        <v>166</v>
      </c>
      <c r="B691" s="976" t="s">
        <v>692</v>
      </c>
      <c r="C691" s="956">
        <v>1960</v>
      </c>
      <c r="D691" s="956"/>
      <c r="E691" s="956" t="s">
        <v>218</v>
      </c>
      <c r="F691" s="956">
        <v>2</v>
      </c>
      <c r="G691" s="956">
        <v>3</v>
      </c>
      <c r="H691" s="963">
        <v>489.41</v>
      </c>
      <c r="I691" s="963">
        <v>489.41</v>
      </c>
      <c r="J691" s="963">
        <v>317</v>
      </c>
      <c r="K691" s="956">
        <v>19</v>
      </c>
      <c r="L691" s="965">
        <v>1865650.45</v>
      </c>
      <c r="M691" s="974">
        <v>0</v>
      </c>
      <c r="N691" s="974">
        <v>0</v>
      </c>
      <c r="O691" s="963">
        <v>1865650.45</v>
      </c>
      <c r="P691" s="974">
        <v>0</v>
      </c>
      <c r="Q691" s="974">
        <v>0</v>
      </c>
      <c r="R691" s="956">
        <v>2018</v>
      </c>
      <c r="S691" s="1006" t="s">
        <v>1387</v>
      </c>
      <c r="U691" s="967"/>
    </row>
    <row r="692" spans="1:21" ht="58.5" customHeight="1">
      <c r="A692" s="956">
        <v>167</v>
      </c>
      <c r="B692" s="976" t="s">
        <v>805</v>
      </c>
      <c r="C692" s="956">
        <v>1955</v>
      </c>
      <c r="D692" s="956"/>
      <c r="E692" s="956" t="s">
        <v>218</v>
      </c>
      <c r="F692" s="956">
        <v>2</v>
      </c>
      <c r="G692" s="956">
        <v>2</v>
      </c>
      <c r="H692" s="963">
        <v>386.6</v>
      </c>
      <c r="I692" s="963">
        <v>364.6</v>
      </c>
      <c r="J692" s="963">
        <v>324.3</v>
      </c>
      <c r="K692" s="956">
        <v>19</v>
      </c>
      <c r="L692" s="965">
        <v>1738322.13</v>
      </c>
      <c r="M692" s="974">
        <v>0</v>
      </c>
      <c r="N692" s="974">
        <v>0</v>
      </c>
      <c r="O692" s="963">
        <v>1738322.13</v>
      </c>
      <c r="P692" s="974">
        <v>0</v>
      </c>
      <c r="Q692" s="974">
        <v>0</v>
      </c>
      <c r="R692" s="956">
        <v>2018</v>
      </c>
      <c r="S692" s="1006" t="s">
        <v>1387</v>
      </c>
      <c r="U692" s="967"/>
    </row>
    <row r="693" spans="1:21" ht="40.9" customHeight="1">
      <c r="A693" s="956">
        <v>168</v>
      </c>
      <c r="B693" s="976" t="s">
        <v>1861</v>
      </c>
      <c r="C693" s="956">
        <v>1959</v>
      </c>
      <c r="D693" s="956"/>
      <c r="E693" s="956" t="s">
        <v>218</v>
      </c>
      <c r="F693" s="956">
        <v>2</v>
      </c>
      <c r="G693" s="956">
        <v>1</v>
      </c>
      <c r="H693" s="963">
        <v>280</v>
      </c>
      <c r="I693" s="963">
        <v>263.10000000000002</v>
      </c>
      <c r="J693" s="963">
        <v>205.14</v>
      </c>
      <c r="K693" s="956">
        <v>17</v>
      </c>
      <c r="L693" s="965">
        <v>58288</v>
      </c>
      <c r="M693" s="974">
        <v>0</v>
      </c>
      <c r="N693" s="974">
        <v>0</v>
      </c>
      <c r="O693" s="963">
        <v>58288</v>
      </c>
      <c r="P693" s="974">
        <v>0</v>
      </c>
      <c r="Q693" s="974">
        <v>0</v>
      </c>
      <c r="R693" s="956">
        <v>2019</v>
      </c>
      <c r="S693" s="1006" t="s">
        <v>1387</v>
      </c>
      <c r="U693" s="967"/>
    </row>
    <row r="694" spans="1:21" ht="59.25" customHeight="1">
      <c r="A694" s="956">
        <v>169</v>
      </c>
      <c r="B694" s="976" t="s">
        <v>1616</v>
      </c>
      <c r="C694" s="956">
        <v>1949</v>
      </c>
      <c r="D694" s="956"/>
      <c r="E694" s="956" t="s">
        <v>222</v>
      </c>
      <c r="F694" s="956">
        <v>2</v>
      </c>
      <c r="G694" s="956">
        <v>2</v>
      </c>
      <c r="H694" s="963">
        <v>408.3</v>
      </c>
      <c r="I694" s="963">
        <v>408.3</v>
      </c>
      <c r="J694" s="963">
        <v>408.3</v>
      </c>
      <c r="K694" s="956">
        <v>20</v>
      </c>
      <c r="L694" s="965">
        <v>64243</v>
      </c>
      <c r="M694" s="974">
        <v>0</v>
      </c>
      <c r="N694" s="974">
        <v>0</v>
      </c>
      <c r="O694" s="963">
        <v>64243</v>
      </c>
      <c r="P694" s="974">
        <v>0</v>
      </c>
      <c r="Q694" s="974">
        <v>0</v>
      </c>
      <c r="R694" s="956">
        <v>2019</v>
      </c>
      <c r="S694" s="1006" t="s">
        <v>1387</v>
      </c>
      <c r="U694" s="967"/>
    </row>
    <row r="695" spans="1:21" ht="68.25" customHeight="1">
      <c r="A695" s="956">
        <v>170</v>
      </c>
      <c r="B695" s="976" t="s">
        <v>1981</v>
      </c>
      <c r="C695" s="956">
        <v>1966</v>
      </c>
      <c r="D695" s="956"/>
      <c r="E695" s="956" t="s">
        <v>218</v>
      </c>
      <c r="F695" s="956">
        <v>2</v>
      </c>
      <c r="G695" s="956">
        <v>2</v>
      </c>
      <c r="H695" s="1034">
        <v>462.9</v>
      </c>
      <c r="I695" s="1034">
        <v>455.9</v>
      </c>
      <c r="J695" s="1034">
        <v>455.9</v>
      </c>
      <c r="K695" s="956">
        <v>30</v>
      </c>
      <c r="L695" s="965">
        <v>1803468.71</v>
      </c>
      <c r="M695" s="974">
        <v>0</v>
      </c>
      <c r="N695" s="974">
        <v>0</v>
      </c>
      <c r="O695" s="963">
        <v>1803468.71</v>
      </c>
      <c r="P695" s="974">
        <v>0</v>
      </c>
      <c r="Q695" s="974">
        <v>0</v>
      </c>
      <c r="R695" s="956">
        <v>2020</v>
      </c>
      <c r="S695" s="956">
        <v>2023</v>
      </c>
      <c r="U695" s="967"/>
    </row>
    <row r="696" spans="1:21" ht="53.25" customHeight="1">
      <c r="A696" s="956">
        <v>171</v>
      </c>
      <c r="B696" s="976" t="s">
        <v>1982</v>
      </c>
      <c r="C696" s="956">
        <v>1962</v>
      </c>
      <c r="D696" s="956"/>
      <c r="E696" s="956" t="s">
        <v>218</v>
      </c>
      <c r="F696" s="956">
        <v>2</v>
      </c>
      <c r="G696" s="956">
        <v>2</v>
      </c>
      <c r="H696" s="1034">
        <v>499.3</v>
      </c>
      <c r="I696" s="1034">
        <v>468.5</v>
      </c>
      <c r="J696" s="1034">
        <v>468.5</v>
      </c>
      <c r="K696" s="956">
        <v>16</v>
      </c>
      <c r="L696" s="965">
        <v>3257636</v>
      </c>
      <c r="M696" s="974">
        <v>0</v>
      </c>
      <c r="N696" s="974">
        <v>0</v>
      </c>
      <c r="O696" s="963">
        <v>3257636</v>
      </c>
      <c r="P696" s="974">
        <v>0</v>
      </c>
      <c r="Q696" s="974">
        <v>0</v>
      </c>
      <c r="R696" s="956">
        <v>2020</v>
      </c>
      <c r="S696" s="1006" t="s">
        <v>1387</v>
      </c>
      <c r="U696" s="967"/>
    </row>
    <row r="697" spans="1:21" ht="53.25" customHeight="1">
      <c r="A697" s="956">
        <v>172</v>
      </c>
      <c r="B697" s="1035" t="s">
        <v>1983</v>
      </c>
      <c r="C697" s="956">
        <v>1976</v>
      </c>
      <c r="D697" s="956"/>
      <c r="E697" s="956" t="s">
        <v>218</v>
      </c>
      <c r="F697" s="956">
        <v>3</v>
      </c>
      <c r="G697" s="956">
        <v>2</v>
      </c>
      <c r="H697" s="1034">
        <v>1155</v>
      </c>
      <c r="I697" s="1034">
        <v>1081.8</v>
      </c>
      <c r="J697" s="1034">
        <v>1081.8</v>
      </c>
      <c r="K697" s="956">
        <v>27</v>
      </c>
      <c r="L697" s="965">
        <v>2804286.73</v>
      </c>
      <c r="M697" s="974">
        <v>0</v>
      </c>
      <c r="N697" s="974">
        <v>0</v>
      </c>
      <c r="O697" s="963">
        <v>2804286.73</v>
      </c>
      <c r="P697" s="974">
        <v>0</v>
      </c>
      <c r="Q697" s="974">
        <v>0</v>
      </c>
      <c r="R697" s="956">
        <v>2020</v>
      </c>
      <c r="S697" s="1006" t="s">
        <v>1387</v>
      </c>
      <c r="U697" s="967"/>
    </row>
    <row r="698" spans="1:21" ht="53.25" customHeight="1">
      <c r="A698" s="956">
        <v>173</v>
      </c>
      <c r="B698" s="976" t="s">
        <v>1984</v>
      </c>
      <c r="C698" s="956">
        <v>1972</v>
      </c>
      <c r="D698" s="956"/>
      <c r="E698" s="956" t="s">
        <v>218</v>
      </c>
      <c r="F698" s="956">
        <v>2</v>
      </c>
      <c r="G698" s="956">
        <v>2</v>
      </c>
      <c r="H698" s="1034">
        <v>547</v>
      </c>
      <c r="I698" s="1034">
        <v>522</v>
      </c>
      <c r="J698" s="1034">
        <v>522</v>
      </c>
      <c r="K698" s="956">
        <v>22</v>
      </c>
      <c r="L698" s="965">
        <v>1224618.1599999999</v>
      </c>
      <c r="M698" s="974">
        <v>0</v>
      </c>
      <c r="N698" s="974">
        <v>0</v>
      </c>
      <c r="O698" s="963">
        <v>1224618.1599999999</v>
      </c>
      <c r="P698" s="974">
        <v>0</v>
      </c>
      <c r="Q698" s="974">
        <v>0</v>
      </c>
      <c r="R698" s="956">
        <v>2020</v>
      </c>
      <c r="S698" s="1006" t="s">
        <v>1387</v>
      </c>
      <c r="U698" s="967"/>
    </row>
    <row r="699" spans="1:21" ht="53.25" customHeight="1">
      <c r="A699" s="956">
        <v>174</v>
      </c>
      <c r="B699" s="976" t="s">
        <v>1617</v>
      </c>
      <c r="C699" s="956">
        <v>1993</v>
      </c>
      <c r="D699" s="956"/>
      <c r="E699" s="956" t="s">
        <v>218</v>
      </c>
      <c r="F699" s="956">
        <v>2</v>
      </c>
      <c r="G699" s="956">
        <v>3</v>
      </c>
      <c r="H699" s="1034">
        <v>849.5</v>
      </c>
      <c r="I699" s="1034">
        <v>849.5</v>
      </c>
      <c r="J699" s="1034">
        <v>849.5</v>
      </c>
      <c r="K699" s="956">
        <v>41</v>
      </c>
      <c r="L699" s="965">
        <v>2175800.35</v>
      </c>
      <c r="M699" s="974">
        <v>0</v>
      </c>
      <c r="N699" s="974">
        <v>0</v>
      </c>
      <c r="O699" s="963">
        <v>2175800.35</v>
      </c>
      <c r="P699" s="974">
        <v>0</v>
      </c>
      <c r="Q699" s="974">
        <v>0</v>
      </c>
      <c r="R699" s="956">
        <v>2020</v>
      </c>
      <c r="S699" s="1006" t="s">
        <v>1387</v>
      </c>
      <c r="U699" s="967"/>
    </row>
    <row r="700" spans="1:21" ht="53.25" customHeight="1">
      <c r="A700" s="956">
        <v>175</v>
      </c>
      <c r="B700" s="976" t="s">
        <v>1985</v>
      </c>
      <c r="C700" s="956">
        <v>1981</v>
      </c>
      <c r="D700" s="956"/>
      <c r="E700" s="956" t="s">
        <v>218</v>
      </c>
      <c r="F700" s="956">
        <v>2</v>
      </c>
      <c r="G700" s="956">
        <v>3</v>
      </c>
      <c r="H700" s="963">
        <v>987.2</v>
      </c>
      <c r="I700" s="963">
        <v>900.2</v>
      </c>
      <c r="J700" s="963">
        <v>587.6</v>
      </c>
      <c r="K700" s="956">
        <v>44</v>
      </c>
      <c r="L700" s="965">
        <v>836011.03</v>
      </c>
      <c r="M700" s="974">
        <v>0</v>
      </c>
      <c r="N700" s="974">
        <v>0</v>
      </c>
      <c r="O700" s="963">
        <v>836011.03</v>
      </c>
      <c r="P700" s="974">
        <v>0</v>
      </c>
      <c r="Q700" s="974">
        <v>0</v>
      </c>
      <c r="R700" s="956">
        <v>2020</v>
      </c>
      <c r="S700" s="1006" t="s">
        <v>1387</v>
      </c>
      <c r="U700" s="967"/>
    </row>
    <row r="701" spans="1:21" ht="53.25" customHeight="1">
      <c r="A701" s="956">
        <v>176</v>
      </c>
      <c r="B701" s="976" t="s">
        <v>2094</v>
      </c>
      <c r="C701" s="993">
        <v>1931</v>
      </c>
      <c r="D701" s="993"/>
      <c r="E701" s="993" t="s">
        <v>221</v>
      </c>
      <c r="F701" s="993">
        <v>1</v>
      </c>
      <c r="G701" s="993">
        <v>3</v>
      </c>
      <c r="H701" s="994">
        <v>265.10000000000002</v>
      </c>
      <c r="I701" s="994">
        <v>265.10000000000002</v>
      </c>
      <c r="J701" s="994">
        <v>226.7</v>
      </c>
      <c r="K701" s="993">
        <v>13</v>
      </c>
      <c r="L701" s="1036">
        <v>1534866.98</v>
      </c>
      <c r="M701" s="1063">
        <v>0</v>
      </c>
      <c r="N701" s="1037">
        <v>0</v>
      </c>
      <c r="O701" s="1036">
        <v>1534866.98</v>
      </c>
      <c r="P701" s="1037">
        <v>0</v>
      </c>
      <c r="Q701" s="1037">
        <v>0</v>
      </c>
      <c r="R701" s="993">
        <v>2020</v>
      </c>
      <c r="S701" s="1006" t="s">
        <v>1387</v>
      </c>
      <c r="U701" s="967"/>
    </row>
    <row r="702" spans="1:21" ht="53.25" customHeight="1">
      <c r="A702" s="956">
        <v>177</v>
      </c>
      <c r="B702" s="976" t="s">
        <v>1618</v>
      </c>
      <c r="C702" s="956">
        <v>1972</v>
      </c>
      <c r="D702" s="956"/>
      <c r="E702" s="956" t="s">
        <v>218</v>
      </c>
      <c r="F702" s="956">
        <v>5</v>
      </c>
      <c r="G702" s="956">
        <v>4</v>
      </c>
      <c r="H702" s="963">
        <v>3463.7</v>
      </c>
      <c r="I702" s="963">
        <v>3463.7</v>
      </c>
      <c r="J702" s="963">
        <v>3242.1</v>
      </c>
      <c r="K702" s="956">
        <v>108</v>
      </c>
      <c r="L702" s="965">
        <v>4303305.09</v>
      </c>
      <c r="M702" s="974">
        <v>0</v>
      </c>
      <c r="N702" s="974">
        <v>0</v>
      </c>
      <c r="O702" s="963">
        <v>4303305.09</v>
      </c>
      <c r="P702" s="974">
        <v>0</v>
      </c>
      <c r="Q702" s="974">
        <v>0</v>
      </c>
      <c r="R702" s="956">
        <v>2020</v>
      </c>
      <c r="S702" s="1006" t="s">
        <v>1387</v>
      </c>
      <c r="U702" s="967"/>
    </row>
    <row r="703" spans="1:21" ht="53.25" customHeight="1">
      <c r="A703" s="956">
        <v>178</v>
      </c>
      <c r="B703" s="976" t="s">
        <v>1074</v>
      </c>
      <c r="C703" s="956">
        <v>1967</v>
      </c>
      <c r="D703" s="956"/>
      <c r="E703" s="956" t="s">
        <v>221</v>
      </c>
      <c r="F703" s="956">
        <v>1</v>
      </c>
      <c r="G703" s="956">
        <v>2</v>
      </c>
      <c r="H703" s="963">
        <v>199.8</v>
      </c>
      <c r="I703" s="963">
        <v>199.8</v>
      </c>
      <c r="J703" s="963">
        <v>193</v>
      </c>
      <c r="K703" s="956">
        <v>16</v>
      </c>
      <c r="L703" s="965">
        <v>1726920.3</v>
      </c>
      <c r="M703" s="974">
        <v>0</v>
      </c>
      <c r="N703" s="974">
        <v>0</v>
      </c>
      <c r="O703" s="963">
        <v>1726920.3</v>
      </c>
      <c r="P703" s="974">
        <v>0</v>
      </c>
      <c r="Q703" s="974">
        <v>0</v>
      </c>
      <c r="R703" s="956">
        <v>2020</v>
      </c>
      <c r="S703" s="1006" t="s">
        <v>1387</v>
      </c>
      <c r="U703" s="967"/>
    </row>
    <row r="704" spans="1:21" ht="53.25" customHeight="1">
      <c r="A704" s="956">
        <v>179</v>
      </c>
      <c r="B704" s="976" t="s">
        <v>1619</v>
      </c>
      <c r="C704" s="956" t="s">
        <v>190</v>
      </c>
      <c r="D704" s="956"/>
      <c r="E704" s="956" t="s">
        <v>218</v>
      </c>
      <c r="F704" s="956">
        <v>3</v>
      </c>
      <c r="G704" s="956">
        <v>2</v>
      </c>
      <c r="H704" s="963">
        <v>626.29999999999995</v>
      </c>
      <c r="I704" s="963">
        <v>626.29999999999995</v>
      </c>
      <c r="J704" s="963">
        <v>444.8</v>
      </c>
      <c r="K704" s="956">
        <v>18</v>
      </c>
      <c r="L704" s="965">
        <v>1591955.51</v>
      </c>
      <c r="M704" s="974">
        <v>0</v>
      </c>
      <c r="N704" s="974">
        <v>0</v>
      </c>
      <c r="O704" s="963">
        <v>1591955.51</v>
      </c>
      <c r="P704" s="974">
        <v>0</v>
      </c>
      <c r="Q704" s="974">
        <v>0</v>
      </c>
      <c r="R704" s="956">
        <v>2020</v>
      </c>
      <c r="S704" s="1006" t="s">
        <v>1387</v>
      </c>
      <c r="U704" s="967"/>
    </row>
    <row r="705" spans="1:21" ht="53.25" customHeight="1">
      <c r="A705" s="956">
        <v>180</v>
      </c>
      <c r="B705" s="976" t="s">
        <v>2129</v>
      </c>
      <c r="C705" s="956">
        <v>1958</v>
      </c>
      <c r="D705" s="956"/>
      <c r="E705" s="956" t="s">
        <v>221</v>
      </c>
      <c r="F705" s="956">
        <v>2</v>
      </c>
      <c r="G705" s="956">
        <v>3</v>
      </c>
      <c r="H705" s="963">
        <v>445</v>
      </c>
      <c r="I705" s="963">
        <v>445</v>
      </c>
      <c r="J705" s="963">
        <v>393.8</v>
      </c>
      <c r="K705" s="956">
        <v>23</v>
      </c>
      <c r="L705" s="965">
        <v>60901</v>
      </c>
      <c r="M705" s="974">
        <v>0</v>
      </c>
      <c r="N705" s="974">
        <v>0</v>
      </c>
      <c r="O705" s="963">
        <v>60901</v>
      </c>
      <c r="P705" s="974">
        <v>0</v>
      </c>
      <c r="Q705" s="974">
        <v>0</v>
      </c>
      <c r="R705" s="956">
        <v>2020</v>
      </c>
      <c r="S705" s="956">
        <v>2023</v>
      </c>
      <c r="U705" s="967"/>
    </row>
    <row r="706" spans="1:21" ht="53.25" customHeight="1">
      <c r="A706" s="956">
        <v>181</v>
      </c>
      <c r="B706" s="976" t="s">
        <v>1620</v>
      </c>
      <c r="C706" s="956" t="s">
        <v>190</v>
      </c>
      <c r="D706" s="956"/>
      <c r="E706" s="956" t="s">
        <v>218</v>
      </c>
      <c r="F706" s="956">
        <v>3</v>
      </c>
      <c r="G706" s="956">
        <v>3</v>
      </c>
      <c r="H706" s="963">
        <v>2020.3</v>
      </c>
      <c r="I706" s="963">
        <v>2020.3</v>
      </c>
      <c r="J706" s="963">
        <v>1435</v>
      </c>
      <c r="K706" s="956">
        <v>49</v>
      </c>
      <c r="L706" s="965">
        <v>117262</v>
      </c>
      <c r="M706" s="974">
        <v>0</v>
      </c>
      <c r="N706" s="974">
        <v>0</v>
      </c>
      <c r="O706" s="963">
        <v>117262</v>
      </c>
      <c r="P706" s="974">
        <v>0</v>
      </c>
      <c r="Q706" s="974">
        <v>0</v>
      </c>
      <c r="R706" s="956">
        <v>2020</v>
      </c>
      <c r="S706" s="1006" t="s">
        <v>1387</v>
      </c>
      <c r="U706" s="967"/>
    </row>
    <row r="707" spans="1:21" ht="42" customHeight="1">
      <c r="A707" s="956">
        <v>182</v>
      </c>
      <c r="B707" s="976" t="s">
        <v>1621</v>
      </c>
      <c r="C707" s="956">
        <v>1979</v>
      </c>
      <c r="D707" s="956"/>
      <c r="E707" s="956" t="s">
        <v>218</v>
      </c>
      <c r="F707" s="956">
        <v>2</v>
      </c>
      <c r="G707" s="956">
        <v>1</v>
      </c>
      <c r="H707" s="963">
        <v>396.9</v>
      </c>
      <c r="I707" s="963">
        <v>396.9</v>
      </c>
      <c r="J707" s="963">
        <v>396.9</v>
      </c>
      <c r="K707" s="956">
        <v>27</v>
      </c>
      <c r="L707" s="965">
        <v>1074098.0900000001</v>
      </c>
      <c r="M707" s="974">
        <v>0</v>
      </c>
      <c r="N707" s="974">
        <v>0</v>
      </c>
      <c r="O707" s="963">
        <v>1074098.0900000001</v>
      </c>
      <c r="P707" s="974">
        <v>0</v>
      </c>
      <c r="Q707" s="974">
        <v>0</v>
      </c>
      <c r="R707" s="956">
        <v>2021</v>
      </c>
      <c r="S707" s="1006" t="s">
        <v>1387</v>
      </c>
      <c r="U707" s="967"/>
    </row>
    <row r="708" spans="1:21" ht="49.5" customHeight="1">
      <c r="A708" s="956">
        <v>183</v>
      </c>
      <c r="B708" s="1038" t="s">
        <v>1862</v>
      </c>
      <c r="C708" s="956">
        <v>1936</v>
      </c>
      <c r="D708" s="956"/>
      <c r="E708" s="956" t="s">
        <v>218</v>
      </c>
      <c r="F708" s="956">
        <v>3</v>
      </c>
      <c r="G708" s="956">
        <v>3</v>
      </c>
      <c r="H708" s="963">
        <v>1183.2</v>
      </c>
      <c r="I708" s="963">
        <v>1183.2</v>
      </c>
      <c r="J708" s="963">
        <v>1183.2</v>
      </c>
      <c r="K708" s="956">
        <v>63</v>
      </c>
      <c r="L708" s="965">
        <v>100468</v>
      </c>
      <c r="M708" s="974">
        <v>0</v>
      </c>
      <c r="N708" s="974">
        <v>0</v>
      </c>
      <c r="O708" s="963">
        <v>100468</v>
      </c>
      <c r="P708" s="974">
        <v>0</v>
      </c>
      <c r="Q708" s="974">
        <v>0</v>
      </c>
      <c r="R708" s="956">
        <v>2021</v>
      </c>
      <c r="S708" s="956">
        <v>2023</v>
      </c>
      <c r="U708" s="967"/>
    </row>
    <row r="709" spans="1:21" ht="51" customHeight="1">
      <c r="A709" s="956">
        <v>184</v>
      </c>
      <c r="B709" s="1038" t="s">
        <v>1081</v>
      </c>
      <c r="C709" s="956">
        <v>1926</v>
      </c>
      <c r="D709" s="956"/>
      <c r="E709" s="956" t="s">
        <v>221</v>
      </c>
      <c r="F709" s="956">
        <v>2</v>
      </c>
      <c r="G709" s="956">
        <v>2</v>
      </c>
      <c r="H709" s="963">
        <v>535</v>
      </c>
      <c r="I709" s="963">
        <v>535</v>
      </c>
      <c r="J709" s="963">
        <v>535</v>
      </c>
      <c r="K709" s="956">
        <v>18</v>
      </c>
      <c r="L709" s="965">
        <v>2659584.12</v>
      </c>
      <c r="M709" s="974">
        <v>0</v>
      </c>
      <c r="N709" s="974">
        <v>0</v>
      </c>
      <c r="O709" s="963">
        <v>2659584.12</v>
      </c>
      <c r="P709" s="974">
        <v>0</v>
      </c>
      <c r="Q709" s="974">
        <v>0</v>
      </c>
      <c r="R709" s="956">
        <v>2021</v>
      </c>
      <c r="S709" s="1006" t="s">
        <v>1387</v>
      </c>
      <c r="U709" s="967"/>
    </row>
    <row r="710" spans="1:21" ht="47.25" customHeight="1">
      <c r="A710" s="956">
        <v>185</v>
      </c>
      <c r="B710" s="976" t="s">
        <v>1194</v>
      </c>
      <c r="C710" s="956">
        <v>1951</v>
      </c>
      <c r="D710" s="956"/>
      <c r="E710" s="956" t="s">
        <v>221</v>
      </c>
      <c r="F710" s="956">
        <v>2</v>
      </c>
      <c r="G710" s="956">
        <v>2</v>
      </c>
      <c r="H710" s="963">
        <v>307.60000000000002</v>
      </c>
      <c r="I710" s="963">
        <v>307.60000000000002</v>
      </c>
      <c r="J710" s="963">
        <v>222.9</v>
      </c>
      <c r="K710" s="956">
        <v>15</v>
      </c>
      <c r="L710" s="965">
        <v>2152571.71</v>
      </c>
      <c r="M710" s="974">
        <v>0</v>
      </c>
      <c r="N710" s="974">
        <v>0</v>
      </c>
      <c r="O710" s="963">
        <v>2152571.71</v>
      </c>
      <c r="P710" s="974">
        <v>0</v>
      </c>
      <c r="Q710" s="974">
        <v>0</v>
      </c>
      <c r="R710" s="956">
        <v>2021</v>
      </c>
      <c r="S710" s="1006" t="s">
        <v>1387</v>
      </c>
      <c r="U710" s="967"/>
    </row>
    <row r="711" spans="1:21" ht="45.75" customHeight="1">
      <c r="A711" s="956">
        <v>186</v>
      </c>
      <c r="B711" s="976" t="s">
        <v>1193</v>
      </c>
      <c r="C711" s="956">
        <v>1937</v>
      </c>
      <c r="D711" s="956"/>
      <c r="E711" s="956" t="s">
        <v>221</v>
      </c>
      <c r="F711" s="956">
        <v>2</v>
      </c>
      <c r="G711" s="956">
        <v>1</v>
      </c>
      <c r="H711" s="963">
        <v>299.39999999999998</v>
      </c>
      <c r="I711" s="963">
        <v>299.39999999999998</v>
      </c>
      <c r="J711" s="963">
        <v>236.4</v>
      </c>
      <c r="K711" s="956">
        <v>18</v>
      </c>
      <c r="L711" s="965">
        <v>1810551.06</v>
      </c>
      <c r="M711" s="974">
        <v>0</v>
      </c>
      <c r="N711" s="974">
        <v>0</v>
      </c>
      <c r="O711" s="963">
        <v>1810551.06</v>
      </c>
      <c r="P711" s="974">
        <v>0</v>
      </c>
      <c r="Q711" s="974">
        <v>0</v>
      </c>
      <c r="R711" s="956">
        <v>2021</v>
      </c>
      <c r="S711" s="1006" t="s">
        <v>1387</v>
      </c>
      <c r="U711" s="967"/>
    </row>
    <row r="712" spans="1:21" ht="48" customHeight="1">
      <c r="A712" s="956">
        <v>187</v>
      </c>
      <c r="B712" s="976" t="s">
        <v>1986</v>
      </c>
      <c r="C712" s="956">
        <v>1970</v>
      </c>
      <c r="D712" s="956"/>
      <c r="E712" s="956" t="s">
        <v>218</v>
      </c>
      <c r="F712" s="956">
        <v>2</v>
      </c>
      <c r="G712" s="956">
        <v>1</v>
      </c>
      <c r="H712" s="963">
        <v>389.4</v>
      </c>
      <c r="I712" s="963">
        <v>355</v>
      </c>
      <c r="J712" s="963">
        <v>312.3</v>
      </c>
      <c r="K712" s="956">
        <v>25</v>
      </c>
      <c r="L712" s="965">
        <v>809195.26</v>
      </c>
      <c r="M712" s="974">
        <v>0</v>
      </c>
      <c r="N712" s="974">
        <v>0</v>
      </c>
      <c r="O712" s="963">
        <v>809195.26</v>
      </c>
      <c r="P712" s="974">
        <v>0</v>
      </c>
      <c r="Q712" s="974">
        <v>0</v>
      </c>
      <c r="R712" s="956">
        <v>2021</v>
      </c>
      <c r="S712" s="1006" t="s">
        <v>1387</v>
      </c>
      <c r="U712" s="967"/>
    </row>
    <row r="713" spans="1:21" ht="51" customHeight="1">
      <c r="A713" s="956">
        <v>188</v>
      </c>
      <c r="B713" s="976" t="s">
        <v>1987</v>
      </c>
      <c r="C713" s="956">
        <v>1970</v>
      </c>
      <c r="D713" s="956"/>
      <c r="E713" s="956" t="s">
        <v>218</v>
      </c>
      <c r="F713" s="956">
        <v>2</v>
      </c>
      <c r="G713" s="956">
        <v>2</v>
      </c>
      <c r="H713" s="963">
        <v>554.9</v>
      </c>
      <c r="I713" s="963">
        <v>506.5</v>
      </c>
      <c r="J713" s="963">
        <v>506.5</v>
      </c>
      <c r="K713" s="956">
        <v>24</v>
      </c>
      <c r="L713" s="965">
        <v>1230205.48</v>
      </c>
      <c r="M713" s="974">
        <v>0</v>
      </c>
      <c r="N713" s="974">
        <v>0</v>
      </c>
      <c r="O713" s="963">
        <v>1230205.48</v>
      </c>
      <c r="P713" s="974">
        <v>0</v>
      </c>
      <c r="Q713" s="974">
        <v>0</v>
      </c>
      <c r="R713" s="956">
        <v>2021</v>
      </c>
      <c r="S713" s="1006" t="s">
        <v>1387</v>
      </c>
      <c r="U713" s="967"/>
    </row>
    <row r="714" spans="1:21" ht="42" customHeight="1">
      <c r="A714" s="956">
        <v>189</v>
      </c>
      <c r="B714" s="976" t="s">
        <v>1195</v>
      </c>
      <c r="C714" s="956">
        <v>1964</v>
      </c>
      <c r="D714" s="956"/>
      <c r="E714" s="956" t="s">
        <v>218</v>
      </c>
      <c r="F714" s="956">
        <v>5</v>
      </c>
      <c r="G714" s="956">
        <v>4</v>
      </c>
      <c r="H714" s="963">
        <v>3839.6</v>
      </c>
      <c r="I714" s="963">
        <v>3839.6</v>
      </c>
      <c r="J714" s="963">
        <v>2615.9</v>
      </c>
      <c r="K714" s="956">
        <v>118</v>
      </c>
      <c r="L714" s="965">
        <v>3225221.36</v>
      </c>
      <c r="M714" s="974">
        <v>0</v>
      </c>
      <c r="N714" s="974">
        <v>0</v>
      </c>
      <c r="O714" s="963">
        <v>3225221.36</v>
      </c>
      <c r="P714" s="974">
        <v>0</v>
      </c>
      <c r="Q714" s="974">
        <v>0</v>
      </c>
      <c r="R714" s="956">
        <v>2021</v>
      </c>
      <c r="S714" s="1006" t="s">
        <v>1387</v>
      </c>
      <c r="U714" s="967"/>
    </row>
    <row r="715" spans="1:21" ht="48" customHeight="1">
      <c r="A715" s="956">
        <v>190</v>
      </c>
      <c r="B715" s="976" t="s">
        <v>1988</v>
      </c>
      <c r="C715" s="956">
        <v>1967</v>
      </c>
      <c r="D715" s="956"/>
      <c r="E715" s="956" t="s">
        <v>218</v>
      </c>
      <c r="F715" s="956">
        <v>2</v>
      </c>
      <c r="G715" s="956">
        <v>2</v>
      </c>
      <c r="H715" s="963">
        <v>505.8</v>
      </c>
      <c r="I715" s="963">
        <v>475</v>
      </c>
      <c r="J715" s="963">
        <v>432.2</v>
      </c>
      <c r="K715" s="956">
        <v>26</v>
      </c>
      <c r="L715" s="965">
        <v>3171577.41</v>
      </c>
      <c r="M715" s="974">
        <v>0</v>
      </c>
      <c r="N715" s="974">
        <v>0</v>
      </c>
      <c r="O715" s="963">
        <v>3171577.41</v>
      </c>
      <c r="P715" s="974">
        <v>0</v>
      </c>
      <c r="Q715" s="974">
        <v>0</v>
      </c>
      <c r="R715" s="956">
        <v>2021</v>
      </c>
      <c r="S715" s="1006" t="s">
        <v>1387</v>
      </c>
      <c r="U715" s="967"/>
    </row>
    <row r="716" spans="1:21" ht="40.9" customHeight="1">
      <c r="A716" s="956">
        <v>191</v>
      </c>
      <c r="B716" s="976" t="s">
        <v>1196</v>
      </c>
      <c r="C716" s="956">
        <v>1965</v>
      </c>
      <c r="D716" s="956"/>
      <c r="E716" s="956" t="s">
        <v>218</v>
      </c>
      <c r="F716" s="956">
        <v>5</v>
      </c>
      <c r="G716" s="956">
        <v>4</v>
      </c>
      <c r="H716" s="963">
        <v>2207</v>
      </c>
      <c r="I716" s="963">
        <v>2207</v>
      </c>
      <c r="J716" s="963">
        <v>2207</v>
      </c>
      <c r="K716" s="956">
        <v>109</v>
      </c>
      <c r="L716" s="965">
        <v>3391089.88</v>
      </c>
      <c r="M716" s="974">
        <v>0</v>
      </c>
      <c r="N716" s="974">
        <v>0</v>
      </c>
      <c r="O716" s="963">
        <v>3391089.88</v>
      </c>
      <c r="P716" s="974">
        <v>0</v>
      </c>
      <c r="Q716" s="974">
        <v>0</v>
      </c>
      <c r="R716" s="956">
        <v>2021</v>
      </c>
      <c r="S716" s="956">
        <v>2023</v>
      </c>
      <c r="U716" s="967"/>
    </row>
    <row r="717" spans="1:21" ht="40.15" customHeight="1">
      <c r="A717" s="956">
        <v>192</v>
      </c>
      <c r="B717" s="969" t="s">
        <v>1097</v>
      </c>
      <c r="C717" s="956">
        <v>1961</v>
      </c>
      <c r="D717" s="956"/>
      <c r="E717" s="956" t="s">
        <v>218</v>
      </c>
      <c r="F717" s="956">
        <v>3</v>
      </c>
      <c r="G717" s="956">
        <v>3</v>
      </c>
      <c r="H717" s="963">
        <v>1481.3</v>
      </c>
      <c r="I717" s="963">
        <v>1481.3</v>
      </c>
      <c r="J717" s="963">
        <v>1069.6400000000001</v>
      </c>
      <c r="K717" s="956">
        <v>56</v>
      </c>
      <c r="L717" s="965">
        <v>3498474.04</v>
      </c>
      <c r="M717" s="974">
        <v>0</v>
      </c>
      <c r="N717" s="974">
        <v>0</v>
      </c>
      <c r="O717" s="963">
        <v>3498474.04</v>
      </c>
      <c r="P717" s="974">
        <v>0</v>
      </c>
      <c r="Q717" s="974">
        <v>0</v>
      </c>
      <c r="R717" s="956">
        <v>2022</v>
      </c>
      <c r="S717" s="956">
        <v>2023</v>
      </c>
      <c r="U717" s="967"/>
    </row>
    <row r="718" spans="1:21" ht="40.15" customHeight="1">
      <c r="A718" s="956">
        <v>193</v>
      </c>
      <c r="B718" s="969" t="s">
        <v>1202</v>
      </c>
      <c r="C718" s="956">
        <v>1966</v>
      </c>
      <c r="D718" s="956"/>
      <c r="E718" s="956" t="s">
        <v>218</v>
      </c>
      <c r="F718" s="956">
        <v>5</v>
      </c>
      <c r="G718" s="956">
        <v>4</v>
      </c>
      <c r="H718" s="963">
        <v>3238.8</v>
      </c>
      <c r="I718" s="963">
        <v>3238.8</v>
      </c>
      <c r="J718" s="963">
        <v>2190.0700000000002</v>
      </c>
      <c r="K718" s="956">
        <v>135</v>
      </c>
      <c r="L718" s="965">
        <v>3480854.04</v>
      </c>
      <c r="M718" s="974">
        <v>0</v>
      </c>
      <c r="N718" s="974">
        <v>0</v>
      </c>
      <c r="O718" s="963">
        <v>3480854.04</v>
      </c>
      <c r="P718" s="974">
        <v>0</v>
      </c>
      <c r="Q718" s="974">
        <v>0</v>
      </c>
      <c r="R718" s="956">
        <v>2022</v>
      </c>
      <c r="S718" s="1006" t="s">
        <v>1387</v>
      </c>
      <c r="U718" s="967"/>
    </row>
    <row r="719" spans="1:21" ht="40.15" customHeight="1">
      <c r="A719" s="956">
        <v>194</v>
      </c>
      <c r="B719" s="969" t="s">
        <v>1622</v>
      </c>
      <c r="C719" s="956">
        <v>1931</v>
      </c>
      <c r="D719" s="956"/>
      <c r="E719" s="956" t="s">
        <v>218</v>
      </c>
      <c r="F719" s="956">
        <v>4</v>
      </c>
      <c r="G719" s="956">
        <v>6</v>
      </c>
      <c r="H719" s="963">
        <v>3183.9</v>
      </c>
      <c r="I719" s="963">
        <v>2757.87</v>
      </c>
      <c r="J719" s="963">
        <v>453.3</v>
      </c>
      <c r="K719" s="956">
        <v>110</v>
      </c>
      <c r="L719" s="965">
        <v>1441223.3</v>
      </c>
      <c r="M719" s="974">
        <v>0</v>
      </c>
      <c r="N719" s="974">
        <v>0</v>
      </c>
      <c r="O719" s="963">
        <v>1441223.3</v>
      </c>
      <c r="P719" s="974">
        <v>0</v>
      </c>
      <c r="Q719" s="974">
        <v>0</v>
      </c>
      <c r="R719" s="956">
        <v>2022</v>
      </c>
      <c r="S719" s="1006" t="s">
        <v>1387</v>
      </c>
      <c r="U719" s="967"/>
    </row>
    <row r="720" spans="1:21" ht="40.15" customHeight="1">
      <c r="A720" s="956">
        <v>195</v>
      </c>
      <c r="B720" s="969" t="s">
        <v>1888</v>
      </c>
      <c r="C720" s="956">
        <v>1961</v>
      </c>
      <c r="D720" s="956"/>
      <c r="E720" s="956" t="s">
        <v>218</v>
      </c>
      <c r="F720" s="956">
        <v>2</v>
      </c>
      <c r="G720" s="956">
        <v>2</v>
      </c>
      <c r="H720" s="963">
        <v>852</v>
      </c>
      <c r="I720" s="963">
        <v>852</v>
      </c>
      <c r="J720" s="963">
        <v>653.6</v>
      </c>
      <c r="K720" s="956">
        <v>22</v>
      </c>
      <c r="L720" s="965">
        <v>3837521.05</v>
      </c>
      <c r="M720" s="974">
        <v>0</v>
      </c>
      <c r="N720" s="974">
        <v>0</v>
      </c>
      <c r="O720" s="963">
        <v>3837521.05</v>
      </c>
      <c r="P720" s="974">
        <v>0</v>
      </c>
      <c r="Q720" s="974">
        <v>0</v>
      </c>
      <c r="R720" s="956">
        <v>2022</v>
      </c>
      <c r="S720" s="1006" t="s">
        <v>1387</v>
      </c>
      <c r="U720" s="967"/>
    </row>
    <row r="721" spans="1:21" ht="40.15" customHeight="1">
      <c r="A721" s="956">
        <v>196</v>
      </c>
      <c r="B721" s="969" t="s">
        <v>1204</v>
      </c>
      <c r="C721" s="956">
        <v>1963</v>
      </c>
      <c r="D721" s="956"/>
      <c r="E721" s="956" t="s">
        <v>218</v>
      </c>
      <c r="F721" s="956">
        <v>4</v>
      </c>
      <c r="G721" s="956">
        <v>4</v>
      </c>
      <c r="H721" s="963">
        <v>2548</v>
      </c>
      <c r="I721" s="963">
        <v>2548</v>
      </c>
      <c r="J721" s="963">
        <v>405.7</v>
      </c>
      <c r="K721" s="956">
        <v>98</v>
      </c>
      <c r="L721" s="965">
        <v>3339052.7</v>
      </c>
      <c r="M721" s="974">
        <v>0</v>
      </c>
      <c r="N721" s="974">
        <v>0</v>
      </c>
      <c r="O721" s="963">
        <v>3339052.7</v>
      </c>
      <c r="P721" s="974">
        <v>0</v>
      </c>
      <c r="Q721" s="974">
        <v>0</v>
      </c>
      <c r="R721" s="956">
        <v>2022</v>
      </c>
      <c r="S721" s="1006" t="s">
        <v>1387</v>
      </c>
      <c r="U721" s="967"/>
    </row>
    <row r="722" spans="1:21" ht="48.75" customHeight="1">
      <c r="A722" s="956">
        <v>197</v>
      </c>
      <c r="B722" s="969" t="s">
        <v>1098</v>
      </c>
      <c r="C722" s="956">
        <v>1925</v>
      </c>
      <c r="D722" s="956"/>
      <c r="E722" s="956" t="s">
        <v>221</v>
      </c>
      <c r="F722" s="956">
        <v>2</v>
      </c>
      <c r="G722" s="956">
        <v>2</v>
      </c>
      <c r="H722" s="963">
        <v>564.29999999999995</v>
      </c>
      <c r="I722" s="963">
        <v>564.29999999999995</v>
      </c>
      <c r="J722" s="963">
        <v>564.29999999999995</v>
      </c>
      <c r="K722" s="956">
        <v>17</v>
      </c>
      <c r="L722" s="965">
        <v>2878258.73</v>
      </c>
      <c r="M722" s="974">
        <v>0</v>
      </c>
      <c r="N722" s="974">
        <v>0</v>
      </c>
      <c r="O722" s="963">
        <v>2878258.73</v>
      </c>
      <c r="P722" s="974">
        <v>0</v>
      </c>
      <c r="Q722" s="974">
        <v>0</v>
      </c>
      <c r="R722" s="956">
        <v>2022</v>
      </c>
      <c r="S722" s="1006" t="s">
        <v>1387</v>
      </c>
      <c r="U722" s="967"/>
    </row>
    <row r="723" spans="1:21" ht="40.15" customHeight="1">
      <c r="A723" s="956">
        <v>198</v>
      </c>
      <c r="B723" s="969" t="s">
        <v>1219</v>
      </c>
      <c r="C723" s="956">
        <v>1918</v>
      </c>
      <c r="D723" s="956"/>
      <c r="E723" s="956" t="s">
        <v>218</v>
      </c>
      <c r="F723" s="956">
        <v>3</v>
      </c>
      <c r="G723" s="956">
        <v>3</v>
      </c>
      <c r="H723" s="963">
        <v>918.8</v>
      </c>
      <c r="I723" s="963">
        <v>918.8</v>
      </c>
      <c r="J723" s="963">
        <v>634.98</v>
      </c>
      <c r="K723" s="956">
        <v>45</v>
      </c>
      <c r="L723" s="965">
        <v>2345791.0299999998</v>
      </c>
      <c r="M723" s="974">
        <v>0</v>
      </c>
      <c r="N723" s="974">
        <v>0</v>
      </c>
      <c r="O723" s="963">
        <v>2345791.0299999998</v>
      </c>
      <c r="P723" s="974">
        <v>0</v>
      </c>
      <c r="Q723" s="974">
        <v>0</v>
      </c>
      <c r="R723" s="956">
        <v>2022</v>
      </c>
      <c r="S723" s="1006" t="s">
        <v>1387</v>
      </c>
      <c r="U723" s="967"/>
    </row>
    <row r="724" spans="1:21" ht="50.25" customHeight="1">
      <c r="A724" s="956">
        <v>199</v>
      </c>
      <c r="B724" s="969" t="s">
        <v>1989</v>
      </c>
      <c r="C724" s="956">
        <v>1971</v>
      </c>
      <c r="D724" s="956"/>
      <c r="E724" s="956" t="s">
        <v>218</v>
      </c>
      <c r="F724" s="956">
        <v>2</v>
      </c>
      <c r="G724" s="956">
        <v>2</v>
      </c>
      <c r="H724" s="963">
        <v>561.79999999999995</v>
      </c>
      <c r="I724" s="963">
        <v>511.8</v>
      </c>
      <c r="J724" s="963">
        <v>460.3</v>
      </c>
      <c r="K724" s="956">
        <v>22</v>
      </c>
      <c r="L724" s="965">
        <v>1223137.73</v>
      </c>
      <c r="M724" s="974">
        <v>0</v>
      </c>
      <c r="N724" s="974">
        <v>0</v>
      </c>
      <c r="O724" s="963">
        <v>1223137.73</v>
      </c>
      <c r="P724" s="974">
        <v>0</v>
      </c>
      <c r="Q724" s="974">
        <v>0</v>
      </c>
      <c r="R724" s="956">
        <v>2022</v>
      </c>
      <c r="S724" s="1006" t="s">
        <v>1387</v>
      </c>
      <c r="U724" s="967"/>
    </row>
    <row r="725" spans="1:21" ht="47.25" customHeight="1">
      <c r="A725" s="956">
        <v>200</v>
      </c>
      <c r="B725" s="976" t="s">
        <v>1233</v>
      </c>
      <c r="C725" s="956">
        <v>1891</v>
      </c>
      <c r="D725" s="956"/>
      <c r="E725" s="956" t="s">
        <v>221</v>
      </c>
      <c r="F725" s="956">
        <v>1</v>
      </c>
      <c r="G725" s="956">
        <v>7</v>
      </c>
      <c r="H725" s="963">
        <v>247</v>
      </c>
      <c r="I725" s="963">
        <v>247</v>
      </c>
      <c r="J725" s="963">
        <v>247</v>
      </c>
      <c r="K725" s="956">
        <v>16</v>
      </c>
      <c r="L725" s="965">
        <v>4258574.92</v>
      </c>
      <c r="M725" s="974">
        <v>0</v>
      </c>
      <c r="N725" s="974">
        <v>0</v>
      </c>
      <c r="O725" s="963">
        <v>4258574.92</v>
      </c>
      <c r="P725" s="974">
        <v>0</v>
      </c>
      <c r="Q725" s="974">
        <v>0</v>
      </c>
      <c r="R725" s="956">
        <v>2022</v>
      </c>
      <c r="S725" s="956">
        <v>2023</v>
      </c>
      <c r="U725" s="967"/>
    </row>
    <row r="726" spans="1:21" ht="53.25" customHeight="1">
      <c r="A726" s="956">
        <v>201</v>
      </c>
      <c r="B726" s="969" t="s">
        <v>1990</v>
      </c>
      <c r="C726" s="956">
        <v>1972</v>
      </c>
      <c r="D726" s="956"/>
      <c r="E726" s="956" t="s">
        <v>218</v>
      </c>
      <c r="F726" s="956">
        <v>2</v>
      </c>
      <c r="G726" s="956">
        <v>3</v>
      </c>
      <c r="H726" s="963">
        <v>958.5</v>
      </c>
      <c r="I726" s="963">
        <v>913.2</v>
      </c>
      <c r="J726" s="963">
        <v>868.9</v>
      </c>
      <c r="K726" s="956">
        <v>34</v>
      </c>
      <c r="L726" s="965">
        <v>5169049.95</v>
      </c>
      <c r="M726" s="974">
        <v>0</v>
      </c>
      <c r="N726" s="974">
        <v>0</v>
      </c>
      <c r="O726" s="963">
        <v>5169049.95</v>
      </c>
      <c r="P726" s="974">
        <v>0</v>
      </c>
      <c r="Q726" s="974">
        <v>0</v>
      </c>
      <c r="R726" s="956">
        <v>2022</v>
      </c>
      <c r="S726" s="1006" t="s">
        <v>1387</v>
      </c>
      <c r="U726" s="967"/>
    </row>
    <row r="727" spans="1:21" ht="40.15" customHeight="1">
      <c r="A727" s="956">
        <v>202</v>
      </c>
      <c r="B727" s="976" t="s">
        <v>1203</v>
      </c>
      <c r="C727" s="956">
        <v>1923</v>
      </c>
      <c r="D727" s="956"/>
      <c r="E727" s="956" t="s">
        <v>221</v>
      </c>
      <c r="F727" s="956">
        <v>2</v>
      </c>
      <c r="G727" s="956">
        <v>2</v>
      </c>
      <c r="H727" s="963">
        <v>413.3</v>
      </c>
      <c r="I727" s="963">
        <v>413.3</v>
      </c>
      <c r="J727" s="963">
        <v>413.3</v>
      </c>
      <c r="K727" s="956">
        <v>20</v>
      </c>
      <c r="L727" s="965">
        <v>60340</v>
      </c>
      <c r="M727" s="974">
        <v>0</v>
      </c>
      <c r="N727" s="974">
        <v>0</v>
      </c>
      <c r="O727" s="963">
        <v>60340</v>
      </c>
      <c r="P727" s="974">
        <v>0</v>
      </c>
      <c r="Q727" s="974">
        <v>0</v>
      </c>
      <c r="R727" s="956">
        <v>2022</v>
      </c>
      <c r="S727" s="962">
        <v>2023</v>
      </c>
      <c r="U727" s="967"/>
    </row>
    <row r="728" spans="1:21" ht="39" customHeight="1">
      <c r="A728" s="1172" t="s">
        <v>1186</v>
      </c>
      <c r="B728" s="1173"/>
      <c r="C728" s="1173"/>
      <c r="D728" s="1173"/>
      <c r="E728" s="1173"/>
      <c r="F728" s="1173"/>
      <c r="G728" s="1174"/>
      <c r="H728" s="963">
        <f t="shared" ref="H728:Q728" si="125">SUM(H729:H745)</f>
        <v>40938.6</v>
      </c>
      <c r="I728" s="963">
        <f t="shared" si="125"/>
        <v>32492.7</v>
      </c>
      <c r="J728" s="963">
        <f t="shared" si="125"/>
        <v>22829.09</v>
      </c>
      <c r="K728" s="977">
        <f t="shared" si="125"/>
        <v>1308</v>
      </c>
      <c r="L728" s="965">
        <f t="shared" si="125"/>
        <v>93075275.150850639</v>
      </c>
      <c r="M728" s="963">
        <f t="shared" si="125"/>
        <v>0</v>
      </c>
      <c r="N728" s="963">
        <f t="shared" si="125"/>
        <v>394000</v>
      </c>
      <c r="O728" s="963">
        <f t="shared" si="125"/>
        <v>92681275.150850639</v>
      </c>
      <c r="P728" s="963">
        <f t="shared" si="125"/>
        <v>0</v>
      </c>
      <c r="Q728" s="963">
        <f t="shared" si="125"/>
        <v>0</v>
      </c>
      <c r="R728" s="968" t="s">
        <v>40</v>
      </c>
      <c r="S728" s="968" t="s">
        <v>40</v>
      </c>
      <c r="U728" s="967"/>
    </row>
    <row r="729" spans="1:21" ht="39.6" customHeight="1">
      <c r="A729" s="956">
        <v>203</v>
      </c>
      <c r="B729" s="1039" t="s">
        <v>1180</v>
      </c>
      <c r="C729" s="956">
        <v>1949</v>
      </c>
      <c r="D729" s="956"/>
      <c r="E729" s="963" t="s">
        <v>218</v>
      </c>
      <c r="F729" s="956">
        <v>3</v>
      </c>
      <c r="G729" s="956">
        <v>3</v>
      </c>
      <c r="H729" s="978">
        <v>2081.1</v>
      </c>
      <c r="I729" s="978">
        <v>1851.9</v>
      </c>
      <c r="J729" s="978">
        <v>972.4</v>
      </c>
      <c r="K729" s="964">
        <v>21</v>
      </c>
      <c r="L729" s="965">
        <v>3525282.72</v>
      </c>
      <c r="M729" s="963">
        <v>0</v>
      </c>
      <c r="N729" s="963">
        <v>0</v>
      </c>
      <c r="O729" s="963">
        <f>L729</f>
        <v>3525282.72</v>
      </c>
      <c r="P729" s="973">
        <v>0</v>
      </c>
      <c r="Q729" s="978">
        <v>0</v>
      </c>
      <c r="R729" s="959">
        <v>2016</v>
      </c>
      <c r="S729" s="1006" t="s">
        <v>1387</v>
      </c>
      <c r="U729" s="967"/>
    </row>
    <row r="730" spans="1:21" ht="39.6" customHeight="1">
      <c r="A730" s="956">
        <v>204</v>
      </c>
      <c r="B730" s="986" t="s">
        <v>1181</v>
      </c>
      <c r="C730" s="956">
        <v>1956</v>
      </c>
      <c r="D730" s="956"/>
      <c r="E730" s="963" t="s">
        <v>218</v>
      </c>
      <c r="F730" s="956">
        <v>2</v>
      </c>
      <c r="G730" s="956">
        <v>2</v>
      </c>
      <c r="H730" s="978">
        <v>1147.5</v>
      </c>
      <c r="I730" s="978">
        <v>1088.5999999999999</v>
      </c>
      <c r="J730" s="978">
        <v>378.2</v>
      </c>
      <c r="K730" s="964">
        <v>28</v>
      </c>
      <c r="L730" s="965">
        <v>4196830.01</v>
      </c>
      <c r="M730" s="963">
        <v>0</v>
      </c>
      <c r="N730" s="963">
        <v>0</v>
      </c>
      <c r="O730" s="963">
        <f t="shared" ref="O730:O737" si="126">L730</f>
        <v>4196830.01</v>
      </c>
      <c r="P730" s="973">
        <v>0</v>
      </c>
      <c r="Q730" s="978">
        <v>0</v>
      </c>
      <c r="R730" s="959">
        <v>2016</v>
      </c>
      <c r="S730" s="959">
        <v>2023</v>
      </c>
      <c r="U730" s="967"/>
    </row>
    <row r="731" spans="1:21" ht="40.9" customHeight="1">
      <c r="A731" s="956">
        <v>205</v>
      </c>
      <c r="B731" s="986" t="s">
        <v>1779</v>
      </c>
      <c r="C731" s="956">
        <v>1963</v>
      </c>
      <c r="D731" s="956"/>
      <c r="E731" s="963" t="s">
        <v>218</v>
      </c>
      <c r="F731" s="956">
        <v>4</v>
      </c>
      <c r="G731" s="956">
        <v>3</v>
      </c>
      <c r="H731" s="978">
        <v>2682.4</v>
      </c>
      <c r="I731" s="978">
        <v>1997.5</v>
      </c>
      <c r="J731" s="978">
        <v>1997.5</v>
      </c>
      <c r="K731" s="964">
        <v>97</v>
      </c>
      <c r="L731" s="965">
        <v>4615004.63</v>
      </c>
      <c r="M731" s="963">
        <v>0</v>
      </c>
      <c r="N731" s="963">
        <v>0</v>
      </c>
      <c r="O731" s="963">
        <f t="shared" si="126"/>
        <v>4615004.63</v>
      </c>
      <c r="P731" s="973">
        <v>0</v>
      </c>
      <c r="Q731" s="978">
        <v>0</v>
      </c>
      <c r="R731" s="959">
        <v>2016</v>
      </c>
      <c r="S731" s="959">
        <v>2023</v>
      </c>
      <c r="U731" s="967"/>
    </row>
    <row r="732" spans="1:21" ht="40.15" customHeight="1">
      <c r="A732" s="956">
        <v>206</v>
      </c>
      <c r="B732" s="986" t="s">
        <v>1780</v>
      </c>
      <c r="C732" s="956">
        <v>1959</v>
      </c>
      <c r="D732" s="956"/>
      <c r="E732" s="963" t="s">
        <v>218</v>
      </c>
      <c r="F732" s="956">
        <v>4</v>
      </c>
      <c r="G732" s="956">
        <v>4</v>
      </c>
      <c r="H732" s="978">
        <v>3445</v>
      </c>
      <c r="I732" s="978">
        <v>2645.4</v>
      </c>
      <c r="J732" s="978">
        <v>1889.2</v>
      </c>
      <c r="K732" s="964">
        <v>86</v>
      </c>
      <c r="L732" s="965">
        <v>5661296.2300000004</v>
      </c>
      <c r="M732" s="963">
        <v>0</v>
      </c>
      <c r="N732" s="963">
        <v>0</v>
      </c>
      <c r="O732" s="963">
        <f t="shared" si="126"/>
        <v>5661296.2300000004</v>
      </c>
      <c r="P732" s="973">
        <v>0</v>
      </c>
      <c r="Q732" s="978">
        <v>0</v>
      </c>
      <c r="R732" s="959">
        <v>2016</v>
      </c>
      <c r="S732" s="959">
        <v>2023</v>
      </c>
      <c r="U732" s="967"/>
    </row>
    <row r="733" spans="1:21" ht="40.15" customHeight="1">
      <c r="A733" s="956">
        <v>207</v>
      </c>
      <c r="B733" s="986" t="s">
        <v>1955</v>
      </c>
      <c r="C733" s="956">
        <v>1966</v>
      </c>
      <c r="D733" s="956"/>
      <c r="E733" s="956" t="s">
        <v>220</v>
      </c>
      <c r="F733" s="956">
        <v>5</v>
      </c>
      <c r="G733" s="956">
        <v>3</v>
      </c>
      <c r="H733" s="978">
        <v>3322.6</v>
      </c>
      <c r="I733" s="978">
        <v>2607.1</v>
      </c>
      <c r="J733" s="978">
        <v>2037.1</v>
      </c>
      <c r="K733" s="964">
        <v>97</v>
      </c>
      <c r="L733" s="965">
        <v>3919423.39</v>
      </c>
      <c r="M733" s="963">
        <v>0</v>
      </c>
      <c r="N733" s="963">
        <v>0</v>
      </c>
      <c r="O733" s="963">
        <f t="shared" si="126"/>
        <v>3919423.39</v>
      </c>
      <c r="P733" s="973">
        <v>0</v>
      </c>
      <c r="Q733" s="978">
        <v>0</v>
      </c>
      <c r="R733" s="959">
        <v>2016</v>
      </c>
      <c r="S733" s="959">
        <v>2023</v>
      </c>
      <c r="U733" s="967"/>
    </row>
    <row r="734" spans="1:21" ht="40.15" customHeight="1">
      <c r="A734" s="956">
        <v>208</v>
      </c>
      <c r="B734" s="986" t="s">
        <v>1182</v>
      </c>
      <c r="C734" s="956">
        <v>1962</v>
      </c>
      <c r="D734" s="956"/>
      <c r="E734" s="963" t="s">
        <v>218</v>
      </c>
      <c r="F734" s="956">
        <v>2</v>
      </c>
      <c r="G734" s="956">
        <v>1</v>
      </c>
      <c r="H734" s="978">
        <v>326.3</v>
      </c>
      <c r="I734" s="978">
        <v>294.89999999999998</v>
      </c>
      <c r="J734" s="978">
        <v>294.89999999999998</v>
      </c>
      <c r="K734" s="964">
        <v>23</v>
      </c>
      <c r="L734" s="965">
        <v>1992301.2966</v>
      </c>
      <c r="M734" s="963">
        <v>0</v>
      </c>
      <c r="N734" s="963">
        <v>0</v>
      </c>
      <c r="O734" s="963">
        <f t="shared" si="126"/>
        <v>1992301.2966</v>
      </c>
      <c r="P734" s="973">
        <v>0</v>
      </c>
      <c r="Q734" s="978">
        <v>0</v>
      </c>
      <c r="R734" s="959">
        <v>2018</v>
      </c>
      <c r="S734" s="1006" t="s">
        <v>1387</v>
      </c>
      <c r="U734" s="967"/>
    </row>
    <row r="735" spans="1:21" ht="42.6" customHeight="1">
      <c r="A735" s="956">
        <v>209</v>
      </c>
      <c r="B735" s="986" t="s">
        <v>1239</v>
      </c>
      <c r="C735" s="956">
        <v>1961</v>
      </c>
      <c r="D735" s="956"/>
      <c r="E735" s="963" t="s">
        <v>1023</v>
      </c>
      <c r="F735" s="956">
        <v>1</v>
      </c>
      <c r="G735" s="956">
        <v>1</v>
      </c>
      <c r="H735" s="978">
        <v>145.4</v>
      </c>
      <c r="I735" s="978">
        <v>145.4</v>
      </c>
      <c r="J735" s="978">
        <v>145.4</v>
      </c>
      <c r="K735" s="964">
        <v>15</v>
      </c>
      <c r="L735" s="965">
        <v>3874020.304</v>
      </c>
      <c r="M735" s="963">
        <v>0</v>
      </c>
      <c r="N735" s="963">
        <v>0</v>
      </c>
      <c r="O735" s="963">
        <f t="shared" si="126"/>
        <v>3874020.304</v>
      </c>
      <c r="P735" s="978">
        <v>0</v>
      </c>
      <c r="Q735" s="963">
        <v>0</v>
      </c>
      <c r="R735" s="959">
        <v>2018</v>
      </c>
      <c r="S735" s="1006" t="s">
        <v>1387</v>
      </c>
      <c r="U735" s="967"/>
    </row>
    <row r="736" spans="1:21" ht="42" customHeight="1">
      <c r="A736" s="956">
        <v>210</v>
      </c>
      <c r="B736" s="986" t="s">
        <v>1183</v>
      </c>
      <c r="C736" s="956">
        <v>1966</v>
      </c>
      <c r="D736" s="956"/>
      <c r="E736" s="957" t="s">
        <v>1023</v>
      </c>
      <c r="F736" s="956">
        <v>5</v>
      </c>
      <c r="G736" s="956">
        <v>3</v>
      </c>
      <c r="H736" s="978">
        <v>2671.1</v>
      </c>
      <c r="I736" s="978">
        <v>2017.3</v>
      </c>
      <c r="J736" s="978">
        <v>1311.11</v>
      </c>
      <c r="K736" s="964">
        <v>106</v>
      </c>
      <c r="L736" s="971">
        <v>7289383.3799999999</v>
      </c>
      <c r="M736" s="963">
        <v>0</v>
      </c>
      <c r="N736" s="963">
        <v>0</v>
      </c>
      <c r="O736" s="963">
        <f t="shared" si="126"/>
        <v>7289383.3799999999</v>
      </c>
      <c r="P736" s="963">
        <v>0</v>
      </c>
      <c r="Q736" s="963">
        <v>0</v>
      </c>
      <c r="R736" s="959">
        <v>2018</v>
      </c>
      <c r="S736" s="1006" t="s">
        <v>1387</v>
      </c>
      <c r="U736" s="967"/>
    </row>
    <row r="737" spans="1:21" ht="40.9" customHeight="1">
      <c r="A737" s="956">
        <v>211</v>
      </c>
      <c r="B737" s="986" t="s">
        <v>1184</v>
      </c>
      <c r="C737" s="956">
        <v>1975</v>
      </c>
      <c r="D737" s="956"/>
      <c r="E737" s="956" t="s">
        <v>220</v>
      </c>
      <c r="F737" s="956">
        <v>5</v>
      </c>
      <c r="G737" s="956">
        <v>6</v>
      </c>
      <c r="H737" s="978">
        <v>5023.3999999999996</v>
      </c>
      <c r="I737" s="978">
        <v>4578.3999999999996</v>
      </c>
      <c r="J737" s="978">
        <v>2958.48</v>
      </c>
      <c r="K737" s="964">
        <v>159</v>
      </c>
      <c r="L737" s="971">
        <v>7047781.0999999996</v>
      </c>
      <c r="M737" s="963">
        <v>0</v>
      </c>
      <c r="N737" s="963">
        <v>0</v>
      </c>
      <c r="O737" s="963">
        <f t="shared" si="126"/>
        <v>7047781.0999999996</v>
      </c>
      <c r="P737" s="963">
        <v>0</v>
      </c>
      <c r="Q737" s="963">
        <v>0</v>
      </c>
      <c r="R737" s="959">
        <v>2018</v>
      </c>
      <c r="S737" s="1006" t="s">
        <v>1387</v>
      </c>
      <c r="U737" s="967"/>
    </row>
    <row r="738" spans="1:21" ht="42.6" customHeight="1">
      <c r="A738" s="956">
        <v>212</v>
      </c>
      <c r="B738" s="989" t="s">
        <v>1238</v>
      </c>
      <c r="C738" s="956">
        <v>1957</v>
      </c>
      <c r="D738" s="956"/>
      <c r="E738" s="956" t="s">
        <v>218</v>
      </c>
      <c r="F738" s="956">
        <v>3</v>
      </c>
      <c r="G738" s="956">
        <v>3</v>
      </c>
      <c r="H738" s="963">
        <v>1373.3</v>
      </c>
      <c r="I738" s="963">
        <v>1155.3</v>
      </c>
      <c r="J738" s="963">
        <v>1155.3</v>
      </c>
      <c r="K738" s="956">
        <v>40</v>
      </c>
      <c r="L738" s="965">
        <v>6608643</v>
      </c>
      <c r="M738" s="968">
        <v>0</v>
      </c>
      <c r="N738" s="968">
        <v>0</v>
      </c>
      <c r="O738" s="963">
        <v>6608643</v>
      </c>
      <c r="P738" s="968">
        <v>0</v>
      </c>
      <c r="Q738" s="968">
        <v>0</v>
      </c>
      <c r="R738" s="957">
        <v>2022</v>
      </c>
      <c r="S738" s="1006" t="s">
        <v>1387</v>
      </c>
      <c r="U738" s="967"/>
    </row>
    <row r="739" spans="1:21" ht="36.6" customHeight="1">
      <c r="A739" s="956">
        <v>213</v>
      </c>
      <c r="B739" s="972" t="s">
        <v>1237</v>
      </c>
      <c r="C739" s="956">
        <v>1972</v>
      </c>
      <c r="D739" s="956"/>
      <c r="E739" s="956" t="s">
        <v>218</v>
      </c>
      <c r="F739" s="956">
        <v>5</v>
      </c>
      <c r="G739" s="956">
        <v>1</v>
      </c>
      <c r="H739" s="963">
        <v>3999.2</v>
      </c>
      <c r="I739" s="963">
        <v>2344.5</v>
      </c>
      <c r="J739" s="963">
        <v>1987.8</v>
      </c>
      <c r="K739" s="956">
        <v>231</v>
      </c>
      <c r="L739" s="971">
        <v>3346280.0901253182</v>
      </c>
      <c r="M739" s="963">
        <v>0</v>
      </c>
      <c r="N739" s="963">
        <v>0</v>
      </c>
      <c r="O739" s="968">
        <v>3346280.0901253182</v>
      </c>
      <c r="P739" s="963">
        <v>0</v>
      </c>
      <c r="Q739" s="963">
        <v>0</v>
      </c>
      <c r="R739" s="957">
        <v>2022</v>
      </c>
      <c r="S739" s="959">
        <v>2023</v>
      </c>
      <c r="U739" s="967"/>
    </row>
    <row r="740" spans="1:21" ht="40.9" customHeight="1">
      <c r="A740" s="956">
        <v>214</v>
      </c>
      <c r="B740" s="972" t="s">
        <v>1237</v>
      </c>
      <c r="C740" s="956">
        <v>1972</v>
      </c>
      <c r="D740" s="956"/>
      <c r="E740" s="956" t="s">
        <v>218</v>
      </c>
      <c r="F740" s="956">
        <v>5</v>
      </c>
      <c r="G740" s="956">
        <v>1</v>
      </c>
      <c r="H740" s="963">
        <v>3999.2</v>
      </c>
      <c r="I740" s="963">
        <v>2344.5</v>
      </c>
      <c r="J740" s="963">
        <v>1987.8</v>
      </c>
      <c r="K740" s="956">
        <v>231</v>
      </c>
      <c r="L740" s="971">
        <v>8208861.9598120227</v>
      </c>
      <c r="M740" s="968">
        <v>0</v>
      </c>
      <c r="N740" s="968">
        <v>0</v>
      </c>
      <c r="O740" s="968">
        <v>8208861.9598120227</v>
      </c>
      <c r="P740" s="968">
        <v>0</v>
      </c>
      <c r="Q740" s="968">
        <v>0</v>
      </c>
      <c r="R740" s="957">
        <v>2022</v>
      </c>
      <c r="S740" s="1006" t="s">
        <v>1387</v>
      </c>
      <c r="U740" s="967"/>
    </row>
    <row r="741" spans="1:21" ht="44.45" customHeight="1">
      <c r="A741" s="956">
        <v>215</v>
      </c>
      <c r="B741" s="972" t="s">
        <v>1774</v>
      </c>
      <c r="C741" s="956">
        <v>1979</v>
      </c>
      <c r="D741" s="956"/>
      <c r="E741" s="956" t="s">
        <v>218</v>
      </c>
      <c r="F741" s="956">
        <v>5</v>
      </c>
      <c r="G741" s="956">
        <v>1</v>
      </c>
      <c r="H741" s="963">
        <v>3234.5</v>
      </c>
      <c r="I741" s="963">
        <v>2950.2</v>
      </c>
      <c r="J741" s="963">
        <v>1228.4000000000001</v>
      </c>
      <c r="K741" s="956">
        <v>27</v>
      </c>
      <c r="L741" s="971">
        <v>3183530.6203132956</v>
      </c>
      <c r="M741" s="963">
        <v>0</v>
      </c>
      <c r="N741" s="963">
        <v>0</v>
      </c>
      <c r="O741" s="968">
        <v>3183530.6203132956</v>
      </c>
      <c r="P741" s="963">
        <v>0</v>
      </c>
      <c r="Q741" s="963">
        <v>0</v>
      </c>
      <c r="R741" s="957">
        <v>2022</v>
      </c>
      <c r="S741" s="959">
        <v>2023</v>
      </c>
      <c r="U741" s="967"/>
    </row>
    <row r="742" spans="1:21" ht="40.9" customHeight="1">
      <c r="A742" s="956">
        <v>216</v>
      </c>
      <c r="B742" s="972" t="s">
        <v>1774</v>
      </c>
      <c r="C742" s="956">
        <v>1979</v>
      </c>
      <c r="D742" s="956"/>
      <c r="E742" s="956" t="s">
        <v>218</v>
      </c>
      <c r="F742" s="956">
        <v>5</v>
      </c>
      <c r="G742" s="956">
        <v>1</v>
      </c>
      <c r="H742" s="963">
        <v>3234.5</v>
      </c>
      <c r="I742" s="963">
        <v>2950.2</v>
      </c>
      <c r="J742" s="963">
        <v>1228.4000000000001</v>
      </c>
      <c r="K742" s="956">
        <v>27</v>
      </c>
      <c r="L742" s="971">
        <v>7221755.1900000004</v>
      </c>
      <c r="M742" s="968">
        <v>0</v>
      </c>
      <c r="N742" s="968">
        <v>394000</v>
      </c>
      <c r="O742" s="968">
        <f>L742-N742</f>
        <v>6827755.1900000004</v>
      </c>
      <c r="P742" s="968">
        <v>0</v>
      </c>
      <c r="Q742" s="968">
        <v>0</v>
      </c>
      <c r="R742" s="957">
        <v>2022</v>
      </c>
      <c r="S742" s="1006" t="s">
        <v>1387</v>
      </c>
      <c r="U742" s="967"/>
    </row>
    <row r="743" spans="1:21" ht="40.9" customHeight="1">
      <c r="A743" s="956">
        <v>217</v>
      </c>
      <c r="B743" s="972" t="s">
        <v>1775</v>
      </c>
      <c r="C743" s="956">
        <v>1939</v>
      </c>
      <c r="D743" s="956"/>
      <c r="E743" s="956" t="s">
        <v>218</v>
      </c>
      <c r="F743" s="956">
        <v>3</v>
      </c>
      <c r="G743" s="956">
        <v>4</v>
      </c>
      <c r="H743" s="963">
        <v>2643.9</v>
      </c>
      <c r="I743" s="963">
        <v>2432.6999999999998</v>
      </c>
      <c r="J743" s="963">
        <v>2331.1</v>
      </c>
      <c r="K743" s="956">
        <v>66</v>
      </c>
      <c r="L743" s="971">
        <v>12909905.9</v>
      </c>
      <c r="M743" s="963">
        <v>0</v>
      </c>
      <c r="N743" s="963">
        <v>0</v>
      </c>
      <c r="O743" s="968">
        <v>12909905.9</v>
      </c>
      <c r="P743" s="963">
        <v>0</v>
      </c>
      <c r="Q743" s="963">
        <v>0</v>
      </c>
      <c r="R743" s="957">
        <v>2022</v>
      </c>
      <c r="S743" s="959">
        <v>2023</v>
      </c>
      <c r="U743" s="967"/>
    </row>
    <row r="744" spans="1:21" ht="42" customHeight="1">
      <c r="A744" s="956">
        <v>218</v>
      </c>
      <c r="B744" s="972" t="s">
        <v>1776</v>
      </c>
      <c r="C744" s="956">
        <v>1960</v>
      </c>
      <c r="D744" s="956"/>
      <c r="E744" s="956" t="s">
        <v>218</v>
      </c>
      <c r="F744" s="956">
        <v>2</v>
      </c>
      <c r="G744" s="956">
        <v>2</v>
      </c>
      <c r="H744" s="963">
        <v>532.5</v>
      </c>
      <c r="I744" s="963">
        <v>472</v>
      </c>
      <c r="J744" s="963">
        <v>436.8</v>
      </c>
      <c r="K744" s="956">
        <v>31</v>
      </c>
      <c r="L744" s="971">
        <v>5511607.6899999995</v>
      </c>
      <c r="M744" s="968">
        <v>0</v>
      </c>
      <c r="N744" s="968">
        <v>0</v>
      </c>
      <c r="O744" s="968">
        <v>5511607.6899999995</v>
      </c>
      <c r="P744" s="968">
        <v>0</v>
      </c>
      <c r="Q744" s="968">
        <v>0</v>
      </c>
      <c r="R744" s="957">
        <v>2022</v>
      </c>
      <c r="S744" s="959">
        <v>2023</v>
      </c>
      <c r="U744" s="967"/>
    </row>
    <row r="745" spans="1:21" ht="37.15" customHeight="1">
      <c r="A745" s="956">
        <v>219</v>
      </c>
      <c r="B745" s="972" t="s">
        <v>1777</v>
      </c>
      <c r="C745" s="956">
        <v>1953</v>
      </c>
      <c r="D745" s="956"/>
      <c r="E745" s="956" t="s">
        <v>218</v>
      </c>
      <c r="F745" s="956">
        <v>2</v>
      </c>
      <c r="G745" s="956">
        <v>2</v>
      </c>
      <c r="H745" s="963">
        <v>1076.7</v>
      </c>
      <c r="I745" s="963">
        <v>616.79999999999995</v>
      </c>
      <c r="J745" s="963">
        <v>489.2</v>
      </c>
      <c r="K745" s="956">
        <v>23</v>
      </c>
      <c r="L745" s="971">
        <v>3963367.64</v>
      </c>
      <c r="M745" s="963">
        <v>0</v>
      </c>
      <c r="N745" s="963">
        <v>0</v>
      </c>
      <c r="O745" s="968">
        <v>3963367.64</v>
      </c>
      <c r="P745" s="963">
        <v>0</v>
      </c>
      <c r="Q745" s="963">
        <v>0</v>
      </c>
      <c r="R745" s="957">
        <v>2022</v>
      </c>
      <c r="S745" s="959">
        <v>2023</v>
      </c>
      <c r="U745" s="967"/>
    </row>
    <row r="746" spans="1:21" ht="37.9" customHeight="1">
      <c r="A746" s="1163" t="s">
        <v>2272</v>
      </c>
      <c r="B746" s="1164"/>
      <c r="C746" s="1164"/>
      <c r="D746" s="1164"/>
      <c r="E746" s="1164"/>
      <c r="F746" s="1164"/>
      <c r="G746" s="1165"/>
      <c r="H746" s="968">
        <f t="shared" ref="H746:Q746" si="127">SUM(H747:H756)</f>
        <v>11617.199999999999</v>
      </c>
      <c r="I746" s="968">
        <f t="shared" si="127"/>
        <v>10307.700000000001</v>
      </c>
      <c r="J746" s="968">
        <f t="shared" si="127"/>
        <v>8789.7999999999993</v>
      </c>
      <c r="K746" s="958">
        <f t="shared" si="127"/>
        <v>405</v>
      </c>
      <c r="L746" s="971">
        <f t="shared" si="127"/>
        <v>30371186.366968002</v>
      </c>
      <c r="M746" s="968">
        <f t="shared" si="127"/>
        <v>0</v>
      </c>
      <c r="N746" s="968">
        <f t="shared" si="127"/>
        <v>0</v>
      </c>
      <c r="O746" s="968">
        <f t="shared" si="127"/>
        <v>30371186.366968002</v>
      </c>
      <c r="P746" s="968">
        <f t="shared" si="127"/>
        <v>0</v>
      </c>
      <c r="Q746" s="968">
        <f t="shared" si="127"/>
        <v>0</v>
      </c>
      <c r="R746" s="968" t="s">
        <v>40</v>
      </c>
      <c r="S746" s="968" t="s">
        <v>40</v>
      </c>
      <c r="U746" s="967"/>
    </row>
    <row r="747" spans="1:21" ht="40.9" customHeight="1">
      <c r="A747" s="956">
        <v>220</v>
      </c>
      <c r="B747" s="984" t="s">
        <v>1316</v>
      </c>
      <c r="C747" s="956">
        <v>1969</v>
      </c>
      <c r="D747" s="956"/>
      <c r="E747" s="956" t="s">
        <v>218</v>
      </c>
      <c r="F747" s="957">
        <v>3</v>
      </c>
      <c r="G747" s="957">
        <v>3</v>
      </c>
      <c r="H747" s="968">
        <v>1516.6</v>
      </c>
      <c r="I747" s="968">
        <v>1516.6</v>
      </c>
      <c r="J747" s="968">
        <v>1448.5</v>
      </c>
      <c r="K747" s="964">
        <v>60</v>
      </c>
      <c r="L747" s="971">
        <v>2494910</v>
      </c>
      <c r="M747" s="985">
        <v>0</v>
      </c>
      <c r="N747" s="985">
        <v>0</v>
      </c>
      <c r="O747" s="985">
        <f t="shared" ref="O747:O756" si="128">L747</f>
        <v>2494910</v>
      </c>
      <c r="P747" s="963">
        <v>0</v>
      </c>
      <c r="Q747" s="985">
        <v>0</v>
      </c>
      <c r="R747" s="964">
        <v>2016</v>
      </c>
      <c r="S747" s="1006" t="s">
        <v>1387</v>
      </c>
      <c r="U747" s="967"/>
    </row>
    <row r="748" spans="1:21" ht="42.6" customHeight="1">
      <c r="A748" s="956">
        <v>221</v>
      </c>
      <c r="B748" s="984" t="s">
        <v>1317</v>
      </c>
      <c r="C748" s="956">
        <v>1969</v>
      </c>
      <c r="D748" s="956"/>
      <c r="E748" s="956" t="s">
        <v>218</v>
      </c>
      <c r="F748" s="957">
        <v>5</v>
      </c>
      <c r="G748" s="957">
        <v>4</v>
      </c>
      <c r="H748" s="968">
        <v>3440.1</v>
      </c>
      <c r="I748" s="968">
        <v>3182.2</v>
      </c>
      <c r="J748" s="968">
        <v>2326.6999999999998</v>
      </c>
      <c r="K748" s="964">
        <v>110</v>
      </c>
      <c r="L748" s="971">
        <v>8647366.75</v>
      </c>
      <c r="M748" s="985">
        <v>0</v>
      </c>
      <c r="N748" s="985">
        <v>0</v>
      </c>
      <c r="O748" s="985">
        <f t="shared" si="128"/>
        <v>8647366.75</v>
      </c>
      <c r="P748" s="963">
        <v>0</v>
      </c>
      <c r="Q748" s="985">
        <v>0</v>
      </c>
      <c r="R748" s="964">
        <v>2016</v>
      </c>
      <c r="S748" s="1006" t="s">
        <v>1387</v>
      </c>
      <c r="U748" s="967"/>
    </row>
    <row r="749" spans="1:21" ht="42.6" customHeight="1">
      <c r="A749" s="956">
        <v>222</v>
      </c>
      <c r="B749" s="986" t="s">
        <v>1318</v>
      </c>
      <c r="C749" s="956">
        <v>1956</v>
      </c>
      <c r="D749" s="957"/>
      <c r="E749" s="956" t="s">
        <v>218</v>
      </c>
      <c r="F749" s="957">
        <v>2</v>
      </c>
      <c r="G749" s="957">
        <v>1</v>
      </c>
      <c r="H749" s="968">
        <v>267.3</v>
      </c>
      <c r="I749" s="968">
        <v>221.1</v>
      </c>
      <c r="J749" s="968">
        <v>151.5</v>
      </c>
      <c r="K749" s="964">
        <v>12</v>
      </c>
      <c r="L749" s="971">
        <v>1249211.18</v>
      </c>
      <c r="M749" s="968">
        <v>0</v>
      </c>
      <c r="N749" s="968">
        <v>0</v>
      </c>
      <c r="O749" s="968">
        <f t="shared" si="128"/>
        <v>1249211.18</v>
      </c>
      <c r="P749" s="968">
        <v>0</v>
      </c>
      <c r="Q749" s="968">
        <v>0</v>
      </c>
      <c r="R749" s="964">
        <v>2019</v>
      </c>
      <c r="S749" s="1006" t="s">
        <v>1387</v>
      </c>
      <c r="U749" s="967"/>
    </row>
    <row r="750" spans="1:21" ht="39.6" customHeight="1">
      <c r="A750" s="956">
        <v>223</v>
      </c>
      <c r="B750" s="986" t="s">
        <v>1319</v>
      </c>
      <c r="C750" s="956">
        <v>1956</v>
      </c>
      <c r="D750" s="957"/>
      <c r="E750" s="956" t="s">
        <v>218</v>
      </c>
      <c r="F750" s="957">
        <v>2</v>
      </c>
      <c r="G750" s="957">
        <v>2</v>
      </c>
      <c r="H750" s="968">
        <v>928.4</v>
      </c>
      <c r="I750" s="968">
        <v>798.1</v>
      </c>
      <c r="J750" s="968">
        <v>694.3</v>
      </c>
      <c r="K750" s="964">
        <v>25</v>
      </c>
      <c r="L750" s="971">
        <v>8647366.75</v>
      </c>
      <c r="M750" s="968">
        <v>0</v>
      </c>
      <c r="N750" s="968">
        <v>0</v>
      </c>
      <c r="O750" s="968">
        <f t="shared" si="128"/>
        <v>8647366.75</v>
      </c>
      <c r="P750" s="968">
        <v>0</v>
      </c>
      <c r="Q750" s="968">
        <v>0</v>
      </c>
      <c r="R750" s="964">
        <v>2021</v>
      </c>
      <c r="S750" s="1006" t="s">
        <v>1387</v>
      </c>
      <c r="U750" s="967"/>
    </row>
    <row r="751" spans="1:21" ht="44.45" customHeight="1">
      <c r="A751" s="956">
        <v>224</v>
      </c>
      <c r="B751" s="986" t="s">
        <v>1320</v>
      </c>
      <c r="C751" s="956">
        <v>1917</v>
      </c>
      <c r="D751" s="957"/>
      <c r="E751" s="956" t="s">
        <v>218</v>
      </c>
      <c r="F751" s="957">
        <v>2</v>
      </c>
      <c r="G751" s="957">
        <v>2</v>
      </c>
      <c r="H751" s="968">
        <v>552.5</v>
      </c>
      <c r="I751" s="968">
        <v>289.2</v>
      </c>
      <c r="J751" s="968">
        <v>261</v>
      </c>
      <c r="K751" s="964">
        <v>24</v>
      </c>
      <c r="L751" s="971">
        <v>381544.23</v>
      </c>
      <c r="M751" s="968">
        <v>0</v>
      </c>
      <c r="N751" s="968">
        <v>0</v>
      </c>
      <c r="O751" s="968">
        <f t="shared" si="128"/>
        <v>381544.23</v>
      </c>
      <c r="P751" s="968">
        <v>0</v>
      </c>
      <c r="Q751" s="968">
        <v>0</v>
      </c>
      <c r="R751" s="964">
        <v>2021</v>
      </c>
      <c r="S751" s="1006" t="s">
        <v>1387</v>
      </c>
      <c r="U751" s="967"/>
    </row>
    <row r="752" spans="1:21" ht="33" customHeight="1">
      <c r="A752" s="956">
        <v>225</v>
      </c>
      <c r="B752" s="986" t="s">
        <v>1321</v>
      </c>
      <c r="C752" s="956">
        <v>1960</v>
      </c>
      <c r="D752" s="956"/>
      <c r="E752" s="956" t="s">
        <v>218</v>
      </c>
      <c r="F752" s="957">
        <v>3</v>
      </c>
      <c r="G752" s="957">
        <v>3</v>
      </c>
      <c r="H752" s="968">
        <v>1944</v>
      </c>
      <c r="I752" s="968">
        <v>1776.8</v>
      </c>
      <c r="J752" s="968">
        <v>1514.2</v>
      </c>
      <c r="K752" s="964">
        <v>61</v>
      </c>
      <c r="L752" s="971">
        <v>129465</v>
      </c>
      <c r="M752" s="968">
        <v>0</v>
      </c>
      <c r="N752" s="968">
        <v>0</v>
      </c>
      <c r="O752" s="968">
        <f t="shared" si="128"/>
        <v>129465</v>
      </c>
      <c r="P752" s="968">
        <v>0</v>
      </c>
      <c r="Q752" s="968">
        <v>0</v>
      </c>
      <c r="R752" s="964">
        <v>2021</v>
      </c>
      <c r="S752" s="964">
        <v>2023</v>
      </c>
      <c r="U752" s="967"/>
    </row>
    <row r="753" spans="1:21" ht="39.6" customHeight="1">
      <c r="A753" s="956">
        <v>226</v>
      </c>
      <c r="B753" s="986" t="s">
        <v>1322</v>
      </c>
      <c r="C753" s="957">
        <v>1917</v>
      </c>
      <c r="D753" s="957"/>
      <c r="E753" s="956" t="s">
        <v>218</v>
      </c>
      <c r="F753" s="957">
        <v>2</v>
      </c>
      <c r="G753" s="957">
        <v>1</v>
      </c>
      <c r="H753" s="1040">
        <v>513.9</v>
      </c>
      <c r="I753" s="1040">
        <v>483.1</v>
      </c>
      <c r="J753" s="1040">
        <v>449.1</v>
      </c>
      <c r="K753" s="959">
        <v>16</v>
      </c>
      <c r="L753" s="971">
        <v>2058000.82</v>
      </c>
      <c r="M753" s="968">
        <v>0</v>
      </c>
      <c r="N753" s="968">
        <v>0</v>
      </c>
      <c r="O753" s="968">
        <f t="shared" si="128"/>
        <v>2058000.82</v>
      </c>
      <c r="P753" s="968">
        <v>0</v>
      </c>
      <c r="Q753" s="968">
        <v>0</v>
      </c>
      <c r="R753" s="964">
        <v>2021</v>
      </c>
      <c r="S753" s="1006" t="s">
        <v>1387</v>
      </c>
      <c r="U753" s="967"/>
    </row>
    <row r="754" spans="1:21" ht="42.6" customHeight="1">
      <c r="A754" s="956">
        <v>227</v>
      </c>
      <c r="B754" s="984" t="s">
        <v>1316</v>
      </c>
      <c r="C754" s="957">
        <v>1969</v>
      </c>
      <c r="D754" s="956"/>
      <c r="E754" s="956" t="s">
        <v>218</v>
      </c>
      <c r="F754" s="957">
        <v>3</v>
      </c>
      <c r="G754" s="957">
        <v>3</v>
      </c>
      <c r="H754" s="968">
        <v>1516.6</v>
      </c>
      <c r="I754" s="968">
        <v>1516.6</v>
      </c>
      <c r="J754" s="968">
        <v>1448.5</v>
      </c>
      <c r="K754" s="964">
        <v>60</v>
      </c>
      <c r="L754" s="971">
        <v>6099848.7269679997</v>
      </c>
      <c r="M754" s="985">
        <v>0</v>
      </c>
      <c r="N754" s="985">
        <v>0</v>
      </c>
      <c r="O754" s="985">
        <v>6099848.7269679997</v>
      </c>
      <c r="P754" s="963">
        <f>Q754</f>
        <v>0</v>
      </c>
      <c r="Q754" s="985">
        <v>0</v>
      </c>
      <c r="R754" s="964">
        <v>2021</v>
      </c>
      <c r="S754" s="1006" t="s">
        <v>1387</v>
      </c>
      <c r="U754" s="967"/>
    </row>
    <row r="755" spans="1:21" ht="40.15" customHeight="1">
      <c r="A755" s="956">
        <v>228</v>
      </c>
      <c r="B755" s="986" t="s">
        <v>1320</v>
      </c>
      <c r="C755" s="957">
        <v>1917</v>
      </c>
      <c r="D755" s="957"/>
      <c r="E755" s="956" t="s">
        <v>218</v>
      </c>
      <c r="F755" s="957">
        <v>2</v>
      </c>
      <c r="G755" s="957">
        <v>2</v>
      </c>
      <c r="H755" s="1040">
        <v>552.5</v>
      </c>
      <c r="I755" s="1040">
        <v>289</v>
      </c>
      <c r="J755" s="1040">
        <v>261</v>
      </c>
      <c r="K755" s="959">
        <v>24</v>
      </c>
      <c r="L755" s="971">
        <v>603654.91</v>
      </c>
      <c r="M755" s="968">
        <v>0</v>
      </c>
      <c r="N755" s="968">
        <v>0</v>
      </c>
      <c r="O755" s="968">
        <f t="shared" si="128"/>
        <v>603654.91</v>
      </c>
      <c r="P755" s="968">
        <v>0</v>
      </c>
      <c r="Q755" s="968">
        <v>0</v>
      </c>
      <c r="R755" s="964">
        <v>2022</v>
      </c>
      <c r="S755" s="1006" t="s">
        <v>1387</v>
      </c>
      <c r="U755" s="967"/>
    </row>
    <row r="756" spans="1:21" ht="42.6" customHeight="1">
      <c r="A756" s="956">
        <v>229</v>
      </c>
      <c r="B756" s="986" t="s">
        <v>1323</v>
      </c>
      <c r="C756" s="957">
        <v>1959</v>
      </c>
      <c r="D756" s="957"/>
      <c r="E756" s="956" t="s">
        <v>218</v>
      </c>
      <c r="F756" s="957">
        <v>2</v>
      </c>
      <c r="G756" s="957">
        <v>1</v>
      </c>
      <c r="H756" s="1040">
        <v>385.3</v>
      </c>
      <c r="I756" s="1040">
        <v>235</v>
      </c>
      <c r="J756" s="1040">
        <v>235</v>
      </c>
      <c r="K756" s="959">
        <v>13</v>
      </c>
      <c r="L756" s="971">
        <v>59818</v>
      </c>
      <c r="M756" s="968">
        <v>0</v>
      </c>
      <c r="N756" s="968">
        <v>0</v>
      </c>
      <c r="O756" s="968">
        <f t="shared" si="128"/>
        <v>59818</v>
      </c>
      <c r="P756" s="968">
        <v>0</v>
      </c>
      <c r="Q756" s="968">
        <v>0</v>
      </c>
      <c r="R756" s="964">
        <v>2022</v>
      </c>
      <c r="S756" s="964">
        <v>2023</v>
      </c>
      <c r="U756" s="967"/>
    </row>
    <row r="757" spans="1:21" ht="37.9" customHeight="1">
      <c r="A757" s="1163" t="s">
        <v>2054</v>
      </c>
      <c r="B757" s="1164"/>
      <c r="C757" s="1164"/>
      <c r="D757" s="1164"/>
      <c r="E757" s="1164"/>
      <c r="F757" s="1164"/>
      <c r="G757" s="1165"/>
      <c r="H757" s="968">
        <f t="shared" ref="H757:Q757" si="129">SUM(H758:H771)</f>
        <v>64512.160000000003</v>
      </c>
      <c r="I757" s="968">
        <f t="shared" si="129"/>
        <v>44809.200000000004</v>
      </c>
      <c r="J757" s="968">
        <f t="shared" si="129"/>
        <v>25080.800000000003</v>
      </c>
      <c r="K757" s="958">
        <f t="shared" si="129"/>
        <v>1987</v>
      </c>
      <c r="L757" s="971">
        <f t="shared" si="129"/>
        <v>75961800.186400011</v>
      </c>
      <c r="M757" s="968">
        <f t="shared" si="129"/>
        <v>0</v>
      </c>
      <c r="N757" s="968">
        <f t="shared" si="129"/>
        <v>0</v>
      </c>
      <c r="O757" s="968">
        <f t="shared" si="129"/>
        <v>75961800.186400011</v>
      </c>
      <c r="P757" s="968">
        <f t="shared" si="129"/>
        <v>0</v>
      </c>
      <c r="Q757" s="968">
        <f t="shared" si="129"/>
        <v>0</v>
      </c>
      <c r="R757" s="968" t="s">
        <v>40</v>
      </c>
      <c r="S757" s="968" t="s">
        <v>40</v>
      </c>
      <c r="U757" s="967"/>
    </row>
    <row r="758" spans="1:21" ht="40.9" customHeight="1">
      <c r="A758" s="956">
        <v>230</v>
      </c>
      <c r="B758" s="984" t="s">
        <v>1461</v>
      </c>
      <c r="C758" s="956">
        <v>1966</v>
      </c>
      <c r="D758" s="957"/>
      <c r="E758" s="956" t="s">
        <v>218</v>
      </c>
      <c r="F758" s="957">
        <v>5</v>
      </c>
      <c r="G758" s="957">
        <v>4</v>
      </c>
      <c r="H758" s="968">
        <v>5298</v>
      </c>
      <c r="I758" s="968">
        <v>3567.1</v>
      </c>
      <c r="J758" s="968">
        <v>1608.76</v>
      </c>
      <c r="K758" s="964">
        <v>96</v>
      </c>
      <c r="L758" s="971">
        <v>2463360.0699999998</v>
      </c>
      <c r="M758" s="985">
        <v>0</v>
      </c>
      <c r="N758" s="985">
        <v>0</v>
      </c>
      <c r="O758" s="985">
        <f>L758</f>
        <v>2463360.0699999998</v>
      </c>
      <c r="P758" s="963">
        <v>0</v>
      </c>
      <c r="Q758" s="985">
        <v>0</v>
      </c>
      <c r="R758" s="964">
        <v>2017</v>
      </c>
      <c r="S758" s="1006" t="s">
        <v>1387</v>
      </c>
      <c r="U758" s="967"/>
    </row>
    <row r="759" spans="1:21" ht="40.9" customHeight="1">
      <c r="A759" s="956">
        <v>231</v>
      </c>
      <c r="B759" s="984" t="s">
        <v>1462</v>
      </c>
      <c r="C759" s="956">
        <v>1964</v>
      </c>
      <c r="D759" s="957"/>
      <c r="E759" s="956" t="s">
        <v>218</v>
      </c>
      <c r="F759" s="957">
        <v>5</v>
      </c>
      <c r="G759" s="957">
        <v>4</v>
      </c>
      <c r="H759" s="968">
        <v>5248.9</v>
      </c>
      <c r="I759" s="968">
        <v>3367</v>
      </c>
      <c r="J759" s="968">
        <v>2316.5</v>
      </c>
      <c r="K759" s="964">
        <v>178</v>
      </c>
      <c r="L759" s="971">
        <v>1958042</v>
      </c>
      <c r="M759" s="985">
        <v>0</v>
      </c>
      <c r="N759" s="985">
        <v>0</v>
      </c>
      <c r="O759" s="985">
        <f>L759</f>
        <v>1958042</v>
      </c>
      <c r="P759" s="963">
        <v>0</v>
      </c>
      <c r="Q759" s="985">
        <v>0</v>
      </c>
      <c r="R759" s="964">
        <v>2017</v>
      </c>
      <c r="S759" s="1006" t="s">
        <v>1387</v>
      </c>
      <c r="U759" s="967"/>
    </row>
    <row r="760" spans="1:21" ht="40.9" customHeight="1">
      <c r="A760" s="956">
        <v>232</v>
      </c>
      <c r="B760" s="984" t="s">
        <v>1463</v>
      </c>
      <c r="C760" s="956">
        <v>1968</v>
      </c>
      <c r="D760" s="957"/>
      <c r="E760" s="956" t="s">
        <v>219</v>
      </c>
      <c r="F760" s="957">
        <v>5</v>
      </c>
      <c r="G760" s="957">
        <v>6</v>
      </c>
      <c r="H760" s="968">
        <v>5788.6</v>
      </c>
      <c r="I760" s="968">
        <v>4355.8</v>
      </c>
      <c r="J760" s="968">
        <v>2217.1</v>
      </c>
      <c r="K760" s="964">
        <v>263</v>
      </c>
      <c r="L760" s="971">
        <v>9966078.0385999996</v>
      </c>
      <c r="M760" s="985">
        <v>0</v>
      </c>
      <c r="N760" s="985">
        <v>0</v>
      </c>
      <c r="O760" s="985">
        <f>L760</f>
        <v>9966078.0385999996</v>
      </c>
      <c r="P760" s="963">
        <v>0</v>
      </c>
      <c r="Q760" s="985">
        <v>0</v>
      </c>
      <c r="R760" s="964">
        <v>2018</v>
      </c>
      <c r="S760" s="1006" t="s">
        <v>1387</v>
      </c>
      <c r="U760" s="967"/>
    </row>
    <row r="761" spans="1:21" ht="40.9" customHeight="1">
      <c r="A761" s="956">
        <v>233</v>
      </c>
      <c r="B761" s="984" t="s">
        <v>1464</v>
      </c>
      <c r="C761" s="956">
        <v>1967</v>
      </c>
      <c r="D761" s="957"/>
      <c r="E761" s="956" t="s">
        <v>219</v>
      </c>
      <c r="F761" s="957">
        <v>5</v>
      </c>
      <c r="G761" s="957">
        <v>6</v>
      </c>
      <c r="H761" s="968">
        <v>5774.2</v>
      </c>
      <c r="I761" s="968">
        <v>4340.7</v>
      </c>
      <c r="J761" s="968">
        <v>2339.63</v>
      </c>
      <c r="K761" s="964">
        <v>255</v>
      </c>
      <c r="L761" s="971">
        <v>9966078.0385999996</v>
      </c>
      <c r="M761" s="985">
        <v>0</v>
      </c>
      <c r="N761" s="985">
        <v>0</v>
      </c>
      <c r="O761" s="985">
        <f>L761</f>
        <v>9966078.0385999996</v>
      </c>
      <c r="P761" s="963">
        <v>0</v>
      </c>
      <c r="Q761" s="985">
        <v>0</v>
      </c>
      <c r="R761" s="964">
        <v>2018</v>
      </c>
      <c r="S761" s="1006" t="s">
        <v>1387</v>
      </c>
      <c r="U761" s="967"/>
    </row>
    <row r="762" spans="1:21" ht="39.6" customHeight="1">
      <c r="A762" s="956">
        <v>234</v>
      </c>
      <c r="B762" s="984" t="s">
        <v>1465</v>
      </c>
      <c r="C762" s="956">
        <v>1988</v>
      </c>
      <c r="D762" s="957"/>
      <c r="E762" s="956" t="s">
        <v>219</v>
      </c>
      <c r="F762" s="957">
        <v>5</v>
      </c>
      <c r="G762" s="957">
        <v>6</v>
      </c>
      <c r="H762" s="968">
        <v>6930.4</v>
      </c>
      <c r="I762" s="968">
        <v>4094.1</v>
      </c>
      <c r="J762" s="968">
        <v>2599.39</v>
      </c>
      <c r="K762" s="964">
        <v>205</v>
      </c>
      <c r="L762" s="971">
        <v>4943532.57</v>
      </c>
      <c r="M762" s="985">
        <v>0</v>
      </c>
      <c r="N762" s="985">
        <v>0</v>
      </c>
      <c r="O762" s="985">
        <v>4943532.57</v>
      </c>
      <c r="P762" s="963">
        <v>0</v>
      </c>
      <c r="Q762" s="985">
        <v>0</v>
      </c>
      <c r="R762" s="964">
        <v>2020</v>
      </c>
      <c r="S762" s="964">
        <v>2023</v>
      </c>
      <c r="U762" s="967"/>
    </row>
    <row r="763" spans="1:21" ht="39.6" customHeight="1">
      <c r="A763" s="956">
        <v>235</v>
      </c>
      <c r="B763" s="984" t="s">
        <v>1466</v>
      </c>
      <c r="C763" s="956">
        <v>1967</v>
      </c>
      <c r="D763" s="957"/>
      <c r="E763" s="956" t="s">
        <v>219</v>
      </c>
      <c r="F763" s="957">
        <v>5</v>
      </c>
      <c r="G763" s="957">
        <v>5</v>
      </c>
      <c r="H763" s="968">
        <v>4774.3999999999996</v>
      </c>
      <c r="I763" s="968">
        <v>3076.1</v>
      </c>
      <c r="J763" s="968">
        <v>1861.04</v>
      </c>
      <c r="K763" s="964">
        <v>162</v>
      </c>
      <c r="L763" s="971">
        <v>7448074.6748000002</v>
      </c>
      <c r="M763" s="985">
        <v>0</v>
      </c>
      <c r="N763" s="985">
        <v>0</v>
      </c>
      <c r="O763" s="985">
        <v>7448074.6748000002</v>
      </c>
      <c r="P763" s="963">
        <v>0</v>
      </c>
      <c r="Q763" s="985">
        <v>0</v>
      </c>
      <c r="R763" s="964">
        <v>2020</v>
      </c>
      <c r="S763" s="1006" t="s">
        <v>1387</v>
      </c>
      <c r="U763" s="967"/>
    </row>
    <row r="764" spans="1:21" ht="39.6" customHeight="1">
      <c r="A764" s="956">
        <v>236</v>
      </c>
      <c r="B764" s="984" t="s">
        <v>1467</v>
      </c>
      <c r="C764" s="956">
        <v>2002</v>
      </c>
      <c r="D764" s="957"/>
      <c r="E764" s="956" t="s">
        <v>219</v>
      </c>
      <c r="F764" s="957">
        <v>5</v>
      </c>
      <c r="G764" s="957">
        <v>3</v>
      </c>
      <c r="H764" s="968">
        <v>4541.6000000000004</v>
      </c>
      <c r="I764" s="968">
        <v>3776.8</v>
      </c>
      <c r="J764" s="968">
        <v>1744.88</v>
      </c>
      <c r="K764" s="964">
        <v>150</v>
      </c>
      <c r="L764" s="971">
        <v>4083473.54</v>
      </c>
      <c r="M764" s="985">
        <v>0</v>
      </c>
      <c r="N764" s="985">
        <v>0</v>
      </c>
      <c r="O764" s="985">
        <v>4083473.54</v>
      </c>
      <c r="P764" s="963">
        <v>0</v>
      </c>
      <c r="Q764" s="985">
        <v>0</v>
      </c>
      <c r="R764" s="964">
        <v>2021</v>
      </c>
      <c r="S764" s="964">
        <v>2023</v>
      </c>
      <c r="U764" s="967"/>
    </row>
    <row r="765" spans="1:21" ht="39.6" customHeight="1">
      <c r="A765" s="956">
        <v>237</v>
      </c>
      <c r="B765" s="984" t="s">
        <v>1468</v>
      </c>
      <c r="C765" s="956">
        <v>1972</v>
      </c>
      <c r="D765" s="957"/>
      <c r="E765" s="956" t="s">
        <v>219</v>
      </c>
      <c r="F765" s="957">
        <v>5</v>
      </c>
      <c r="G765" s="957">
        <v>5</v>
      </c>
      <c r="H765" s="968">
        <v>6215.1</v>
      </c>
      <c r="I765" s="968">
        <v>4107.1000000000004</v>
      </c>
      <c r="J765" s="968">
        <v>3448.8</v>
      </c>
      <c r="K765" s="964">
        <v>180</v>
      </c>
      <c r="L765" s="971">
        <v>4018427.06</v>
      </c>
      <c r="M765" s="985">
        <v>0</v>
      </c>
      <c r="N765" s="985">
        <v>0</v>
      </c>
      <c r="O765" s="985">
        <v>4018427.06</v>
      </c>
      <c r="P765" s="963">
        <v>0</v>
      </c>
      <c r="Q765" s="985">
        <v>0</v>
      </c>
      <c r="R765" s="964">
        <v>2021</v>
      </c>
      <c r="S765" s="964">
        <v>2023</v>
      </c>
      <c r="U765" s="967"/>
    </row>
    <row r="766" spans="1:21" ht="42.6" customHeight="1">
      <c r="A766" s="956">
        <v>238</v>
      </c>
      <c r="B766" s="984" t="s">
        <v>1469</v>
      </c>
      <c r="C766" s="956">
        <v>1977</v>
      </c>
      <c r="D766" s="957"/>
      <c r="E766" s="956" t="s">
        <v>219</v>
      </c>
      <c r="F766" s="957">
        <v>5</v>
      </c>
      <c r="G766" s="957">
        <v>5</v>
      </c>
      <c r="H766" s="968">
        <v>5296.1</v>
      </c>
      <c r="I766" s="968">
        <v>3440.9</v>
      </c>
      <c r="J766" s="968">
        <v>2364.4</v>
      </c>
      <c r="K766" s="964">
        <v>163</v>
      </c>
      <c r="L766" s="971">
        <v>3642602.95</v>
      </c>
      <c r="M766" s="985">
        <v>0</v>
      </c>
      <c r="N766" s="985">
        <v>0</v>
      </c>
      <c r="O766" s="985">
        <v>3642602.95</v>
      </c>
      <c r="P766" s="963">
        <v>0</v>
      </c>
      <c r="Q766" s="985">
        <v>0</v>
      </c>
      <c r="R766" s="964">
        <v>2021</v>
      </c>
      <c r="S766" s="964">
        <v>2023</v>
      </c>
      <c r="U766" s="967"/>
    </row>
    <row r="767" spans="1:21" ht="40.9" customHeight="1">
      <c r="A767" s="956">
        <v>239</v>
      </c>
      <c r="B767" s="984" t="s">
        <v>1470</v>
      </c>
      <c r="C767" s="956">
        <v>2000</v>
      </c>
      <c r="D767" s="957"/>
      <c r="E767" s="956" t="s">
        <v>222</v>
      </c>
      <c r="F767" s="957">
        <v>2</v>
      </c>
      <c r="G767" s="957">
        <v>1</v>
      </c>
      <c r="H767" s="968">
        <v>1704</v>
      </c>
      <c r="I767" s="968">
        <v>667.4</v>
      </c>
      <c r="J767" s="968">
        <v>356.5</v>
      </c>
      <c r="K767" s="964">
        <v>28</v>
      </c>
      <c r="L767" s="971">
        <v>2532530.52</v>
      </c>
      <c r="M767" s="985">
        <v>0</v>
      </c>
      <c r="N767" s="985">
        <v>0</v>
      </c>
      <c r="O767" s="985">
        <v>2532530.52</v>
      </c>
      <c r="P767" s="963">
        <v>0</v>
      </c>
      <c r="Q767" s="985">
        <v>0</v>
      </c>
      <c r="R767" s="964">
        <v>2021</v>
      </c>
      <c r="S767" s="1006" t="s">
        <v>1387</v>
      </c>
      <c r="U767" s="967"/>
    </row>
    <row r="768" spans="1:21" ht="38.450000000000003" customHeight="1">
      <c r="A768" s="956">
        <v>240</v>
      </c>
      <c r="B768" s="984" t="s">
        <v>1471</v>
      </c>
      <c r="C768" s="956">
        <v>1936</v>
      </c>
      <c r="D768" s="957"/>
      <c r="E768" s="956" t="s">
        <v>218</v>
      </c>
      <c r="F768" s="957">
        <v>4</v>
      </c>
      <c r="G768" s="957">
        <v>4</v>
      </c>
      <c r="H768" s="968">
        <v>3235.4</v>
      </c>
      <c r="I768" s="968">
        <v>2570.8000000000002</v>
      </c>
      <c r="J768" s="968">
        <v>1076.9000000000001</v>
      </c>
      <c r="K768" s="964">
        <v>78</v>
      </c>
      <c r="L768" s="971">
        <v>4930203.2</v>
      </c>
      <c r="M768" s="985">
        <v>0</v>
      </c>
      <c r="N768" s="985">
        <v>0</v>
      </c>
      <c r="O768" s="985">
        <v>4930203.2</v>
      </c>
      <c r="P768" s="963">
        <v>0</v>
      </c>
      <c r="Q768" s="985">
        <v>0</v>
      </c>
      <c r="R768" s="964">
        <v>2021</v>
      </c>
      <c r="S768" s="1006" t="s">
        <v>1387</v>
      </c>
      <c r="U768" s="967"/>
    </row>
    <row r="769" spans="1:21" ht="45" customHeight="1">
      <c r="A769" s="956">
        <v>241</v>
      </c>
      <c r="B769" s="984" t="s">
        <v>1472</v>
      </c>
      <c r="C769" s="956">
        <v>1937</v>
      </c>
      <c r="D769" s="957"/>
      <c r="E769" s="956" t="s">
        <v>218</v>
      </c>
      <c r="F769" s="957">
        <v>4</v>
      </c>
      <c r="G769" s="957">
        <v>4</v>
      </c>
      <c r="H769" s="968">
        <v>3100.5</v>
      </c>
      <c r="I769" s="968">
        <v>2302.1999999999998</v>
      </c>
      <c r="J769" s="968">
        <v>653.79999999999995</v>
      </c>
      <c r="K769" s="964">
        <v>80</v>
      </c>
      <c r="L769" s="971">
        <v>7129266.5984800002</v>
      </c>
      <c r="M769" s="985">
        <v>0</v>
      </c>
      <c r="N769" s="985">
        <v>0</v>
      </c>
      <c r="O769" s="985">
        <v>7129266.5984800002</v>
      </c>
      <c r="P769" s="963">
        <v>0</v>
      </c>
      <c r="Q769" s="985">
        <v>0</v>
      </c>
      <c r="R769" s="964">
        <v>2022</v>
      </c>
      <c r="S769" s="1006" t="s">
        <v>1387</v>
      </c>
      <c r="U769" s="967"/>
    </row>
    <row r="770" spans="1:21" ht="42.6" customHeight="1">
      <c r="A770" s="956">
        <v>242</v>
      </c>
      <c r="B770" s="984" t="s">
        <v>1473</v>
      </c>
      <c r="C770" s="956">
        <v>1936</v>
      </c>
      <c r="D770" s="957"/>
      <c r="E770" s="956" t="s">
        <v>218</v>
      </c>
      <c r="F770" s="957">
        <v>4</v>
      </c>
      <c r="G770" s="957">
        <v>4</v>
      </c>
      <c r="H770" s="968">
        <v>3206.8</v>
      </c>
      <c r="I770" s="968">
        <v>2598.8000000000002</v>
      </c>
      <c r="J770" s="968">
        <v>1050.8</v>
      </c>
      <c r="K770" s="964">
        <v>76</v>
      </c>
      <c r="L770" s="971">
        <v>7996916.0359199997</v>
      </c>
      <c r="M770" s="985">
        <v>0</v>
      </c>
      <c r="N770" s="985">
        <v>0</v>
      </c>
      <c r="O770" s="985">
        <v>7996916.0359199997</v>
      </c>
      <c r="P770" s="963">
        <v>0</v>
      </c>
      <c r="Q770" s="985">
        <v>0</v>
      </c>
      <c r="R770" s="964">
        <v>2022</v>
      </c>
      <c r="S770" s="1006" t="s">
        <v>1387</v>
      </c>
      <c r="U770" s="967"/>
    </row>
    <row r="771" spans="1:21" ht="39" customHeight="1">
      <c r="A771" s="956">
        <v>243</v>
      </c>
      <c r="B771" s="984" t="s">
        <v>1474</v>
      </c>
      <c r="C771" s="956">
        <v>1934</v>
      </c>
      <c r="D771" s="957"/>
      <c r="E771" s="956" t="s">
        <v>218</v>
      </c>
      <c r="F771" s="957">
        <v>4</v>
      </c>
      <c r="G771" s="957">
        <v>4</v>
      </c>
      <c r="H771" s="968">
        <v>3398.16</v>
      </c>
      <c r="I771" s="968">
        <v>2544.4</v>
      </c>
      <c r="J771" s="968">
        <v>1442.3</v>
      </c>
      <c r="K771" s="964">
        <v>73</v>
      </c>
      <c r="L771" s="971">
        <v>4883214.8899999997</v>
      </c>
      <c r="M771" s="985">
        <v>0</v>
      </c>
      <c r="N771" s="985">
        <v>0</v>
      </c>
      <c r="O771" s="985">
        <v>4883214.8899999997</v>
      </c>
      <c r="P771" s="963">
        <v>0</v>
      </c>
      <c r="Q771" s="985">
        <v>0</v>
      </c>
      <c r="R771" s="964">
        <v>2022</v>
      </c>
      <c r="S771" s="1006" t="s">
        <v>1387</v>
      </c>
      <c r="U771" s="967"/>
    </row>
    <row r="772" spans="1:21" ht="40.9" customHeight="1">
      <c r="A772" s="1163" t="s">
        <v>2055</v>
      </c>
      <c r="B772" s="1164"/>
      <c r="C772" s="1164"/>
      <c r="D772" s="1164"/>
      <c r="E772" s="1164"/>
      <c r="F772" s="1164"/>
      <c r="G772" s="1165"/>
      <c r="H772" s="968">
        <f>H773</f>
        <v>2739.4</v>
      </c>
      <c r="I772" s="968">
        <f t="shared" ref="I772:Q772" si="130">I773</f>
        <v>2186</v>
      </c>
      <c r="J772" s="968">
        <f t="shared" si="130"/>
        <v>2042</v>
      </c>
      <c r="K772" s="968">
        <f t="shared" si="130"/>
        <v>79</v>
      </c>
      <c r="L772" s="971">
        <f t="shared" si="130"/>
        <v>11459859.27</v>
      </c>
      <c r="M772" s="968">
        <f t="shared" si="130"/>
        <v>0</v>
      </c>
      <c r="N772" s="968">
        <f t="shared" si="130"/>
        <v>0</v>
      </c>
      <c r="O772" s="968">
        <f t="shared" si="130"/>
        <v>11459859.27</v>
      </c>
      <c r="P772" s="968">
        <f t="shared" si="130"/>
        <v>0</v>
      </c>
      <c r="Q772" s="968">
        <f t="shared" si="130"/>
        <v>0</v>
      </c>
      <c r="R772" s="968" t="s">
        <v>40</v>
      </c>
      <c r="S772" s="968" t="s">
        <v>40</v>
      </c>
      <c r="U772" s="967"/>
    </row>
    <row r="773" spans="1:21" ht="40.15" customHeight="1">
      <c r="A773" s="956">
        <v>244</v>
      </c>
      <c r="B773" s="984" t="s">
        <v>1380</v>
      </c>
      <c r="C773" s="956">
        <v>1962</v>
      </c>
      <c r="D773" s="957">
        <v>2012</v>
      </c>
      <c r="E773" s="956" t="s">
        <v>218</v>
      </c>
      <c r="F773" s="957">
        <v>4</v>
      </c>
      <c r="G773" s="957">
        <v>3</v>
      </c>
      <c r="H773" s="968">
        <v>2739.4</v>
      </c>
      <c r="I773" s="968">
        <v>2186</v>
      </c>
      <c r="J773" s="968">
        <v>2042</v>
      </c>
      <c r="K773" s="964">
        <v>79</v>
      </c>
      <c r="L773" s="971">
        <v>11459859.27</v>
      </c>
      <c r="M773" s="985">
        <v>0</v>
      </c>
      <c r="N773" s="985">
        <v>0</v>
      </c>
      <c r="O773" s="985">
        <f>L773</f>
        <v>11459859.27</v>
      </c>
      <c r="P773" s="963">
        <v>0</v>
      </c>
      <c r="Q773" s="985">
        <v>0</v>
      </c>
      <c r="R773" s="964">
        <v>2022</v>
      </c>
      <c r="S773" s="964">
        <v>2023</v>
      </c>
      <c r="U773" s="967"/>
    </row>
    <row r="774" spans="1:21" ht="40.15" customHeight="1">
      <c r="A774" s="1163" t="s">
        <v>1053</v>
      </c>
      <c r="B774" s="1164"/>
      <c r="C774" s="1164"/>
      <c r="D774" s="1164"/>
      <c r="E774" s="1164"/>
      <c r="F774" s="1164"/>
      <c r="G774" s="1165"/>
      <c r="H774" s="968">
        <f>SUM(H775:H782)</f>
        <v>4777.5</v>
      </c>
      <c r="I774" s="968">
        <f t="shared" ref="I774:Q774" si="131">SUM(I775:I782)</f>
        <v>3225.3999999999996</v>
      </c>
      <c r="J774" s="968">
        <f t="shared" si="131"/>
        <v>2950.7000000000003</v>
      </c>
      <c r="K774" s="958">
        <f t="shared" si="131"/>
        <v>143</v>
      </c>
      <c r="L774" s="971">
        <f t="shared" si="131"/>
        <v>18914802.670000002</v>
      </c>
      <c r="M774" s="968">
        <f t="shared" si="131"/>
        <v>0</v>
      </c>
      <c r="N774" s="968">
        <f t="shared" si="131"/>
        <v>0</v>
      </c>
      <c r="O774" s="968">
        <f t="shared" si="131"/>
        <v>18914802.670000002</v>
      </c>
      <c r="P774" s="968">
        <f t="shared" si="131"/>
        <v>0</v>
      </c>
      <c r="Q774" s="968">
        <f t="shared" si="131"/>
        <v>0</v>
      </c>
      <c r="R774" s="968" t="s">
        <v>40</v>
      </c>
      <c r="S774" s="968" t="s">
        <v>40</v>
      </c>
      <c r="U774" s="967"/>
    </row>
    <row r="775" spans="1:21" ht="40.15" customHeight="1">
      <c r="A775" s="956">
        <v>245</v>
      </c>
      <c r="B775" s="986" t="s">
        <v>1110</v>
      </c>
      <c r="C775" s="957">
        <v>1962</v>
      </c>
      <c r="D775" s="957"/>
      <c r="E775" s="956" t="s">
        <v>218</v>
      </c>
      <c r="F775" s="957">
        <v>2</v>
      </c>
      <c r="G775" s="957">
        <v>1</v>
      </c>
      <c r="H775" s="968">
        <v>342.6</v>
      </c>
      <c r="I775" s="968">
        <v>307.39999999999998</v>
      </c>
      <c r="J775" s="968">
        <v>237.3</v>
      </c>
      <c r="K775" s="959">
        <v>15</v>
      </c>
      <c r="L775" s="971">
        <v>1473794.61</v>
      </c>
      <c r="M775" s="985">
        <v>0</v>
      </c>
      <c r="N775" s="985">
        <v>0</v>
      </c>
      <c r="O775" s="985">
        <f>L775</f>
        <v>1473794.61</v>
      </c>
      <c r="P775" s="963">
        <v>0</v>
      </c>
      <c r="Q775" s="985">
        <v>0</v>
      </c>
      <c r="R775" s="964">
        <v>2016</v>
      </c>
      <c r="S775" s="1006" t="s">
        <v>1387</v>
      </c>
      <c r="U775" s="967"/>
    </row>
    <row r="776" spans="1:21" ht="40.15" customHeight="1">
      <c r="A776" s="956">
        <v>246</v>
      </c>
      <c r="B776" s="986" t="s">
        <v>1205</v>
      </c>
      <c r="C776" s="957">
        <v>1967</v>
      </c>
      <c r="D776" s="957"/>
      <c r="E776" s="956" t="s">
        <v>218</v>
      </c>
      <c r="F776" s="957">
        <v>2</v>
      </c>
      <c r="G776" s="957">
        <v>2</v>
      </c>
      <c r="H776" s="968">
        <v>563.20000000000005</v>
      </c>
      <c r="I776" s="968">
        <v>528.4</v>
      </c>
      <c r="J776" s="968">
        <v>475.3</v>
      </c>
      <c r="K776" s="959">
        <v>14</v>
      </c>
      <c r="L776" s="971">
        <v>2121307.2200000002</v>
      </c>
      <c r="M776" s="985">
        <v>0</v>
      </c>
      <c r="N776" s="985">
        <v>0</v>
      </c>
      <c r="O776" s="985">
        <f>L776</f>
        <v>2121307.2200000002</v>
      </c>
      <c r="P776" s="963">
        <v>0</v>
      </c>
      <c r="Q776" s="985">
        <v>0</v>
      </c>
      <c r="R776" s="964">
        <v>2016</v>
      </c>
      <c r="S776" s="964">
        <v>2023</v>
      </c>
      <c r="U776" s="967"/>
    </row>
    <row r="777" spans="1:21" ht="40.15" customHeight="1">
      <c r="A777" s="956">
        <v>247</v>
      </c>
      <c r="B777" s="986" t="s">
        <v>1110</v>
      </c>
      <c r="C777" s="957">
        <v>1962</v>
      </c>
      <c r="D777" s="957"/>
      <c r="E777" s="956" t="s">
        <v>218</v>
      </c>
      <c r="F777" s="957">
        <v>2</v>
      </c>
      <c r="G777" s="957">
        <v>1</v>
      </c>
      <c r="H777" s="968">
        <v>342.6</v>
      </c>
      <c r="I777" s="968">
        <v>307.39999999999998</v>
      </c>
      <c r="J777" s="968">
        <v>237.3</v>
      </c>
      <c r="K777" s="959">
        <v>15</v>
      </c>
      <c r="L777" s="971">
        <v>943734.47</v>
      </c>
      <c r="M777" s="985">
        <v>0</v>
      </c>
      <c r="N777" s="985">
        <v>0</v>
      </c>
      <c r="O777" s="985">
        <v>943734.47</v>
      </c>
      <c r="P777" s="963">
        <f>Q777</f>
        <v>0</v>
      </c>
      <c r="Q777" s="985">
        <v>0</v>
      </c>
      <c r="R777" s="964">
        <v>2017</v>
      </c>
      <c r="S777" s="1006" t="s">
        <v>1387</v>
      </c>
      <c r="U777" s="967"/>
    </row>
    <row r="778" spans="1:21" ht="36" customHeight="1">
      <c r="A778" s="956">
        <v>248</v>
      </c>
      <c r="B778" s="986" t="s">
        <v>1206</v>
      </c>
      <c r="C778" s="957">
        <v>1970</v>
      </c>
      <c r="D778" s="957"/>
      <c r="E778" s="956" t="s">
        <v>218</v>
      </c>
      <c r="F778" s="957">
        <v>2</v>
      </c>
      <c r="G778" s="957">
        <v>2</v>
      </c>
      <c r="H778" s="968">
        <v>421.4</v>
      </c>
      <c r="I778" s="968">
        <v>373.4</v>
      </c>
      <c r="J778" s="968">
        <v>323.7</v>
      </c>
      <c r="K778" s="959">
        <v>22</v>
      </c>
      <c r="L778" s="971">
        <v>1679437.55</v>
      </c>
      <c r="M778" s="985">
        <v>0</v>
      </c>
      <c r="N778" s="985">
        <v>0</v>
      </c>
      <c r="O778" s="985">
        <f>L778</f>
        <v>1679437.55</v>
      </c>
      <c r="P778" s="963">
        <v>0</v>
      </c>
      <c r="Q778" s="985">
        <v>0</v>
      </c>
      <c r="R778" s="964">
        <v>2018</v>
      </c>
      <c r="S778" s="1006" t="s">
        <v>1387</v>
      </c>
      <c r="U778" s="967"/>
    </row>
    <row r="779" spans="1:21" ht="44.45" customHeight="1">
      <c r="A779" s="956">
        <v>249</v>
      </c>
      <c r="B779" s="986" t="s">
        <v>1082</v>
      </c>
      <c r="C779" s="957">
        <v>1981</v>
      </c>
      <c r="D779" s="957"/>
      <c r="E779" s="956" t="s">
        <v>218</v>
      </c>
      <c r="F779" s="957">
        <v>2</v>
      </c>
      <c r="G779" s="957">
        <v>3</v>
      </c>
      <c r="H779" s="968">
        <v>1440.4</v>
      </c>
      <c r="I779" s="968">
        <v>494.6</v>
      </c>
      <c r="J779" s="968">
        <v>494.6</v>
      </c>
      <c r="K779" s="959">
        <v>33</v>
      </c>
      <c r="L779" s="971">
        <v>3195065</v>
      </c>
      <c r="M779" s="985">
        <v>0</v>
      </c>
      <c r="N779" s="985">
        <v>0</v>
      </c>
      <c r="O779" s="985">
        <v>3195065</v>
      </c>
      <c r="P779" s="963">
        <v>0</v>
      </c>
      <c r="Q779" s="985">
        <v>0</v>
      </c>
      <c r="R779" s="964">
        <v>2021</v>
      </c>
      <c r="S779" s="964">
        <v>2023</v>
      </c>
      <c r="U779" s="967"/>
    </row>
    <row r="780" spans="1:21" ht="42.6" customHeight="1">
      <c r="A780" s="956">
        <v>250</v>
      </c>
      <c r="B780" s="986" t="s">
        <v>1083</v>
      </c>
      <c r="C780" s="957">
        <v>1969</v>
      </c>
      <c r="D780" s="957"/>
      <c r="E780" s="956" t="s">
        <v>218</v>
      </c>
      <c r="F780" s="957">
        <v>2</v>
      </c>
      <c r="G780" s="957">
        <v>1</v>
      </c>
      <c r="H780" s="968">
        <v>363.6</v>
      </c>
      <c r="I780" s="968">
        <v>336</v>
      </c>
      <c r="J780" s="968">
        <v>336</v>
      </c>
      <c r="K780" s="959">
        <v>10</v>
      </c>
      <c r="L780" s="971">
        <v>2306854.69</v>
      </c>
      <c r="M780" s="985">
        <v>0</v>
      </c>
      <c r="N780" s="985">
        <v>0</v>
      </c>
      <c r="O780" s="985">
        <v>2306854.69</v>
      </c>
      <c r="P780" s="963">
        <v>0</v>
      </c>
      <c r="Q780" s="985">
        <v>0</v>
      </c>
      <c r="R780" s="964">
        <v>2021</v>
      </c>
      <c r="S780" s="1006" t="s">
        <v>1387</v>
      </c>
      <c r="U780" s="967"/>
    </row>
    <row r="781" spans="1:21" ht="42.6" customHeight="1">
      <c r="A781" s="956">
        <v>251</v>
      </c>
      <c r="B781" s="986" t="s">
        <v>1099</v>
      </c>
      <c r="C781" s="957">
        <v>1972</v>
      </c>
      <c r="D781" s="957"/>
      <c r="E781" s="956" t="s">
        <v>220</v>
      </c>
      <c r="F781" s="957">
        <v>2</v>
      </c>
      <c r="G781" s="957">
        <v>1</v>
      </c>
      <c r="H781" s="968">
        <v>383.9</v>
      </c>
      <c r="I781" s="968">
        <v>351.1</v>
      </c>
      <c r="J781" s="968">
        <v>351.1</v>
      </c>
      <c r="K781" s="959">
        <v>8</v>
      </c>
      <c r="L781" s="971">
        <v>3182230.96</v>
      </c>
      <c r="M781" s="985">
        <v>0</v>
      </c>
      <c r="N781" s="985">
        <v>0</v>
      </c>
      <c r="O781" s="985">
        <v>3182230.96</v>
      </c>
      <c r="P781" s="963">
        <v>0</v>
      </c>
      <c r="Q781" s="985">
        <v>0</v>
      </c>
      <c r="R781" s="964">
        <v>2022</v>
      </c>
      <c r="S781" s="964">
        <v>2023</v>
      </c>
      <c r="U781" s="967"/>
    </row>
    <row r="782" spans="1:21" ht="40.15" customHeight="1">
      <c r="A782" s="956">
        <v>252</v>
      </c>
      <c r="B782" s="986" t="s">
        <v>1100</v>
      </c>
      <c r="C782" s="957">
        <v>1978</v>
      </c>
      <c r="D782" s="957"/>
      <c r="E782" s="956" t="s">
        <v>220</v>
      </c>
      <c r="F782" s="957">
        <v>2</v>
      </c>
      <c r="G782" s="957">
        <v>2</v>
      </c>
      <c r="H782" s="968">
        <v>919.8</v>
      </c>
      <c r="I782" s="968">
        <v>527.1</v>
      </c>
      <c r="J782" s="968">
        <v>495.4</v>
      </c>
      <c r="K782" s="959">
        <v>26</v>
      </c>
      <c r="L782" s="971">
        <v>4012378.17</v>
      </c>
      <c r="M782" s="985">
        <v>0</v>
      </c>
      <c r="N782" s="985">
        <v>0</v>
      </c>
      <c r="O782" s="985">
        <v>4012378.17</v>
      </c>
      <c r="P782" s="963">
        <v>0</v>
      </c>
      <c r="Q782" s="985">
        <v>0</v>
      </c>
      <c r="R782" s="964">
        <v>2022</v>
      </c>
      <c r="S782" s="964">
        <v>2023</v>
      </c>
      <c r="U782" s="967"/>
    </row>
    <row r="783" spans="1:21" ht="40.9" customHeight="1">
      <c r="A783" s="1172" t="s">
        <v>1973</v>
      </c>
      <c r="B783" s="1173"/>
      <c r="C783" s="1173"/>
      <c r="D783" s="1173"/>
      <c r="E783" s="1173"/>
      <c r="F783" s="1173"/>
      <c r="G783" s="1174"/>
      <c r="H783" s="968">
        <f>SUM(H784:H794)</f>
        <v>14097.569999999998</v>
      </c>
      <c r="I783" s="968">
        <f t="shared" ref="I783:Q783" si="132">SUM(I784:I794)</f>
        <v>12881.47</v>
      </c>
      <c r="J783" s="968">
        <f t="shared" si="132"/>
        <v>10484.17</v>
      </c>
      <c r="K783" s="958">
        <f t="shared" si="132"/>
        <v>519</v>
      </c>
      <c r="L783" s="971">
        <f t="shared" si="132"/>
        <v>39849754.019999996</v>
      </c>
      <c r="M783" s="968">
        <f t="shared" si="132"/>
        <v>0</v>
      </c>
      <c r="N783" s="968">
        <f t="shared" si="132"/>
        <v>0</v>
      </c>
      <c r="O783" s="968">
        <f t="shared" si="132"/>
        <v>39849754.019999996</v>
      </c>
      <c r="P783" s="968">
        <f t="shared" si="132"/>
        <v>0</v>
      </c>
      <c r="Q783" s="968">
        <f t="shared" si="132"/>
        <v>0</v>
      </c>
      <c r="R783" s="968" t="s">
        <v>40</v>
      </c>
      <c r="S783" s="968" t="s">
        <v>40</v>
      </c>
      <c r="U783" s="967"/>
    </row>
    <row r="784" spans="1:21" ht="46.15" customHeight="1">
      <c r="A784" s="956">
        <v>253</v>
      </c>
      <c r="B784" s="976" t="s">
        <v>827</v>
      </c>
      <c r="C784" s="957">
        <v>1956</v>
      </c>
      <c r="D784" s="957">
        <v>1997</v>
      </c>
      <c r="E784" s="956" t="s">
        <v>218</v>
      </c>
      <c r="F784" s="957">
        <v>2</v>
      </c>
      <c r="G784" s="957">
        <v>1</v>
      </c>
      <c r="H784" s="968">
        <v>960</v>
      </c>
      <c r="I784" s="968">
        <v>572.1</v>
      </c>
      <c r="J784" s="968">
        <v>375.8</v>
      </c>
      <c r="K784" s="959">
        <v>40</v>
      </c>
      <c r="L784" s="971">
        <v>873523.9</v>
      </c>
      <c r="M784" s="968">
        <v>0</v>
      </c>
      <c r="N784" s="968">
        <v>0</v>
      </c>
      <c r="O784" s="968">
        <v>873523.9</v>
      </c>
      <c r="P784" s="968">
        <v>0</v>
      </c>
      <c r="Q784" s="968">
        <v>0</v>
      </c>
      <c r="R784" s="964">
        <v>2018</v>
      </c>
      <c r="S784" s="1006" t="s">
        <v>1387</v>
      </c>
      <c r="U784" s="967"/>
    </row>
    <row r="785" spans="1:21" ht="46.15" customHeight="1">
      <c r="A785" s="956">
        <v>254</v>
      </c>
      <c r="B785" s="976" t="s">
        <v>828</v>
      </c>
      <c r="C785" s="957">
        <v>1952</v>
      </c>
      <c r="D785" s="957"/>
      <c r="E785" s="956" t="s">
        <v>218</v>
      </c>
      <c r="F785" s="957">
        <v>2</v>
      </c>
      <c r="G785" s="957">
        <v>2</v>
      </c>
      <c r="H785" s="968">
        <v>715.8</v>
      </c>
      <c r="I785" s="968">
        <v>712</v>
      </c>
      <c r="J785" s="968">
        <v>684.5</v>
      </c>
      <c r="K785" s="959">
        <v>32</v>
      </c>
      <c r="L785" s="971">
        <v>1451416.99</v>
      </c>
      <c r="M785" s="968">
        <v>0</v>
      </c>
      <c r="N785" s="968">
        <v>0</v>
      </c>
      <c r="O785" s="968">
        <v>1451416.99</v>
      </c>
      <c r="P785" s="968">
        <v>0</v>
      </c>
      <c r="Q785" s="968">
        <v>0</v>
      </c>
      <c r="R785" s="964">
        <v>2018</v>
      </c>
      <c r="S785" s="1006" t="s">
        <v>1387</v>
      </c>
      <c r="U785" s="967"/>
    </row>
    <row r="786" spans="1:21" ht="46.15" customHeight="1">
      <c r="A786" s="956">
        <v>255</v>
      </c>
      <c r="B786" s="976" t="s">
        <v>1353</v>
      </c>
      <c r="C786" s="957">
        <v>1958</v>
      </c>
      <c r="D786" s="957"/>
      <c r="E786" s="956" t="s">
        <v>218</v>
      </c>
      <c r="F786" s="957">
        <v>3</v>
      </c>
      <c r="G786" s="957">
        <v>2</v>
      </c>
      <c r="H786" s="968">
        <v>1118.5999999999999</v>
      </c>
      <c r="I786" s="968">
        <v>1118.5999999999999</v>
      </c>
      <c r="J786" s="968">
        <v>1118.5999999999999</v>
      </c>
      <c r="K786" s="959">
        <v>41</v>
      </c>
      <c r="L786" s="971">
        <v>2715253.21</v>
      </c>
      <c r="M786" s="968">
        <v>0</v>
      </c>
      <c r="N786" s="968">
        <v>0</v>
      </c>
      <c r="O786" s="968">
        <v>2715253.21</v>
      </c>
      <c r="P786" s="968">
        <v>0</v>
      </c>
      <c r="Q786" s="968">
        <v>0</v>
      </c>
      <c r="R786" s="964">
        <v>2020</v>
      </c>
      <c r="S786" s="1006" t="s">
        <v>1387</v>
      </c>
      <c r="U786" s="967"/>
    </row>
    <row r="787" spans="1:21" ht="40.9" customHeight="1">
      <c r="A787" s="956">
        <v>256</v>
      </c>
      <c r="B787" s="976" t="s">
        <v>1354</v>
      </c>
      <c r="C787" s="957">
        <v>1955</v>
      </c>
      <c r="D787" s="957"/>
      <c r="E787" s="956" t="s">
        <v>218</v>
      </c>
      <c r="F787" s="957">
        <v>2</v>
      </c>
      <c r="G787" s="957">
        <v>1</v>
      </c>
      <c r="H787" s="968">
        <v>606</v>
      </c>
      <c r="I787" s="968">
        <v>606</v>
      </c>
      <c r="J787" s="968">
        <v>605</v>
      </c>
      <c r="K787" s="959">
        <v>17</v>
      </c>
      <c r="L787" s="971">
        <v>634075.98</v>
      </c>
      <c r="M787" s="968">
        <v>0</v>
      </c>
      <c r="N787" s="968">
        <v>0</v>
      </c>
      <c r="O787" s="968">
        <v>634075.98</v>
      </c>
      <c r="P787" s="968">
        <v>0</v>
      </c>
      <c r="Q787" s="968">
        <v>0</v>
      </c>
      <c r="R787" s="964">
        <v>2020</v>
      </c>
      <c r="S787" s="1006" t="s">
        <v>1387</v>
      </c>
      <c r="U787" s="967"/>
    </row>
    <row r="788" spans="1:21" ht="45" customHeight="1">
      <c r="A788" s="956">
        <v>257</v>
      </c>
      <c r="B788" s="976" t="s">
        <v>1863</v>
      </c>
      <c r="C788" s="957">
        <v>1973</v>
      </c>
      <c r="D788" s="957"/>
      <c r="E788" s="956" t="s">
        <v>218</v>
      </c>
      <c r="F788" s="957">
        <v>5</v>
      </c>
      <c r="G788" s="957">
        <v>4</v>
      </c>
      <c r="H788" s="968">
        <v>3168.4</v>
      </c>
      <c r="I788" s="968">
        <v>3168.4</v>
      </c>
      <c r="J788" s="968">
        <v>1154.5999999999999</v>
      </c>
      <c r="K788" s="959">
        <v>111</v>
      </c>
      <c r="L788" s="971">
        <v>6749007.4000000004</v>
      </c>
      <c r="M788" s="968">
        <v>0</v>
      </c>
      <c r="N788" s="968">
        <v>0</v>
      </c>
      <c r="O788" s="968">
        <v>6749007.4000000004</v>
      </c>
      <c r="P788" s="968">
        <v>0</v>
      </c>
      <c r="Q788" s="968">
        <v>0</v>
      </c>
      <c r="R788" s="964">
        <v>2021</v>
      </c>
      <c r="S788" s="964">
        <v>2023</v>
      </c>
      <c r="U788" s="967"/>
    </row>
    <row r="789" spans="1:21" ht="42" customHeight="1">
      <c r="A789" s="956">
        <v>258</v>
      </c>
      <c r="B789" s="976" t="s">
        <v>1361</v>
      </c>
      <c r="C789" s="957">
        <v>1965</v>
      </c>
      <c r="D789" s="957"/>
      <c r="E789" s="956" t="s">
        <v>218</v>
      </c>
      <c r="F789" s="957">
        <v>4</v>
      </c>
      <c r="G789" s="957">
        <v>2</v>
      </c>
      <c r="H789" s="968">
        <v>1276</v>
      </c>
      <c r="I789" s="968">
        <v>1276</v>
      </c>
      <c r="J789" s="968">
        <v>1232.7</v>
      </c>
      <c r="K789" s="959">
        <v>41</v>
      </c>
      <c r="L789" s="971">
        <v>5000298.04</v>
      </c>
      <c r="M789" s="968">
        <v>0</v>
      </c>
      <c r="N789" s="968">
        <v>0</v>
      </c>
      <c r="O789" s="968">
        <v>5000298.04</v>
      </c>
      <c r="P789" s="968">
        <v>0</v>
      </c>
      <c r="Q789" s="968">
        <v>0</v>
      </c>
      <c r="R789" s="964">
        <v>2022</v>
      </c>
      <c r="S789" s="964">
        <v>2023</v>
      </c>
      <c r="U789" s="967"/>
    </row>
    <row r="790" spans="1:21" ht="42" customHeight="1">
      <c r="A790" s="956">
        <v>259</v>
      </c>
      <c r="B790" s="976" t="s">
        <v>1357</v>
      </c>
      <c r="C790" s="957">
        <v>1969</v>
      </c>
      <c r="D790" s="957"/>
      <c r="E790" s="956" t="s">
        <v>220</v>
      </c>
      <c r="F790" s="957">
        <v>2</v>
      </c>
      <c r="G790" s="957">
        <v>2</v>
      </c>
      <c r="H790" s="968">
        <v>624.4</v>
      </c>
      <c r="I790" s="968">
        <v>624.4</v>
      </c>
      <c r="J790" s="968">
        <v>624.4</v>
      </c>
      <c r="K790" s="959">
        <v>28</v>
      </c>
      <c r="L790" s="971">
        <v>5148593</v>
      </c>
      <c r="M790" s="968">
        <v>0</v>
      </c>
      <c r="N790" s="968">
        <v>0</v>
      </c>
      <c r="O790" s="968">
        <v>5148593</v>
      </c>
      <c r="P790" s="968">
        <v>0</v>
      </c>
      <c r="Q790" s="968">
        <v>0</v>
      </c>
      <c r="R790" s="964">
        <v>2022</v>
      </c>
      <c r="S790" s="1006" t="s">
        <v>1387</v>
      </c>
      <c r="U790" s="967"/>
    </row>
    <row r="791" spans="1:21" ht="42" customHeight="1">
      <c r="A791" s="956">
        <v>260</v>
      </c>
      <c r="B791" s="976" t="s">
        <v>1358</v>
      </c>
      <c r="C791" s="957">
        <v>1959</v>
      </c>
      <c r="D791" s="957"/>
      <c r="E791" s="956" t="s">
        <v>218</v>
      </c>
      <c r="F791" s="957">
        <v>2</v>
      </c>
      <c r="G791" s="957">
        <v>2</v>
      </c>
      <c r="H791" s="968">
        <v>698.3</v>
      </c>
      <c r="I791" s="968">
        <v>649.1</v>
      </c>
      <c r="J791" s="968">
        <v>649.1</v>
      </c>
      <c r="K791" s="959">
        <v>29</v>
      </c>
      <c r="L791" s="971">
        <v>6693171</v>
      </c>
      <c r="M791" s="968">
        <v>0</v>
      </c>
      <c r="N791" s="968">
        <v>0</v>
      </c>
      <c r="O791" s="968">
        <v>6693171</v>
      </c>
      <c r="P791" s="968">
        <v>0</v>
      </c>
      <c r="Q791" s="968">
        <v>0</v>
      </c>
      <c r="R791" s="964">
        <v>2022</v>
      </c>
      <c r="S791" s="964">
        <v>2023</v>
      </c>
      <c r="U791" s="967"/>
    </row>
    <row r="792" spans="1:21" ht="42" customHeight="1">
      <c r="A792" s="956">
        <v>261</v>
      </c>
      <c r="B792" s="976" t="s">
        <v>1359</v>
      </c>
      <c r="C792" s="957">
        <v>1960</v>
      </c>
      <c r="D792" s="957"/>
      <c r="E792" s="956" t="s">
        <v>222</v>
      </c>
      <c r="F792" s="957">
        <v>2</v>
      </c>
      <c r="G792" s="957">
        <v>2</v>
      </c>
      <c r="H792" s="968">
        <v>351.57</v>
      </c>
      <c r="I792" s="968">
        <v>351.57</v>
      </c>
      <c r="J792" s="968">
        <v>351.57</v>
      </c>
      <c r="K792" s="959">
        <v>21</v>
      </c>
      <c r="L792" s="971">
        <v>2701628.34</v>
      </c>
      <c r="M792" s="968">
        <v>0</v>
      </c>
      <c r="N792" s="968">
        <v>0</v>
      </c>
      <c r="O792" s="968">
        <v>2701628.34</v>
      </c>
      <c r="P792" s="968">
        <v>0</v>
      </c>
      <c r="Q792" s="968">
        <v>0</v>
      </c>
      <c r="R792" s="964">
        <v>2022</v>
      </c>
      <c r="S792" s="964">
        <v>2023</v>
      </c>
      <c r="U792" s="967"/>
    </row>
    <row r="793" spans="1:21" ht="42" customHeight="1">
      <c r="A793" s="956">
        <v>262</v>
      </c>
      <c r="B793" s="976" t="s">
        <v>1360</v>
      </c>
      <c r="C793" s="957">
        <v>1981</v>
      </c>
      <c r="D793" s="957"/>
      <c r="E793" s="956" t="s">
        <v>219</v>
      </c>
      <c r="F793" s="957">
        <v>5</v>
      </c>
      <c r="G793" s="957">
        <v>4</v>
      </c>
      <c r="H793" s="968">
        <v>3514.6</v>
      </c>
      <c r="I793" s="968">
        <v>2739.4</v>
      </c>
      <c r="J793" s="968">
        <v>2739.4</v>
      </c>
      <c r="K793" s="959">
        <v>110</v>
      </c>
      <c r="L793" s="971">
        <v>5190079.16</v>
      </c>
      <c r="M793" s="968">
        <v>0</v>
      </c>
      <c r="N793" s="968">
        <v>0</v>
      </c>
      <c r="O793" s="968">
        <v>5190079.16</v>
      </c>
      <c r="P793" s="968">
        <v>0</v>
      </c>
      <c r="Q793" s="968">
        <v>0</v>
      </c>
      <c r="R793" s="964">
        <v>2022</v>
      </c>
      <c r="S793" s="964">
        <v>2023</v>
      </c>
      <c r="U793" s="967"/>
    </row>
    <row r="794" spans="1:21" ht="42" customHeight="1">
      <c r="A794" s="956">
        <v>263</v>
      </c>
      <c r="B794" s="976" t="s">
        <v>1820</v>
      </c>
      <c r="C794" s="957">
        <v>1988</v>
      </c>
      <c r="D794" s="957"/>
      <c r="E794" s="956" t="s">
        <v>218</v>
      </c>
      <c r="F794" s="957">
        <v>2</v>
      </c>
      <c r="G794" s="957">
        <v>3</v>
      </c>
      <c r="H794" s="968">
        <v>1063.9000000000001</v>
      </c>
      <c r="I794" s="968">
        <v>1063.9000000000001</v>
      </c>
      <c r="J794" s="968">
        <v>948.5</v>
      </c>
      <c r="K794" s="959">
        <v>49</v>
      </c>
      <c r="L794" s="971">
        <v>2692707</v>
      </c>
      <c r="M794" s="968">
        <v>0</v>
      </c>
      <c r="N794" s="968">
        <v>0</v>
      </c>
      <c r="O794" s="968">
        <v>2692707</v>
      </c>
      <c r="P794" s="968">
        <v>0</v>
      </c>
      <c r="Q794" s="968">
        <v>0</v>
      </c>
      <c r="R794" s="957">
        <v>2022</v>
      </c>
      <c r="S794" s="957">
        <v>2022</v>
      </c>
      <c r="U794" s="967"/>
    </row>
    <row r="795" spans="1:21" ht="42" customHeight="1">
      <c r="A795" s="1163" t="s">
        <v>1174</v>
      </c>
      <c r="B795" s="1164"/>
      <c r="C795" s="1164"/>
      <c r="D795" s="1164"/>
      <c r="E795" s="1164"/>
      <c r="F795" s="1164"/>
      <c r="G795" s="1165"/>
      <c r="H795" s="968">
        <f>SUM(H796:H805)</f>
        <v>5051.3999999999996</v>
      </c>
      <c r="I795" s="968">
        <f t="shared" ref="I795:Q795" si="133">SUM(I796:I805)</f>
        <v>4405.3</v>
      </c>
      <c r="J795" s="968">
        <f t="shared" si="133"/>
        <v>4025.8</v>
      </c>
      <c r="K795" s="958">
        <f t="shared" si="133"/>
        <v>172</v>
      </c>
      <c r="L795" s="971">
        <f t="shared" si="133"/>
        <v>6809724.7699999996</v>
      </c>
      <c r="M795" s="968">
        <f t="shared" si="133"/>
        <v>0</v>
      </c>
      <c r="N795" s="968">
        <f t="shared" si="133"/>
        <v>0</v>
      </c>
      <c r="O795" s="968">
        <f t="shared" si="133"/>
        <v>6809724.7699999996</v>
      </c>
      <c r="P795" s="968">
        <f t="shared" si="133"/>
        <v>0</v>
      </c>
      <c r="Q795" s="968">
        <f t="shared" si="133"/>
        <v>0</v>
      </c>
      <c r="R795" s="968" t="s">
        <v>40</v>
      </c>
      <c r="S795" s="968" t="s">
        <v>40</v>
      </c>
      <c r="U795" s="967"/>
    </row>
    <row r="796" spans="1:21" ht="42" customHeight="1">
      <c r="A796" s="956">
        <v>264</v>
      </c>
      <c r="B796" s="989" t="s">
        <v>1179</v>
      </c>
      <c r="C796" s="956">
        <v>1970</v>
      </c>
      <c r="D796" s="956"/>
      <c r="E796" s="956" t="s">
        <v>218</v>
      </c>
      <c r="F796" s="957">
        <v>2</v>
      </c>
      <c r="G796" s="957">
        <v>1</v>
      </c>
      <c r="H796" s="963">
        <v>661.1</v>
      </c>
      <c r="I796" s="963">
        <v>539.79999999999995</v>
      </c>
      <c r="J796" s="963">
        <v>401.1</v>
      </c>
      <c r="K796" s="964">
        <v>19</v>
      </c>
      <c r="L796" s="965">
        <v>372773.9</v>
      </c>
      <c r="M796" s="985">
        <v>0</v>
      </c>
      <c r="N796" s="985">
        <v>0</v>
      </c>
      <c r="O796" s="963">
        <v>372773.9</v>
      </c>
      <c r="P796" s="963">
        <f t="shared" ref="P796:P803" si="134">Q796</f>
        <v>0</v>
      </c>
      <c r="Q796" s="985">
        <v>0</v>
      </c>
      <c r="R796" s="964">
        <v>2022</v>
      </c>
      <c r="S796" s="1006" t="s">
        <v>1387</v>
      </c>
      <c r="U796" s="967"/>
    </row>
    <row r="797" spans="1:21" ht="42" customHeight="1">
      <c r="A797" s="956">
        <v>265</v>
      </c>
      <c r="B797" s="989" t="s">
        <v>1864</v>
      </c>
      <c r="C797" s="956">
        <v>1990</v>
      </c>
      <c r="D797" s="956"/>
      <c r="E797" s="956" t="s">
        <v>218</v>
      </c>
      <c r="F797" s="957">
        <v>2</v>
      </c>
      <c r="G797" s="957">
        <v>2</v>
      </c>
      <c r="H797" s="963">
        <v>771</v>
      </c>
      <c r="I797" s="963">
        <v>771</v>
      </c>
      <c r="J797" s="963">
        <v>771</v>
      </c>
      <c r="K797" s="964">
        <v>23</v>
      </c>
      <c r="L797" s="965">
        <v>816611.93</v>
      </c>
      <c r="M797" s="985">
        <v>0</v>
      </c>
      <c r="N797" s="985">
        <v>0</v>
      </c>
      <c r="O797" s="963">
        <v>816611.93</v>
      </c>
      <c r="P797" s="963">
        <f t="shared" si="134"/>
        <v>0</v>
      </c>
      <c r="Q797" s="985">
        <v>0</v>
      </c>
      <c r="R797" s="964">
        <v>2022</v>
      </c>
      <c r="S797" s="1006" t="s">
        <v>1387</v>
      </c>
      <c r="U797" s="967"/>
    </row>
    <row r="798" spans="1:21" ht="42" customHeight="1">
      <c r="A798" s="956">
        <v>266</v>
      </c>
      <c r="B798" s="989" t="s">
        <v>1865</v>
      </c>
      <c r="C798" s="956">
        <v>1940</v>
      </c>
      <c r="D798" s="956">
        <v>1975</v>
      </c>
      <c r="E798" s="956" t="s">
        <v>218</v>
      </c>
      <c r="F798" s="957">
        <v>2</v>
      </c>
      <c r="G798" s="957">
        <v>1</v>
      </c>
      <c r="H798" s="963">
        <v>260.10000000000002</v>
      </c>
      <c r="I798" s="963">
        <v>248.8</v>
      </c>
      <c r="J798" s="963">
        <v>151.30000000000001</v>
      </c>
      <c r="K798" s="964">
        <v>8</v>
      </c>
      <c r="L798" s="965">
        <v>1988195.41</v>
      </c>
      <c r="M798" s="985">
        <v>0</v>
      </c>
      <c r="N798" s="985">
        <v>0</v>
      </c>
      <c r="O798" s="963">
        <v>1988195.41</v>
      </c>
      <c r="P798" s="963">
        <f t="shared" si="134"/>
        <v>0</v>
      </c>
      <c r="Q798" s="985">
        <v>0</v>
      </c>
      <c r="R798" s="964">
        <v>2022</v>
      </c>
      <c r="S798" s="1006" t="s">
        <v>1387</v>
      </c>
      <c r="U798" s="967"/>
    </row>
    <row r="799" spans="1:21" ht="42.6" customHeight="1">
      <c r="A799" s="956">
        <v>267</v>
      </c>
      <c r="B799" s="989" t="s">
        <v>1866</v>
      </c>
      <c r="C799" s="956">
        <v>1962</v>
      </c>
      <c r="D799" s="956"/>
      <c r="E799" s="956" t="s">
        <v>218</v>
      </c>
      <c r="F799" s="957">
        <v>2</v>
      </c>
      <c r="G799" s="957">
        <v>3</v>
      </c>
      <c r="H799" s="963">
        <v>466.9</v>
      </c>
      <c r="I799" s="963">
        <v>439.9</v>
      </c>
      <c r="J799" s="963">
        <v>439.9</v>
      </c>
      <c r="K799" s="964">
        <v>18</v>
      </c>
      <c r="L799" s="965">
        <v>469248.9</v>
      </c>
      <c r="M799" s="985">
        <v>0</v>
      </c>
      <c r="N799" s="985">
        <v>0</v>
      </c>
      <c r="O799" s="963">
        <v>469248.9</v>
      </c>
      <c r="P799" s="963">
        <f t="shared" si="134"/>
        <v>0</v>
      </c>
      <c r="Q799" s="985">
        <v>0</v>
      </c>
      <c r="R799" s="964">
        <v>2022</v>
      </c>
      <c r="S799" s="1006" t="s">
        <v>1387</v>
      </c>
      <c r="U799" s="967"/>
    </row>
    <row r="800" spans="1:21" ht="41.45" customHeight="1">
      <c r="A800" s="956">
        <v>268</v>
      </c>
      <c r="B800" s="989" t="s">
        <v>1867</v>
      </c>
      <c r="C800" s="956">
        <v>1940</v>
      </c>
      <c r="D800" s="956"/>
      <c r="E800" s="956" t="s">
        <v>218</v>
      </c>
      <c r="F800" s="957">
        <v>2</v>
      </c>
      <c r="G800" s="957">
        <v>1</v>
      </c>
      <c r="H800" s="963">
        <v>266</v>
      </c>
      <c r="I800" s="963">
        <v>153.9</v>
      </c>
      <c r="J800" s="963">
        <v>153.9</v>
      </c>
      <c r="K800" s="964">
        <v>15</v>
      </c>
      <c r="L800" s="965">
        <v>144588.16</v>
      </c>
      <c r="M800" s="985">
        <v>0</v>
      </c>
      <c r="N800" s="985">
        <v>0</v>
      </c>
      <c r="O800" s="963">
        <v>144588.16</v>
      </c>
      <c r="P800" s="963">
        <f t="shared" si="134"/>
        <v>0</v>
      </c>
      <c r="Q800" s="985">
        <v>0</v>
      </c>
      <c r="R800" s="964">
        <v>2022</v>
      </c>
      <c r="S800" s="1006" t="s">
        <v>1387</v>
      </c>
      <c r="U800" s="967"/>
    </row>
    <row r="801" spans="1:21" ht="40.9" customHeight="1">
      <c r="A801" s="956">
        <v>269</v>
      </c>
      <c r="B801" s="989" t="s">
        <v>1868</v>
      </c>
      <c r="C801" s="956">
        <v>1946</v>
      </c>
      <c r="D801" s="956"/>
      <c r="E801" s="956" t="s">
        <v>218</v>
      </c>
      <c r="F801" s="957">
        <v>2</v>
      </c>
      <c r="G801" s="957">
        <v>1</v>
      </c>
      <c r="H801" s="963">
        <v>362.9</v>
      </c>
      <c r="I801" s="963">
        <v>247.4</v>
      </c>
      <c r="J801" s="963">
        <v>159.80000000000001</v>
      </c>
      <c r="K801" s="964">
        <v>15</v>
      </c>
      <c r="L801" s="965">
        <v>229600.59</v>
      </c>
      <c r="M801" s="985">
        <v>0</v>
      </c>
      <c r="N801" s="985">
        <v>0</v>
      </c>
      <c r="O801" s="963">
        <v>229600.59</v>
      </c>
      <c r="P801" s="963">
        <f t="shared" si="134"/>
        <v>0</v>
      </c>
      <c r="Q801" s="985">
        <v>0</v>
      </c>
      <c r="R801" s="964">
        <v>2022</v>
      </c>
      <c r="S801" s="1006" t="s">
        <v>1387</v>
      </c>
      <c r="U801" s="967"/>
    </row>
    <row r="802" spans="1:21" ht="43.15" customHeight="1">
      <c r="A802" s="956">
        <v>270</v>
      </c>
      <c r="B802" s="989" t="s">
        <v>1869</v>
      </c>
      <c r="C802" s="956">
        <v>1940</v>
      </c>
      <c r="D802" s="956"/>
      <c r="E802" s="956" t="s">
        <v>218</v>
      </c>
      <c r="F802" s="957">
        <v>2</v>
      </c>
      <c r="G802" s="957">
        <v>1</v>
      </c>
      <c r="H802" s="963">
        <v>266</v>
      </c>
      <c r="I802" s="963">
        <v>153.9</v>
      </c>
      <c r="J802" s="963">
        <v>153.9</v>
      </c>
      <c r="K802" s="964">
        <v>15</v>
      </c>
      <c r="L802" s="965">
        <v>901836.45</v>
      </c>
      <c r="M802" s="985">
        <v>0</v>
      </c>
      <c r="N802" s="985">
        <v>0</v>
      </c>
      <c r="O802" s="963">
        <v>901836.45</v>
      </c>
      <c r="P802" s="963">
        <f t="shared" si="134"/>
        <v>0</v>
      </c>
      <c r="Q802" s="985">
        <v>0</v>
      </c>
      <c r="R802" s="964">
        <v>2022</v>
      </c>
      <c r="S802" s="1006" t="s">
        <v>1387</v>
      </c>
      <c r="U802" s="967"/>
    </row>
    <row r="803" spans="1:21" ht="42" customHeight="1">
      <c r="A803" s="956">
        <v>271</v>
      </c>
      <c r="B803" s="989" t="s">
        <v>2038</v>
      </c>
      <c r="C803" s="956">
        <v>1941</v>
      </c>
      <c r="D803" s="956"/>
      <c r="E803" s="956" t="s">
        <v>218</v>
      </c>
      <c r="F803" s="957">
        <v>2</v>
      </c>
      <c r="G803" s="957">
        <v>2</v>
      </c>
      <c r="H803" s="963">
        <v>862.7</v>
      </c>
      <c r="I803" s="963">
        <v>724.2</v>
      </c>
      <c r="J803" s="963">
        <v>668.5</v>
      </c>
      <c r="K803" s="964">
        <v>24</v>
      </c>
      <c r="L803" s="965">
        <v>680381.7</v>
      </c>
      <c r="M803" s="985">
        <v>0</v>
      </c>
      <c r="N803" s="985">
        <v>0</v>
      </c>
      <c r="O803" s="963">
        <v>680381.7</v>
      </c>
      <c r="P803" s="963">
        <f t="shared" si="134"/>
        <v>0</v>
      </c>
      <c r="Q803" s="985">
        <v>0</v>
      </c>
      <c r="R803" s="964">
        <v>2022</v>
      </c>
      <c r="S803" s="1006" t="s">
        <v>1387</v>
      </c>
      <c r="U803" s="967"/>
    </row>
    <row r="804" spans="1:21" ht="40.9" customHeight="1">
      <c r="A804" s="956">
        <v>272</v>
      </c>
      <c r="B804" s="989" t="s">
        <v>1870</v>
      </c>
      <c r="C804" s="956">
        <v>1971</v>
      </c>
      <c r="D804" s="956"/>
      <c r="E804" s="956" t="s">
        <v>218</v>
      </c>
      <c r="F804" s="957">
        <v>2</v>
      </c>
      <c r="G804" s="957">
        <v>1</v>
      </c>
      <c r="H804" s="963">
        <v>357</v>
      </c>
      <c r="I804" s="963">
        <v>357</v>
      </c>
      <c r="J804" s="963">
        <v>357</v>
      </c>
      <c r="K804" s="964">
        <v>12</v>
      </c>
      <c r="L804" s="965">
        <v>378691.3</v>
      </c>
      <c r="M804" s="985">
        <v>0</v>
      </c>
      <c r="N804" s="985">
        <v>0</v>
      </c>
      <c r="O804" s="963">
        <v>378691.3</v>
      </c>
      <c r="P804" s="963">
        <v>0</v>
      </c>
      <c r="Q804" s="985">
        <v>0</v>
      </c>
      <c r="R804" s="964">
        <v>2022</v>
      </c>
      <c r="S804" s="1006" t="s">
        <v>1387</v>
      </c>
      <c r="U804" s="967"/>
    </row>
    <row r="805" spans="1:21" ht="39.6" customHeight="1">
      <c r="A805" s="956">
        <v>273</v>
      </c>
      <c r="B805" s="989" t="s">
        <v>1871</v>
      </c>
      <c r="C805" s="956">
        <v>1973</v>
      </c>
      <c r="D805" s="956"/>
      <c r="E805" s="956" t="s">
        <v>218</v>
      </c>
      <c r="F805" s="957">
        <v>2</v>
      </c>
      <c r="G805" s="957">
        <v>2</v>
      </c>
      <c r="H805" s="963">
        <v>777.7</v>
      </c>
      <c r="I805" s="963">
        <v>769.4</v>
      </c>
      <c r="J805" s="963">
        <v>769.4</v>
      </c>
      <c r="K805" s="964">
        <v>23</v>
      </c>
      <c r="L805" s="965">
        <v>827796.43</v>
      </c>
      <c r="M805" s="985">
        <v>0</v>
      </c>
      <c r="N805" s="985">
        <v>0</v>
      </c>
      <c r="O805" s="963">
        <v>827796.43</v>
      </c>
      <c r="P805" s="963">
        <v>0</v>
      </c>
      <c r="Q805" s="985">
        <v>0</v>
      </c>
      <c r="R805" s="964">
        <v>2022</v>
      </c>
      <c r="S805" s="1006" t="s">
        <v>1387</v>
      </c>
      <c r="U805" s="967"/>
    </row>
    <row r="806" spans="1:21" ht="39.6" customHeight="1">
      <c r="A806" s="1163" t="s">
        <v>1978</v>
      </c>
      <c r="B806" s="1164"/>
      <c r="C806" s="1164"/>
      <c r="D806" s="1164"/>
      <c r="E806" s="1164"/>
      <c r="F806" s="1164"/>
      <c r="G806" s="1165"/>
      <c r="H806" s="968">
        <f>SUM(H807:H828)</f>
        <v>42295.69</v>
      </c>
      <c r="I806" s="968">
        <f t="shared" ref="I806:Q806" si="135">SUM(I807:I828)</f>
        <v>32546.100000000002</v>
      </c>
      <c r="J806" s="968">
        <f t="shared" si="135"/>
        <v>28973.499999999996</v>
      </c>
      <c r="K806" s="958">
        <f t="shared" si="135"/>
        <v>1367</v>
      </c>
      <c r="L806" s="971">
        <f t="shared" si="135"/>
        <v>71527022.519999996</v>
      </c>
      <c r="M806" s="968">
        <f t="shared" si="135"/>
        <v>0</v>
      </c>
      <c r="N806" s="968">
        <f t="shared" si="135"/>
        <v>0</v>
      </c>
      <c r="O806" s="968">
        <f t="shared" si="135"/>
        <v>71527022.519999996</v>
      </c>
      <c r="P806" s="968">
        <f t="shared" si="135"/>
        <v>0</v>
      </c>
      <c r="Q806" s="968">
        <f t="shared" si="135"/>
        <v>0</v>
      </c>
      <c r="R806" s="968" t="s">
        <v>40</v>
      </c>
      <c r="S806" s="968" t="s">
        <v>40</v>
      </c>
      <c r="U806" s="967"/>
    </row>
    <row r="807" spans="1:21" ht="40.9" customHeight="1">
      <c r="A807" s="956">
        <v>274</v>
      </c>
      <c r="B807" s="986" t="s">
        <v>1503</v>
      </c>
      <c r="C807" s="957">
        <v>1960</v>
      </c>
      <c r="D807" s="956"/>
      <c r="E807" s="956" t="s">
        <v>218</v>
      </c>
      <c r="F807" s="957">
        <v>4</v>
      </c>
      <c r="G807" s="956">
        <v>6</v>
      </c>
      <c r="H807" s="963">
        <v>6684.68</v>
      </c>
      <c r="I807" s="963">
        <v>4253.5</v>
      </c>
      <c r="J807" s="963">
        <v>3347</v>
      </c>
      <c r="K807" s="964">
        <v>353</v>
      </c>
      <c r="L807" s="971">
        <v>7570644.7199999997</v>
      </c>
      <c r="M807" s="985">
        <v>0</v>
      </c>
      <c r="N807" s="985">
        <v>0</v>
      </c>
      <c r="O807" s="985">
        <f t="shared" ref="O807:O812" si="136">L807</f>
        <v>7570644.7199999997</v>
      </c>
      <c r="P807" s="963">
        <v>0</v>
      </c>
      <c r="Q807" s="985">
        <v>0</v>
      </c>
      <c r="R807" s="964">
        <v>2017</v>
      </c>
      <c r="S807" s="1006" t="s">
        <v>1387</v>
      </c>
      <c r="U807" s="967"/>
    </row>
    <row r="808" spans="1:21" ht="40.9" customHeight="1">
      <c r="A808" s="956">
        <v>275</v>
      </c>
      <c r="B808" s="986" t="s">
        <v>1505</v>
      </c>
      <c r="C808" s="956">
        <v>1992</v>
      </c>
      <c r="D808" s="986"/>
      <c r="E808" s="956" t="s">
        <v>218</v>
      </c>
      <c r="F808" s="957">
        <v>3</v>
      </c>
      <c r="G808" s="957">
        <v>3</v>
      </c>
      <c r="H808" s="985">
        <v>1573.9</v>
      </c>
      <c r="I808" s="985">
        <v>1440.7</v>
      </c>
      <c r="J808" s="985">
        <v>1387.7</v>
      </c>
      <c r="K808" s="959">
        <v>69</v>
      </c>
      <c r="L808" s="971">
        <v>1082991.2</v>
      </c>
      <c r="M808" s="985">
        <v>0</v>
      </c>
      <c r="N808" s="985">
        <v>0</v>
      </c>
      <c r="O808" s="985">
        <f t="shared" si="136"/>
        <v>1082991.2</v>
      </c>
      <c r="P808" s="963">
        <v>0</v>
      </c>
      <c r="Q808" s="985">
        <v>0</v>
      </c>
      <c r="R808" s="964">
        <v>2017</v>
      </c>
      <c r="S808" s="1006" t="s">
        <v>1387</v>
      </c>
      <c r="U808" s="967"/>
    </row>
    <row r="809" spans="1:21" ht="40.9" customHeight="1">
      <c r="A809" s="956">
        <v>276</v>
      </c>
      <c r="B809" s="986" t="s">
        <v>1506</v>
      </c>
      <c r="C809" s="956">
        <v>1980</v>
      </c>
      <c r="D809" s="986"/>
      <c r="E809" s="956" t="s">
        <v>221</v>
      </c>
      <c r="F809" s="957">
        <v>2</v>
      </c>
      <c r="G809" s="957">
        <v>2</v>
      </c>
      <c r="H809" s="985">
        <v>509.8</v>
      </c>
      <c r="I809" s="985">
        <v>383</v>
      </c>
      <c r="J809" s="985">
        <v>383</v>
      </c>
      <c r="K809" s="959">
        <v>12</v>
      </c>
      <c r="L809" s="971">
        <v>1100148.81</v>
      </c>
      <c r="M809" s="985">
        <v>0</v>
      </c>
      <c r="N809" s="985">
        <v>0</v>
      </c>
      <c r="O809" s="985">
        <f t="shared" si="136"/>
        <v>1100148.81</v>
      </c>
      <c r="P809" s="963">
        <v>0</v>
      </c>
      <c r="Q809" s="985">
        <v>0</v>
      </c>
      <c r="R809" s="964">
        <v>2017</v>
      </c>
      <c r="S809" s="1006" t="s">
        <v>1387</v>
      </c>
      <c r="U809" s="967"/>
    </row>
    <row r="810" spans="1:21" ht="40.9" customHeight="1">
      <c r="A810" s="956">
        <v>277</v>
      </c>
      <c r="B810" s="986" t="s">
        <v>1504</v>
      </c>
      <c r="C810" s="956">
        <v>1950</v>
      </c>
      <c r="D810" s="956"/>
      <c r="E810" s="956" t="s">
        <v>218</v>
      </c>
      <c r="F810" s="957">
        <v>4</v>
      </c>
      <c r="G810" s="957">
        <v>4</v>
      </c>
      <c r="H810" s="985">
        <v>2412.37</v>
      </c>
      <c r="I810" s="985">
        <v>1680.1</v>
      </c>
      <c r="J810" s="985">
        <v>1237.8</v>
      </c>
      <c r="K810" s="959">
        <v>37</v>
      </c>
      <c r="L810" s="971">
        <v>10410913.539999999</v>
      </c>
      <c r="M810" s="985">
        <v>0</v>
      </c>
      <c r="N810" s="985">
        <v>0</v>
      </c>
      <c r="O810" s="985">
        <v>10410913.539999999</v>
      </c>
      <c r="P810" s="963">
        <v>0</v>
      </c>
      <c r="Q810" s="985">
        <v>0</v>
      </c>
      <c r="R810" s="964">
        <v>2018</v>
      </c>
      <c r="S810" s="1006" t="s">
        <v>1387</v>
      </c>
      <c r="U810" s="967"/>
    </row>
    <row r="811" spans="1:21" ht="40.9" customHeight="1">
      <c r="A811" s="956">
        <v>278</v>
      </c>
      <c r="B811" s="986" t="s">
        <v>1512</v>
      </c>
      <c r="C811" s="956">
        <v>1967</v>
      </c>
      <c r="D811" s="956"/>
      <c r="E811" s="956" t="s">
        <v>218</v>
      </c>
      <c r="F811" s="957">
        <v>5</v>
      </c>
      <c r="G811" s="957">
        <v>4</v>
      </c>
      <c r="H811" s="985">
        <v>4858.2</v>
      </c>
      <c r="I811" s="985">
        <v>3164.9</v>
      </c>
      <c r="J811" s="985">
        <v>2838.4</v>
      </c>
      <c r="K811" s="959">
        <v>103</v>
      </c>
      <c r="L811" s="971">
        <v>4188076.42</v>
      </c>
      <c r="M811" s="985">
        <v>0</v>
      </c>
      <c r="N811" s="985">
        <v>0</v>
      </c>
      <c r="O811" s="985">
        <f t="shared" si="136"/>
        <v>4188076.42</v>
      </c>
      <c r="P811" s="963">
        <v>0</v>
      </c>
      <c r="Q811" s="985">
        <v>0</v>
      </c>
      <c r="R811" s="964">
        <v>2018</v>
      </c>
      <c r="S811" s="1006" t="s">
        <v>1387</v>
      </c>
      <c r="U811" s="967"/>
    </row>
    <row r="812" spans="1:21" ht="40.9" customHeight="1">
      <c r="A812" s="956">
        <v>279</v>
      </c>
      <c r="B812" s="986" t="s">
        <v>1520</v>
      </c>
      <c r="C812" s="956">
        <v>1951</v>
      </c>
      <c r="D812" s="956"/>
      <c r="E812" s="956" t="s">
        <v>221</v>
      </c>
      <c r="F812" s="957">
        <v>2</v>
      </c>
      <c r="G812" s="957">
        <v>2</v>
      </c>
      <c r="H812" s="985">
        <v>464</v>
      </c>
      <c r="I812" s="985">
        <v>416.2</v>
      </c>
      <c r="J812" s="985">
        <v>416.2</v>
      </c>
      <c r="K812" s="959">
        <v>17</v>
      </c>
      <c r="L812" s="971">
        <v>1203937.3999999999</v>
      </c>
      <c r="M812" s="985">
        <v>0</v>
      </c>
      <c r="N812" s="985">
        <v>0</v>
      </c>
      <c r="O812" s="985">
        <f t="shared" si="136"/>
        <v>1203937.3999999999</v>
      </c>
      <c r="P812" s="963">
        <v>0</v>
      </c>
      <c r="Q812" s="985">
        <v>0</v>
      </c>
      <c r="R812" s="964">
        <v>2018</v>
      </c>
      <c r="S812" s="1006" t="s">
        <v>1387</v>
      </c>
      <c r="U812" s="967"/>
    </row>
    <row r="813" spans="1:21" ht="40.9" customHeight="1">
      <c r="A813" s="956">
        <v>280</v>
      </c>
      <c r="B813" s="976" t="s">
        <v>2039</v>
      </c>
      <c r="C813" s="956">
        <v>1991</v>
      </c>
      <c r="D813" s="956"/>
      <c r="E813" s="956" t="s">
        <v>218</v>
      </c>
      <c r="F813" s="956">
        <v>5</v>
      </c>
      <c r="G813" s="956">
        <v>1</v>
      </c>
      <c r="H813" s="963">
        <v>3069.8</v>
      </c>
      <c r="I813" s="963">
        <v>2651.7</v>
      </c>
      <c r="J813" s="963">
        <v>2653.7</v>
      </c>
      <c r="K813" s="956">
        <v>139</v>
      </c>
      <c r="L813" s="965">
        <v>3891225.05</v>
      </c>
      <c r="M813" s="985">
        <v>0</v>
      </c>
      <c r="N813" s="985">
        <v>0</v>
      </c>
      <c r="O813" s="963">
        <v>3891225.05</v>
      </c>
      <c r="P813" s="963">
        <v>0</v>
      </c>
      <c r="Q813" s="985">
        <v>0</v>
      </c>
      <c r="R813" s="964">
        <v>2021</v>
      </c>
      <c r="S813" s="1006" t="s">
        <v>1387</v>
      </c>
      <c r="U813" s="967"/>
    </row>
    <row r="814" spans="1:21" ht="40.9" customHeight="1">
      <c r="A814" s="956">
        <v>281</v>
      </c>
      <c r="B814" s="976" t="s">
        <v>1508</v>
      </c>
      <c r="C814" s="956">
        <v>1955</v>
      </c>
      <c r="D814" s="956"/>
      <c r="E814" s="956" t="s">
        <v>218</v>
      </c>
      <c r="F814" s="956">
        <v>3</v>
      </c>
      <c r="G814" s="956">
        <v>3</v>
      </c>
      <c r="H814" s="963">
        <v>1446.4</v>
      </c>
      <c r="I814" s="963">
        <v>1299.5</v>
      </c>
      <c r="J814" s="963">
        <v>1110.3</v>
      </c>
      <c r="K814" s="956">
        <v>38</v>
      </c>
      <c r="L814" s="965">
        <v>8271227.6399999997</v>
      </c>
      <c r="M814" s="985">
        <v>0</v>
      </c>
      <c r="N814" s="985">
        <v>0</v>
      </c>
      <c r="O814" s="963">
        <v>8271227.6399999997</v>
      </c>
      <c r="P814" s="963">
        <v>0</v>
      </c>
      <c r="Q814" s="985">
        <v>0</v>
      </c>
      <c r="R814" s="964">
        <v>2021</v>
      </c>
      <c r="S814" s="1006" t="s">
        <v>1387</v>
      </c>
      <c r="U814" s="967"/>
    </row>
    <row r="815" spans="1:21" ht="40.9" customHeight="1">
      <c r="A815" s="956">
        <v>282</v>
      </c>
      <c r="B815" s="976" t="s">
        <v>1509</v>
      </c>
      <c r="C815" s="956">
        <v>1938</v>
      </c>
      <c r="D815" s="956"/>
      <c r="E815" s="956" t="s">
        <v>221</v>
      </c>
      <c r="F815" s="956">
        <v>2</v>
      </c>
      <c r="G815" s="956">
        <v>2</v>
      </c>
      <c r="H815" s="963">
        <v>482.3</v>
      </c>
      <c r="I815" s="963">
        <v>482.3</v>
      </c>
      <c r="J815" s="963">
        <v>482.3</v>
      </c>
      <c r="K815" s="956">
        <v>10</v>
      </c>
      <c r="L815" s="965">
        <v>860021.25</v>
      </c>
      <c r="M815" s="985">
        <v>0</v>
      </c>
      <c r="N815" s="985">
        <v>0</v>
      </c>
      <c r="O815" s="963">
        <v>860021.25</v>
      </c>
      <c r="P815" s="963">
        <v>0</v>
      </c>
      <c r="Q815" s="985">
        <v>0</v>
      </c>
      <c r="R815" s="964">
        <v>2021</v>
      </c>
      <c r="S815" s="1006" t="s">
        <v>1387</v>
      </c>
      <c r="U815" s="967"/>
    </row>
    <row r="816" spans="1:21" ht="40.9" customHeight="1">
      <c r="A816" s="956">
        <v>283</v>
      </c>
      <c r="B816" s="976" t="s">
        <v>1510</v>
      </c>
      <c r="C816" s="956">
        <v>1955</v>
      </c>
      <c r="D816" s="956"/>
      <c r="E816" s="956" t="s">
        <v>218</v>
      </c>
      <c r="F816" s="956">
        <v>2</v>
      </c>
      <c r="G816" s="956">
        <v>2</v>
      </c>
      <c r="H816" s="963">
        <v>681.4</v>
      </c>
      <c r="I816" s="963">
        <v>441.4</v>
      </c>
      <c r="J816" s="963">
        <v>380</v>
      </c>
      <c r="K816" s="956">
        <v>8</v>
      </c>
      <c r="L816" s="965">
        <v>2855152.96</v>
      </c>
      <c r="M816" s="985">
        <v>0</v>
      </c>
      <c r="N816" s="985">
        <v>0</v>
      </c>
      <c r="O816" s="963">
        <v>2855152.96</v>
      </c>
      <c r="P816" s="963">
        <v>0</v>
      </c>
      <c r="Q816" s="985">
        <v>0</v>
      </c>
      <c r="R816" s="964">
        <v>2021</v>
      </c>
      <c r="S816" s="964">
        <v>2023</v>
      </c>
      <c r="U816" s="967"/>
    </row>
    <row r="817" spans="1:21" ht="40.9" customHeight="1">
      <c r="A817" s="956">
        <v>284</v>
      </c>
      <c r="B817" s="976" t="s">
        <v>1511</v>
      </c>
      <c r="C817" s="956">
        <v>1960</v>
      </c>
      <c r="D817" s="956"/>
      <c r="E817" s="956" t="s">
        <v>218</v>
      </c>
      <c r="F817" s="956">
        <v>2</v>
      </c>
      <c r="G817" s="956">
        <v>3</v>
      </c>
      <c r="H817" s="963">
        <v>673.8</v>
      </c>
      <c r="I817" s="963">
        <v>609.29999999999995</v>
      </c>
      <c r="J817" s="963">
        <v>609.29999999999995</v>
      </c>
      <c r="K817" s="956">
        <v>31</v>
      </c>
      <c r="L817" s="965">
        <v>2645172.71</v>
      </c>
      <c r="M817" s="985">
        <v>0</v>
      </c>
      <c r="N817" s="985">
        <v>0</v>
      </c>
      <c r="O817" s="963">
        <v>2645172.71</v>
      </c>
      <c r="P817" s="963">
        <v>0</v>
      </c>
      <c r="Q817" s="985">
        <v>0</v>
      </c>
      <c r="R817" s="964">
        <v>2021</v>
      </c>
      <c r="S817" s="964">
        <v>2023</v>
      </c>
      <c r="U817" s="967"/>
    </row>
    <row r="818" spans="1:21" ht="40.9" customHeight="1">
      <c r="A818" s="956">
        <v>285</v>
      </c>
      <c r="B818" s="976" t="s">
        <v>1512</v>
      </c>
      <c r="C818" s="956">
        <v>1967</v>
      </c>
      <c r="D818" s="956"/>
      <c r="E818" s="956" t="s">
        <v>218</v>
      </c>
      <c r="F818" s="956">
        <v>5</v>
      </c>
      <c r="G818" s="956">
        <v>4</v>
      </c>
      <c r="H818" s="963">
        <v>4858.2</v>
      </c>
      <c r="I818" s="963">
        <v>3171.8</v>
      </c>
      <c r="J818" s="963">
        <v>2881.5</v>
      </c>
      <c r="K818" s="956">
        <v>91</v>
      </c>
      <c r="L818" s="965">
        <v>5645367.5599999996</v>
      </c>
      <c r="M818" s="985">
        <v>0</v>
      </c>
      <c r="N818" s="985">
        <v>0</v>
      </c>
      <c r="O818" s="963">
        <v>5645367.5599999996</v>
      </c>
      <c r="P818" s="963">
        <v>0</v>
      </c>
      <c r="Q818" s="985">
        <v>0</v>
      </c>
      <c r="R818" s="964">
        <v>2021</v>
      </c>
      <c r="S818" s="1006" t="s">
        <v>1387</v>
      </c>
      <c r="U818" s="967"/>
    </row>
    <row r="819" spans="1:21" ht="40.9" customHeight="1">
      <c r="A819" s="956">
        <v>286</v>
      </c>
      <c r="B819" s="976" t="s">
        <v>1513</v>
      </c>
      <c r="C819" s="956">
        <v>1955</v>
      </c>
      <c r="D819" s="956"/>
      <c r="E819" s="956" t="s">
        <v>218</v>
      </c>
      <c r="F819" s="956">
        <v>2</v>
      </c>
      <c r="G819" s="956">
        <v>2</v>
      </c>
      <c r="H819" s="963">
        <v>410</v>
      </c>
      <c r="I819" s="963">
        <v>407.5</v>
      </c>
      <c r="J819" s="963">
        <v>407.5</v>
      </c>
      <c r="K819" s="956">
        <v>8</v>
      </c>
      <c r="L819" s="965">
        <v>3306753.05</v>
      </c>
      <c r="M819" s="985">
        <v>0</v>
      </c>
      <c r="N819" s="985">
        <v>0</v>
      </c>
      <c r="O819" s="963">
        <v>3306753.05</v>
      </c>
      <c r="P819" s="963">
        <v>0</v>
      </c>
      <c r="Q819" s="985">
        <v>0</v>
      </c>
      <c r="R819" s="964">
        <v>2022</v>
      </c>
      <c r="S819" s="964">
        <v>2023</v>
      </c>
      <c r="U819" s="967"/>
    </row>
    <row r="820" spans="1:21" ht="40.9" customHeight="1">
      <c r="A820" s="956">
        <v>287</v>
      </c>
      <c r="B820" s="976" t="s">
        <v>1514</v>
      </c>
      <c r="C820" s="956">
        <v>2010</v>
      </c>
      <c r="D820" s="956"/>
      <c r="E820" s="956" t="s">
        <v>220</v>
      </c>
      <c r="F820" s="956">
        <v>3</v>
      </c>
      <c r="G820" s="956">
        <v>1</v>
      </c>
      <c r="H820" s="963">
        <v>1380.7</v>
      </c>
      <c r="I820" s="963">
        <v>1063.3</v>
      </c>
      <c r="J820" s="963">
        <v>1063.3</v>
      </c>
      <c r="K820" s="956">
        <v>47</v>
      </c>
      <c r="L820" s="965">
        <v>1967908</v>
      </c>
      <c r="M820" s="985">
        <v>0</v>
      </c>
      <c r="N820" s="985">
        <v>0</v>
      </c>
      <c r="O820" s="963">
        <v>1967908</v>
      </c>
      <c r="P820" s="963">
        <v>0</v>
      </c>
      <c r="Q820" s="985">
        <v>0</v>
      </c>
      <c r="R820" s="964">
        <v>2022</v>
      </c>
      <c r="S820" s="964">
        <v>2023</v>
      </c>
      <c r="U820" s="967"/>
    </row>
    <row r="821" spans="1:21" ht="40.9" customHeight="1">
      <c r="A821" s="956">
        <v>288</v>
      </c>
      <c r="B821" s="976" t="s">
        <v>1515</v>
      </c>
      <c r="C821" s="956">
        <v>1980</v>
      </c>
      <c r="D821" s="956"/>
      <c r="E821" s="956" t="s">
        <v>218</v>
      </c>
      <c r="F821" s="956">
        <v>2</v>
      </c>
      <c r="G821" s="956">
        <v>3</v>
      </c>
      <c r="H821" s="963">
        <v>1056.3</v>
      </c>
      <c r="I821" s="963">
        <v>929.1</v>
      </c>
      <c r="J821" s="963">
        <v>929.1</v>
      </c>
      <c r="K821" s="956">
        <v>28</v>
      </c>
      <c r="L821" s="965">
        <v>5804112.5599999996</v>
      </c>
      <c r="M821" s="985">
        <v>0</v>
      </c>
      <c r="N821" s="985">
        <v>0</v>
      </c>
      <c r="O821" s="963">
        <v>5804112.5599999996</v>
      </c>
      <c r="P821" s="963">
        <v>0</v>
      </c>
      <c r="Q821" s="985">
        <v>0</v>
      </c>
      <c r="R821" s="964">
        <v>2022</v>
      </c>
      <c r="S821" s="964">
        <v>2023</v>
      </c>
      <c r="U821" s="967"/>
    </row>
    <row r="822" spans="1:21" ht="39.6" customHeight="1">
      <c r="A822" s="956">
        <v>289</v>
      </c>
      <c r="B822" s="976" t="s">
        <v>1516</v>
      </c>
      <c r="C822" s="956">
        <v>1986</v>
      </c>
      <c r="D822" s="956"/>
      <c r="E822" s="956" t="s">
        <v>218</v>
      </c>
      <c r="F822" s="956">
        <v>2</v>
      </c>
      <c r="G822" s="956">
        <v>3</v>
      </c>
      <c r="H822" s="963">
        <v>929.8</v>
      </c>
      <c r="I822" s="963">
        <v>884.7</v>
      </c>
      <c r="J822" s="963">
        <v>884.7</v>
      </c>
      <c r="K822" s="956">
        <v>32</v>
      </c>
      <c r="L822" s="965">
        <v>2037865</v>
      </c>
      <c r="M822" s="985">
        <v>0</v>
      </c>
      <c r="N822" s="985">
        <v>0</v>
      </c>
      <c r="O822" s="963">
        <v>2037865</v>
      </c>
      <c r="P822" s="963">
        <v>0</v>
      </c>
      <c r="Q822" s="985">
        <v>0</v>
      </c>
      <c r="R822" s="964">
        <v>2022</v>
      </c>
      <c r="S822" s="964">
        <v>2023</v>
      </c>
      <c r="U822" s="967"/>
    </row>
    <row r="823" spans="1:21" ht="40.9" customHeight="1">
      <c r="A823" s="956">
        <v>290</v>
      </c>
      <c r="B823" s="976" t="s">
        <v>1517</v>
      </c>
      <c r="C823" s="956">
        <v>1975</v>
      </c>
      <c r="D823" s="956"/>
      <c r="E823" s="956" t="s">
        <v>219</v>
      </c>
      <c r="F823" s="956">
        <v>5</v>
      </c>
      <c r="G823" s="956">
        <v>4</v>
      </c>
      <c r="H823" s="963">
        <v>3420.5</v>
      </c>
      <c r="I823" s="963">
        <v>2587.4</v>
      </c>
      <c r="J823" s="963">
        <v>2587.4</v>
      </c>
      <c r="K823" s="956">
        <v>104</v>
      </c>
      <c r="L823" s="965">
        <v>2587273</v>
      </c>
      <c r="M823" s="985">
        <v>0</v>
      </c>
      <c r="N823" s="985">
        <v>0</v>
      </c>
      <c r="O823" s="963">
        <v>2587273</v>
      </c>
      <c r="P823" s="963">
        <v>0</v>
      </c>
      <c r="Q823" s="985">
        <v>0</v>
      </c>
      <c r="R823" s="964">
        <v>2022</v>
      </c>
      <c r="S823" s="964">
        <v>2023</v>
      </c>
      <c r="U823" s="967"/>
    </row>
    <row r="824" spans="1:21" ht="40.9" customHeight="1">
      <c r="A824" s="956">
        <v>291</v>
      </c>
      <c r="B824" s="976" t="s">
        <v>1518</v>
      </c>
      <c r="C824" s="956">
        <v>1881</v>
      </c>
      <c r="D824" s="956"/>
      <c r="E824" s="956" t="s">
        <v>221</v>
      </c>
      <c r="F824" s="956">
        <v>1</v>
      </c>
      <c r="G824" s="956">
        <v>1</v>
      </c>
      <c r="H824" s="963">
        <v>170.7</v>
      </c>
      <c r="I824" s="963">
        <v>150.9</v>
      </c>
      <c r="J824" s="963">
        <v>150.9</v>
      </c>
      <c r="K824" s="956">
        <v>8</v>
      </c>
      <c r="L824" s="965">
        <v>647870</v>
      </c>
      <c r="M824" s="985">
        <v>0</v>
      </c>
      <c r="N824" s="985">
        <v>0</v>
      </c>
      <c r="O824" s="963">
        <v>647870</v>
      </c>
      <c r="P824" s="963">
        <v>0</v>
      </c>
      <c r="Q824" s="985">
        <v>0</v>
      </c>
      <c r="R824" s="964">
        <v>2022</v>
      </c>
      <c r="S824" s="964">
        <v>2023</v>
      </c>
      <c r="U824" s="967"/>
    </row>
    <row r="825" spans="1:21" ht="42.6" customHeight="1">
      <c r="A825" s="956">
        <v>292</v>
      </c>
      <c r="B825" s="976" t="s">
        <v>1519</v>
      </c>
      <c r="C825" s="956">
        <v>1946</v>
      </c>
      <c r="D825" s="956"/>
      <c r="E825" s="956" t="s">
        <v>221</v>
      </c>
      <c r="F825" s="956">
        <v>2</v>
      </c>
      <c r="G825" s="956">
        <v>2</v>
      </c>
      <c r="H825" s="963">
        <v>840.64</v>
      </c>
      <c r="I825" s="963">
        <v>481.1</v>
      </c>
      <c r="J825" s="963">
        <v>481.1</v>
      </c>
      <c r="K825" s="956">
        <v>23</v>
      </c>
      <c r="L825" s="965">
        <v>67897</v>
      </c>
      <c r="M825" s="985">
        <v>0</v>
      </c>
      <c r="N825" s="985">
        <v>0</v>
      </c>
      <c r="O825" s="963">
        <v>67897</v>
      </c>
      <c r="P825" s="963">
        <v>0</v>
      </c>
      <c r="Q825" s="985">
        <v>0</v>
      </c>
      <c r="R825" s="964">
        <v>2022</v>
      </c>
      <c r="S825" s="964">
        <v>2023</v>
      </c>
      <c r="U825" s="967"/>
    </row>
    <row r="826" spans="1:21" ht="43.9" customHeight="1">
      <c r="A826" s="956">
        <v>293</v>
      </c>
      <c r="B826" s="976" t="s">
        <v>1509</v>
      </c>
      <c r="C826" s="956">
        <v>1938</v>
      </c>
      <c r="D826" s="956"/>
      <c r="E826" s="956" t="s">
        <v>221</v>
      </c>
      <c r="F826" s="956">
        <v>2</v>
      </c>
      <c r="G826" s="956">
        <v>2</v>
      </c>
      <c r="H826" s="963">
        <v>479.9</v>
      </c>
      <c r="I826" s="963">
        <v>479.9</v>
      </c>
      <c r="J826" s="963">
        <v>479.9</v>
      </c>
      <c r="K826" s="956">
        <v>10</v>
      </c>
      <c r="L826" s="965">
        <v>53033</v>
      </c>
      <c r="M826" s="985">
        <v>0</v>
      </c>
      <c r="N826" s="985">
        <v>0</v>
      </c>
      <c r="O826" s="963">
        <v>53033</v>
      </c>
      <c r="P826" s="963">
        <v>0</v>
      </c>
      <c r="Q826" s="985">
        <v>0</v>
      </c>
      <c r="R826" s="964">
        <v>2022</v>
      </c>
      <c r="S826" s="964">
        <v>2023</v>
      </c>
      <c r="U826" s="967"/>
    </row>
    <row r="827" spans="1:21" ht="43.9" customHeight="1">
      <c r="A827" s="956">
        <v>294</v>
      </c>
      <c r="B827" s="986" t="s">
        <v>1799</v>
      </c>
      <c r="C827" s="956">
        <v>1989</v>
      </c>
      <c r="D827" s="956"/>
      <c r="E827" s="956" t="s">
        <v>218</v>
      </c>
      <c r="F827" s="957">
        <v>5</v>
      </c>
      <c r="G827" s="957">
        <v>5</v>
      </c>
      <c r="H827" s="985">
        <v>3619.4</v>
      </c>
      <c r="I827" s="985">
        <v>3619.4</v>
      </c>
      <c r="J827" s="985">
        <v>3138.6</v>
      </c>
      <c r="K827" s="959">
        <v>123</v>
      </c>
      <c r="L827" s="971">
        <v>183334</v>
      </c>
      <c r="M827" s="985">
        <v>0</v>
      </c>
      <c r="N827" s="985">
        <v>0</v>
      </c>
      <c r="O827" s="985">
        <v>183334</v>
      </c>
      <c r="P827" s="963">
        <v>0</v>
      </c>
      <c r="Q827" s="985">
        <v>0</v>
      </c>
      <c r="R827" s="964">
        <v>2018</v>
      </c>
      <c r="S827" s="1006" t="s">
        <v>1387</v>
      </c>
      <c r="U827" s="967"/>
    </row>
    <row r="828" spans="1:21" ht="43.9" customHeight="1">
      <c r="A828" s="956">
        <v>295</v>
      </c>
      <c r="B828" s="986" t="s">
        <v>1806</v>
      </c>
      <c r="C828" s="957">
        <v>1979</v>
      </c>
      <c r="D828" s="956"/>
      <c r="E828" s="956" t="s">
        <v>218</v>
      </c>
      <c r="F828" s="957">
        <v>5</v>
      </c>
      <c r="G828" s="957">
        <v>1</v>
      </c>
      <c r="H828" s="985">
        <v>2272.9</v>
      </c>
      <c r="I828" s="985">
        <v>1948.4</v>
      </c>
      <c r="J828" s="985">
        <v>1123.8</v>
      </c>
      <c r="K828" s="959">
        <v>76</v>
      </c>
      <c r="L828" s="971">
        <v>5146097.6500000004</v>
      </c>
      <c r="M828" s="968">
        <v>0</v>
      </c>
      <c r="N828" s="968">
        <v>0</v>
      </c>
      <c r="O828" s="968">
        <v>5146097.6500000004</v>
      </c>
      <c r="P828" s="968">
        <v>0</v>
      </c>
      <c r="Q828" s="968">
        <v>0</v>
      </c>
      <c r="R828" s="956">
        <v>2020</v>
      </c>
      <c r="S828" s="1006" t="s">
        <v>1387</v>
      </c>
      <c r="U828" s="967"/>
    </row>
    <row r="829" spans="1:21" ht="40.15" customHeight="1">
      <c r="A829" s="1163" t="s">
        <v>1052</v>
      </c>
      <c r="B829" s="1164"/>
      <c r="C829" s="1164"/>
      <c r="D829" s="1164"/>
      <c r="E829" s="1164"/>
      <c r="F829" s="1164"/>
      <c r="G829" s="1165"/>
      <c r="H829" s="968">
        <f t="shared" ref="H829:Q829" si="137">SUM(H830:H832)</f>
        <v>3476.9</v>
      </c>
      <c r="I829" s="968">
        <f t="shared" si="137"/>
        <v>3476.9</v>
      </c>
      <c r="J829" s="968">
        <f t="shared" si="137"/>
        <v>3356.9</v>
      </c>
      <c r="K829" s="958">
        <f t="shared" si="137"/>
        <v>73</v>
      </c>
      <c r="L829" s="971">
        <f t="shared" si="137"/>
        <v>11138273.600000001</v>
      </c>
      <c r="M829" s="968">
        <f t="shared" si="137"/>
        <v>0</v>
      </c>
      <c r="N829" s="968">
        <f t="shared" si="137"/>
        <v>108602.48</v>
      </c>
      <c r="O829" s="968">
        <f t="shared" si="137"/>
        <v>11029671.120000001</v>
      </c>
      <c r="P829" s="968">
        <f t="shared" si="137"/>
        <v>0</v>
      </c>
      <c r="Q829" s="968">
        <f t="shared" si="137"/>
        <v>0</v>
      </c>
      <c r="R829" s="968" t="s">
        <v>40</v>
      </c>
      <c r="S829" s="968" t="s">
        <v>40</v>
      </c>
      <c r="U829" s="967"/>
    </row>
    <row r="830" spans="1:21" ht="37.9" customHeight="1">
      <c r="A830" s="956">
        <v>296</v>
      </c>
      <c r="B830" s="986" t="s">
        <v>1084</v>
      </c>
      <c r="C830" s="957">
        <v>1960</v>
      </c>
      <c r="D830" s="957"/>
      <c r="E830" s="956" t="s">
        <v>218</v>
      </c>
      <c r="F830" s="957">
        <v>2</v>
      </c>
      <c r="G830" s="957">
        <v>2</v>
      </c>
      <c r="H830" s="968">
        <v>502</v>
      </c>
      <c r="I830" s="968">
        <v>502</v>
      </c>
      <c r="J830" s="968">
        <v>442</v>
      </c>
      <c r="K830" s="959">
        <v>12</v>
      </c>
      <c r="L830" s="971">
        <v>2800229.35</v>
      </c>
      <c r="M830" s="968">
        <v>0</v>
      </c>
      <c r="N830" s="968">
        <v>0</v>
      </c>
      <c r="O830" s="968">
        <v>2800229.35</v>
      </c>
      <c r="P830" s="968">
        <v>0</v>
      </c>
      <c r="Q830" s="968">
        <v>0</v>
      </c>
      <c r="R830" s="964">
        <v>2021</v>
      </c>
      <c r="S830" s="964">
        <v>2023</v>
      </c>
      <c r="U830" s="967"/>
    </row>
    <row r="831" spans="1:21" ht="41.45" customHeight="1">
      <c r="A831" s="956">
        <v>297</v>
      </c>
      <c r="B831" s="986" t="s">
        <v>1101</v>
      </c>
      <c r="C831" s="957">
        <v>1972</v>
      </c>
      <c r="D831" s="957"/>
      <c r="E831" s="956" t="s">
        <v>218</v>
      </c>
      <c r="F831" s="957">
        <v>2</v>
      </c>
      <c r="G831" s="957">
        <v>2</v>
      </c>
      <c r="H831" s="968">
        <v>526</v>
      </c>
      <c r="I831" s="968">
        <v>526</v>
      </c>
      <c r="J831" s="968">
        <v>466</v>
      </c>
      <c r="K831" s="959">
        <v>12</v>
      </c>
      <c r="L831" s="971">
        <v>2215840.4500000002</v>
      </c>
      <c r="M831" s="968">
        <v>0</v>
      </c>
      <c r="N831" s="968">
        <v>0</v>
      </c>
      <c r="O831" s="968">
        <v>2215840.4500000002</v>
      </c>
      <c r="P831" s="968">
        <v>0</v>
      </c>
      <c r="Q831" s="968">
        <v>0</v>
      </c>
      <c r="R831" s="964">
        <v>2022</v>
      </c>
      <c r="S831" s="964">
        <v>2023</v>
      </c>
      <c r="U831" s="967"/>
    </row>
    <row r="832" spans="1:21" ht="48" customHeight="1">
      <c r="A832" s="956">
        <v>298</v>
      </c>
      <c r="B832" s="986" t="s">
        <v>1220</v>
      </c>
      <c r="C832" s="957">
        <v>1985</v>
      </c>
      <c r="D832" s="957"/>
      <c r="E832" s="956" t="s">
        <v>218</v>
      </c>
      <c r="F832" s="957">
        <v>5</v>
      </c>
      <c r="G832" s="957">
        <v>4</v>
      </c>
      <c r="H832" s="968">
        <v>2448.9</v>
      </c>
      <c r="I832" s="968">
        <v>2448.9</v>
      </c>
      <c r="J832" s="968">
        <v>2448.9</v>
      </c>
      <c r="K832" s="959">
        <v>49</v>
      </c>
      <c r="L832" s="971">
        <v>6122203.7999999998</v>
      </c>
      <c r="M832" s="968">
        <v>0</v>
      </c>
      <c r="N832" s="968">
        <v>108602.48</v>
      </c>
      <c r="O832" s="968">
        <v>6013601.3200000003</v>
      </c>
      <c r="P832" s="968">
        <v>0</v>
      </c>
      <c r="Q832" s="968">
        <v>0</v>
      </c>
      <c r="R832" s="964">
        <v>2022</v>
      </c>
      <c r="S832" s="1006" t="s">
        <v>1387</v>
      </c>
      <c r="U832" s="967"/>
    </row>
    <row r="833" spans="1:21" ht="42.6" customHeight="1">
      <c r="A833" s="1163" t="s">
        <v>1236</v>
      </c>
      <c r="B833" s="1164"/>
      <c r="C833" s="1164"/>
      <c r="D833" s="1164"/>
      <c r="E833" s="1164"/>
      <c r="F833" s="1164"/>
      <c r="G833" s="1165"/>
      <c r="H833" s="963">
        <f>SUM(H834:H836)</f>
        <v>3672.1</v>
      </c>
      <c r="I833" s="963">
        <f t="shared" ref="I833:Q833" si="138">SUM(I834:I836)</f>
        <v>3350.7</v>
      </c>
      <c r="J833" s="963">
        <f t="shared" si="138"/>
        <v>2997</v>
      </c>
      <c r="K833" s="977">
        <f t="shared" si="138"/>
        <v>94</v>
      </c>
      <c r="L833" s="965">
        <f t="shared" si="138"/>
        <v>7060927.2999999998</v>
      </c>
      <c r="M833" s="963">
        <f t="shared" si="138"/>
        <v>0</v>
      </c>
      <c r="N833" s="963">
        <f t="shared" si="138"/>
        <v>0</v>
      </c>
      <c r="O833" s="963">
        <f t="shared" si="138"/>
        <v>7060927.2999999998</v>
      </c>
      <c r="P833" s="963">
        <f t="shared" si="138"/>
        <v>0</v>
      </c>
      <c r="Q833" s="963">
        <f t="shared" si="138"/>
        <v>0</v>
      </c>
      <c r="R833" s="968" t="s">
        <v>40</v>
      </c>
      <c r="S833" s="968" t="s">
        <v>40</v>
      </c>
      <c r="U833" s="967"/>
    </row>
    <row r="834" spans="1:21" ht="42.6" customHeight="1">
      <c r="A834" s="956">
        <v>299</v>
      </c>
      <c r="B834" s="986" t="s">
        <v>1244</v>
      </c>
      <c r="C834" s="956">
        <v>1966</v>
      </c>
      <c r="D834" s="956"/>
      <c r="E834" s="956" t="s">
        <v>218</v>
      </c>
      <c r="F834" s="956">
        <v>2</v>
      </c>
      <c r="G834" s="956">
        <v>2</v>
      </c>
      <c r="H834" s="963">
        <v>525.4</v>
      </c>
      <c r="I834" s="963">
        <v>469</v>
      </c>
      <c r="J834" s="963">
        <v>421.5</v>
      </c>
      <c r="K834" s="964">
        <v>17</v>
      </c>
      <c r="L834" s="971">
        <v>1415265</v>
      </c>
      <c r="M834" s="985">
        <v>0</v>
      </c>
      <c r="N834" s="985">
        <v>0</v>
      </c>
      <c r="O834" s="985">
        <v>1415265</v>
      </c>
      <c r="P834" s="963">
        <v>0</v>
      </c>
      <c r="Q834" s="985">
        <v>0</v>
      </c>
      <c r="R834" s="964">
        <v>2020</v>
      </c>
      <c r="S834" s="964">
        <v>2023</v>
      </c>
      <c r="U834" s="967"/>
    </row>
    <row r="835" spans="1:21" ht="40.15" customHeight="1">
      <c r="A835" s="956">
        <v>300</v>
      </c>
      <c r="B835" s="986" t="s">
        <v>1342</v>
      </c>
      <c r="C835" s="956">
        <v>1985</v>
      </c>
      <c r="D835" s="956"/>
      <c r="E835" s="956" t="s">
        <v>219</v>
      </c>
      <c r="F835" s="956">
        <v>3</v>
      </c>
      <c r="G835" s="956">
        <v>3</v>
      </c>
      <c r="H835" s="963">
        <v>1493.3</v>
      </c>
      <c r="I835" s="963">
        <v>1371.3</v>
      </c>
      <c r="J835" s="963">
        <v>1371.3</v>
      </c>
      <c r="K835" s="964">
        <v>32</v>
      </c>
      <c r="L835" s="971">
        <v>2957358.13</v>
      </c>
      <c r="M835" s="985">
        <v>0</v>
      </c>
      <c r="N835" s="985">
        <v>0</v>
      </c>
      <c r="O835" s="985">
        <v>2957358.13</v>
      </c>
      <c r="P835" s="963">
        <v>0</v>
      </c>
      <c r="Q835" s="985">
        <v>0</v>
      </c>
      <c r="R835" s="964">
        <v>2021</v>
      </c>
      <c r="S835" s="1006" t="s">
        <v>1387</v>
      </c>
      <c r="U835" s="967"/>
    </row>
    <row r="836" spans="1:21" ht="49.15" customHeight="1">
      <c r="A836" s="956">
        <v>301</v>
      </c>
      <c r="B836" s="986" t="s">
        <v>1242</v>
      </c>
      <c r="C836" s="956">
        <v>1974</v>
      </c>
      <c r="D836" s="956"/>
      <c r="E836" s="956" t="s">
        <v>218</v>
      </c>
      <c r="F836" s="956">
        <v>3</v>
      </c>
      <c r="G836" s="956">
        <v>3</v>
      </c>
      <c r="H836" s="963">
        <v>1653.4</v>
      </c>
      <c r="I836" s="963">
        <v>1510.4</v>
      </c>
      <c r="J836" s="963">
        <v>1204.2</v>
      </c>
      <c r="K836" s="964">
        <v>45</v>
      </c>
      <c r="L836" s="971">
        <v>2688304.17</v>
      </c>
      <c r="M836" s="985">
        <v>0</v>
      </c>
      <c r="N836" s="985">
        <v>0</v>
      </c>
      <c r="O836" s="985">
        <v>2688304.17</v>
      </c>
      <c r="P836" s="963">
        <v>0</v>
      </c>
      <c r="Q836" s="985">
        <v>0</v>
      </c>
      <c r="R836" s="964">
        <v>2022</v>
      </c>
      <c r="S836" s="1006" t="s">
        <v>1387</v>
      </c>
      <c r="U836" s="967"/>
    </row>
    <row r="837" spans="1:21" ht="43.15" customHeight="1">
      <c r="A837" s="1163" t="s">
        <v>1056</v>
      </c>
      <c r="B837" s="1164"/>
      <c r="C837" s="1164"/>
      <c r="D837" s="1164"/>
      <c r="E837" s="1164"/>
      <c r="F837" s="1164"/>
      <c r="G837" s="1165"/>
      <c r="H837" s="968">
        <f t="shared" ref="H837:Q837" si="139">SUM(H838:H843)</f>
        <v>6304.6</v>
      </c>
      <c r="I837" s="968">
        <f t="shared" si="139"/>
        <v>5847.53</v>
      </c>
      <c r="J837" s="968">
        <f t="shared" si="139"/>
        <v>5847.53</v>
      </c>
      <c r="K837" s="958">
        <f t="shared" si="139"/>
        <v>217</v>
      </c>
      <c r="L837" s="971">
        <f t="shared" si="139"/>
        <v>18536911</v>
      </c>
      <c r="M837" s="968">
        <f t="shared" si="139"/>
        <v>0</v>
      </c>
      <c r="N837" s="968">
        <f t="shared" si="139"/>
        <v>0</v>
      </c>
      <c r="O837" s="968">
        <f t="shared" si="139"/>
        <v>18536911</v>
      </c>
      <c r="P837" s="968">
        <f t="shared" si="139"/>
        <v>0</v>
      </c>
      <c r="Q837" s="968">
        <f t="shared" si="139"/>
        <v>0</v>
      </c>
      <c r="R837" s="968" t="s">
        <v>40</v>
      </c>
      <c r="S837" s="968" t="s">
        <v>40</v>
      </c>
      <c r="U837" s="967"/>
    </row>
    <row r="838" spans="1:21" ht="42" customHeight="1">
      <c r="A838" s="956">
        <v>302</v>
      </c>
      <c r="B838" s="976" t="s">
        <v>1112</v>
      </c>
      <c r="C838" s="957">
        <v>1984</v>
      </c>
      <c r="D838" s="957"/>
      <c r="E838" s="956" t="s">
        <v>219</v>
      </c>
      <c r="F838" s="957">
        <v>3</v>
      </c>
      <c r="G838" s="957">
        <v>2</v>
      </c>
      <c r="H838" s="968">
        <v>933.9</v>
      </c>
      <c r="I838" s="968">
        <v>843.53</v>
      </c>
      <c r="J838" s="968">
        <v>843.53</v>
      </c>
      <c r="K838" s="959">
        <v>36</v>
      </c>
      <c r="L838" s="971">
        <v>3066572.83</v>
      </c>
      <c r="M838" s="968">
        <v>0</v>
      </c>
      <c r="N838" s="968">
        <v>0</v>
      </c>
      <c r="O838" s="968">
        <v>3066572.83</v>
      </c>
      <c r="P838" s="968">
        <v>0</v>
      </c>
      <c r="Q838" s="968">
        <v>0</v>
      </c>
      <c r="R838" s="964">
        <v>2016</v>
      </c>
      <c r="S838" s="964">
        <v>2023</v>
      </c>
      <c r="U838" s="967"/>
    </row>
    <row r="839" spans="1:21" ht="43.9" customHeight="1">
      <c r="A839" s="956">
        <v>303</v>
      </c>
      <c r="B839" s="976" t="s">
        <v>1207</v>
      </c>
      <c r="C839" s="957">
        <v>1983</v>
      </c>
      <c r="D839" s="957"/>
      <c r="E839" s="956" t="s">
        <v>219</v>
      </c>
      <c r="F839" s="957">
        <v>3</v>
      </c>
      <c r="G839" s="957">
        <v>3</v>
      </c>
      <c r="H839" s="968">
        <v>1446.2</v>
      </c>
      <c r="I839" s="968">
        <v>1291</v>
      </c>
      <c r="J839" s="968">
        <v>1291</v>
      </c>
      <c r="K839" s="959">
        <v>38</v>
      </c>
      <c r="L839" s="971">
        <v>5176709.83</v>
      </c>
      <c r="M839" s="968">
        <v>0</v>
      </c>
      <c r="N839" s="968">
        <v>0</v>
      </c>
      <c r="O839" s="968">
        <v>5176709.83</v>
      </c>
      <c r="P839" s="968">
        <v>0</v>
      </c>
      <c r="Q839" s="968">
        <v>0</v>
      </c>
      <c r="R839" s="964">
        <v>2016</v>
      </c>
      <c r="S839" s="1006" t="s">
        <v>1387</v>
      </c>
      <c r="U839" s="967"/>
    </row>
    <row r="840" spans="1:21" ht="40.9" customHeight="1">
      <c r="A840" s="956">
        <v>304</v>
      </c>
      <c r="B840" s="972" t="s">
        <v>1085</v>
      </c>
      <c r="C840" s="957">
        <v>1969</v>
      </c>
      <c r="D840" s="957"/>
      <c r="E840" s="956" t="s">
        <v>218</v>
      </c>
      <c r="F840" s="957">
        <v>2</v>
      </c>
      <c r="G840" s="957">
        <v>2</v>
      </c>
      <c r="H840" s="968">
        <v>568.20000000000005</v>
      </c>
      <c r="I840" s="968">
        <v>518.20000000000005</v>
      </c>
      <c r="J840" s="968">
        <v>518.20000000000005</v>
      </c>
      <c r="K840" s="959">
        <v>11</v>
      </c>
      <c r="L840" s="971">
        <v>1961218.92</v>
      </c>
      <c r="M840" s="968">
        <v>0</v>
      </c>
      <c r="N840" s="968">
        <v>0</v>
      </c>
      <c r="O840" s="968">
        <f>L840</f>
        <v>1961218.92</v>
      </c>
      <c r="P840" s="968">
        <v>0</v>
      </c>
      <c r="Q840" s="968">
        <v>0</v>
      </c>
      <c r="R840" s="964">
        <v>2021</v>
      </c>
      <c r="S840" s="1006" t="s">
        <v>1387</v>
      </c>
      <c r="U840" s="967"/>
    </row>
    <row r="841" spans="1:21" ht="42" customHeight="1">
      <c r="A841" s="956">
        <v>305</v>
      </c>
      <c r="B841" s="972" t="s">
        <v>1197</v>
      </c>
      <c r="C841" s="957">
        <v>1980</v>
      </c>
      <c r="D841" s="957"/>
      <c r="E841" s="956" t="s">
        <v>218</v>
      </c>
      <c r="F841" s="957">
        <v>2</v>
      </c>
      <c r="G841" s="957">
        <v>2</v>
      </c>
      <c r="H841" s="968">
        <v>817.1</v>
      </c>
      <c r="I841" s="968">
        <v>746.8</v>
      </c>
      <c r="J841" s="968">
        <v>746.8</v>
      </c>
      <c r="K841" s="959">
        <v>31</v>
      </c>
      <c r="L841" s="971">
        <v>2856558</v>
      </c>
      <c r="M841" s="968">
        <v>0</v>
      </c>
      <c r="N841" s="968">
        <v>0</v>
      </c>
      <c r="O841" s="968">
        <v>2856558</v>
      </c>
      <c r="P841" s="968">
        <v>0</v>
      </c>
      <c r="Q841" s="968">
        <v>0</v>
      </c>
      <c r="R841" s="964">
        <v>2021</v>
      </c>
      <c r="S841" s="964">
        <v>2023</v>
      </c>
      <c r="U841" s="967"/>
    </row>
    <row r="842" spans="1:21" ht="40.9" customHeight="1">
      <c r="A842" s="956">
        <v>306</v>
      </c>
      <c r="B842" s="972" t="s">
        <v>1221</v>
      </c>
      <c r="C842" s="957">
        <v>1974</v>
      </c>
      <c r="D842" s="957"/>
      <c r="E842" s="956" t="s">
        <v>218</v>
      </c>
      <c r="F842" s="957">
        <v>2</v>
      </c>
      <c r="G842" s="957">
        <v>1</v>
      </c>
      <c r="H842" s="968">
        <v>801.1</v>
      </c>
      <c r="I842" s="968">
        <v>720.7</v>
      </c>
      <c r="J842" s="968">
        <v>720.7</v>
      </c>
      <c r="K842" s="959">
        <v>34</v>
      </c>
      <c r="L842" s="971">
        <v>3163087.64</v>
      </c>
      <c r="M842" s="968">
        <v>0</v>
      </c>
      <c r="N842" s="968">
        <v>0</v>
      </c>
      <c r="O842" s="968">
        <v>3163087.64</v>
      </c>
      <c r="P842" s="968">
        <v>0</v>
      </c>
      <c r="Q842" s="968">
        <v>0</v>
      </c>
      <c r="R842" s="964">
        <v>2022</v>
      </c>
      <c r="S842" s="1006" t="s">
        <v>1387</v>
      </c>
      <c r="U842" s="967"/>
    </row>
    <row r="843" spans="1:21" ht="43.9" customHeight="1">
      <c r="A843" s="956">
        <v>307</v>
      </c>
      <c r="B843" s="976" t="s">
        <v>1102</v>
      </c>
      <c r="C843" s="957">
        <v>1986</v>
      </c>
      <c r="D843" s="957"/>
      <c r="E843" s="956" t="s">
        <v>218</v>
      </c>
      <c r="F843" s="957">
        <v>4</v>
      </c>
      <c r="G843" s="957">
        <v>2</v>
      </c>
      <c r="H843" s="968">
        <v>1738.1</v>
      </c>
      <c r="I843" s="968">
        <v>1727.3</v>
      </c>
      <c r="J843" s="968">
        <v>1727.3</v>
      </c>
      <c r="K843" s="959">
        <v>67</v>
      </c>
      <c r="L843" s="971">
        <v>2312763.7799999998</v>
      </c>
      <c r="M843" s="968">
        <v>0</v>
      </c>
      <c r="N843" s="968">
        <v>0</v>
      </c>
      <c r="O843" s="968">
        <v>2312763.7799999998</v>
      </c>
      <c r="P843" s="968">
        <v>0</v>
      </c>
      <c r="Q843" s="968">
        <v>0</v>
      </c>
      <c r="R843" s="964">
        <v>2022</v>
      </c>
      <c r="S843" s="1006" t="s">
        <v>1387</v>
      </c>
      <c r="U843" s="967"/>
    </row>
    <row r="844" spans="1:21" ht="45" customHeight="1">
      <c r="A844" s="1163" t="s">
        <v>1175</v>
      </c>
      <c r="B844" s="1164"/>
      <c r="C844" s="1164"/>
      <c r="D844" s="1164"/>
      <c r="E844" s="1164"/>
      <c r="F844" s="1164"/>
      <c r="G844" s="1165"/>
      <c r="H844" s="968">
        <f>SUM(H845:H847)</f>
        <v>4612.3</v>
      </c>
      <c r="I844" s="968">
        <f t="shared" ref="I844:Q844" si="140">SUM(I845:I847)</f>
        <v>4552.8999999999996</v>
      </c>
      <c r="J844" s="968">
        <f t="shared" si="140"/>
        <v>4192.6000000000004</v>
      </c>
      <c r="K844" s="958">
        <f t="shared" si="140"/>
        <v>158</v>
      </c>
      <c r="L844" s="971">
        <f t="shared" si="140"/>
        <v>6556171.6500000004</v>
      </c>
      <c r="M844" s="968">
        <f t="shared" si="140"/>
        <v>0</v>
      </c>
      <c r="N844" s="968">
        <f t="shared" si="140"/>
        <v>0</v>
      </c>
      <c r="O844" s="968">
        <f t="shared" si="140"/>
        <v>6556171.6500000004</v>
      </c>
      <c r="P844" s="968">
        <f t="shared" si="140"/>
        <v>0</v>
      </c>
      <c r="Q844" s="968">
        <f t="shared" si="140"/>
        <v>0</v>
      </c>
      <c r="R844" s="968" t="s">
        <v>40</v>
      </c>
      <c r="S844" s="968" t="s">
        <v>40</v>
      </c>
      <c r="U844" s="967"/>
    </row>
    <row r="845" spans="1:21" ht="40.9" customHeight="1">
      <c r="A845" s="956">
        <v>308</v>
      </c>
      <c r="B845" s="986" t="s">
        <v>1178</v>
      </c>
      <c r="C845" s="957">
        <v>1980</v>
      </c>
      <c r="D845" s="957"/>
      <c r="E845" s="956" t="s">
        <v>218</v>
      </c>
      <c r="F845" s="957">
        <v>2</v>
      </c>
      <c r="G845" s="957">
        <v>2</v>
      </c>
      <c r="H845" s="968">
        <v>789.1</v>
      </c>
      <c r="I845" s="968">
        <v>729.7</v>
      </c>
      <c r="J845" s="968">
        <v>729.7</v>
      </c>
      <c r="K845" s="959">
        <v>33</v>
      </c>
      <c r="L845" s="971">
        <v>1298765.6000000001</v>
      </c>
      <c r="M845" s="985">
        <v>0</v>
      </c>
      <c r="N845" s="985">
        <v>0</v>
      </c>
      <c r="O845" s="985">
        <v>1298765.6000000001</v>
      </c>
      <c r="P845" s="963">
        <v>0</v>
      </c>
      <c r="Q845" s="985">
        <v>0</v>
      </c>
      <c r="R845" s="964">
        <v>2018</v>
      </c>
      <c r="S845" s="1006" t="s">
        <v>1387</v>
      </c>
      <c r="U845" s="967"/>
    </row>
    <row r="846" spans="1:21" ht="39.6" customHeight="1">
      <c r="A846" s="956">
        <v>309</v>
      </c>
      <c r="B846" s="986" t="s">
        <v>1177</v>
      </c>
      <c r="C846" s="957">
        <v>1970</v>
      </c>
      <c r="D846" s="957"/>
      <c r="E846" s="956" t="s">
        <v>218</v>
      </c>
      <c r="F846" s="957">
        <v>2</v>
      </c>
      <c r="G846" s="957">
        <v>2</v>
      </c>
      <c r="H846" s="968">
        <v>662.8</v>
      </c>
      <c r="I846" s="968">
        <v>662.8</v>
      </c>
      <c r="J846" s="968">
        <v>662.8</v>
      </c>
      <c r="K846" s="959">
        <v>17</v>
      </c>
      <c r="L846" s="971">
        <v>2209261.06</v>
      </c>
      <c r="M846" s="985">
        <v>0</v>
      </c>
      <c r="N846" s="985">
        <v>0</v>
      </c>
      <c r="O846" s="985">
        <v>2209261.06</v>
      </c>
      <c r="P846" s="963">
        <v>0</v>
      </c>
      <c r="Q846" s="985">
        <v>0</v>
      </c>
      <c r="R846" s="964">
        <v>2022</v>
      </c>
      <c r="S846" s="964">
        <v>2023</v>
      </c>
      <c r="U846" s="967"/>
    </row>
    <row r="847" spans="1:21" ht="39.6" customHeight="1">
      <c r="A847" s="956">
        <v>310</v>
      </c>
      <c r="B847" s="986" t="s">
        <v>1815</v>
      </c>
      <c r="C847" s="957">
        <v>1980</v>
      </c>
      <c r="D847" s="957"/>
      <c r="E847" s="956" t="s">
        <v>219</v>
      </c>
      <c r="F847" s="957">
        <v>5</v>
      </c>
      <c r="G847" s="957">
        <v>4</v>
      </c>
      <c r="H847" s="968">
        <v>3160.4</v>
      </c>
      <c r="I847" s="968">
        <v>3160.4</v>
      </c>
      <c r="J847" s="968">
        <v>2800.1</v>
      </c>
      <c r="K847" s="959">
        <v>108</v>
      </c>
      <c r="L847" s="971">
        <v>3048144.99</v>
      </c>
      <c r="M847" s="985">
        <v>0</v>
      </c>
      <c r="N847" s="985">
        <v>0</v>
      </c>
      <c r="O847" s="985">
        <v>3048144.99</v>
      </c>
      <c r="P847" s="963">
        <v>0</v>
      </c>
      <c r="Q847" s="985">
        <v>0</v>
      </c>
      <c r="R847" s="964">
        <v>2021</v>
      </c>
      <c r="S847" s="964">
        <v>2023</v>
      </c>
      <c r="U847" s="967"/>
    </row>
    <row r="848" spans="1:21" ht="39.6" customHeight="1">
      <c r="A848" s="1163" t="s">
        <v>1979</v>
      </c>
      <c r="B848" s="1164"/>
      <c r="C848" s="1164"/>
      <c r="D848" s="1164"/>
      <c r="E848" s="1164"/>
      <c r="F848" s="1164"/>
      <c r="G848" s="1165"/>
      <c r="H848" s="968">
        <f>SUM(H849:H858)</f>
        <v>13726.499999999996</v>
      </c>
      <c r="I848" s="968">
        <f t="shared" ref="I848:O848" si="141">SUM(I849:I858)</f>
        <v>12173.5</v>
      </c>
      <c r="J848" s="968">
        <f t="shared" si="141"/>
        <v>11603.199999999999</v>
      </c>
      <c r="K848" s="1030">
        <f t="shared" si="141"/>
        <v>557</v>
      </c>
      <c r="L848" s="971">
        <f t="shared" si="141"/>
        <v>28636726.710000005</v>
      </c>
      <c r="M848" s="968">
        <f t="shared" si="141"/>
        <v>0</v>
      </c>
      <c r="N848" s="968">
        <f t="shared" si="141"/>
        <v>0</v>
      </c>
      <c r="O848" s="968">
        <f t="shared" si="141"/>
        <v>28636726.710000005</v>
      </c>
      <c r="P848" s="968">
        <f>P849+P850+P851+P852+P853+P854+P855+P856+P857+P858</f>
        <v>0</v>
      </c>
      <c r="Q848" s="968">
        <f>Q849+Q850+Q851+Q852+Q853+Q854+Q855+Q856+Q857+Q858</f>
        <v>0</v>
      </c>
      <c r="R848" s="968" t="s">
        <v>40</v>
      </c>
      <c r="S848" s="968" t="s">
        <v>40</v>
      </c>
      <c r="U848" s="967"/>
    </row>
    <row r="849" spans="1:21" ht="39.6" customHeight="1">
      <c r="A849" s="956">
        <v>311</v>
      </c>
      <c r="B849" s="984" t="s">
        <v>1167</v>
      </c>
      <c r="C849" s="957">
        <v>1982</v>
      </c>
      <c r="D849" s="957"/>
      <c r="E849" s="956" t="s">
        <v>219</v>
      </c>
      <c r="F849" s="957">
        <v>3</v>
      </c>
      <c r="G849" s="957">
        <v>3</v>
      </c>
      <c r="H849" s="968">
        <v>1483.1</v>
      </c>
      <c r="I849" s="968">
        <v>1375.4</v>
      </c>
      <c r="J849" s="968">
        <v>1195.5</v>
      </c>
      <c r="K849" s="959">
        <v>64</v>
      </c>
      <c r="L849" s="971">
        <v>2674133</v>
      </c>
      <c r="M849" s="985">
        <v>0</v>
      </c>
      <c r="N849" s="985">
        <v>0</v>
      </c>
      <c r="O849" s="985">
        <f>L849</f>
        <v>2674133</v>
      </c>
      <c r="P849" s="963">
        <v>0</v>
      </c>
      <c r="Q849" s="985">
        <v>0</v>
      </c>
      <c r="R849" s="964">
        <v>2022</v>
      </c>
      <c r="S849" s="964">
        <v>2023</v>
      </c>
      <c r="U849" s="967"/>
    </row>
    <row r="850" spans="1:21" ht="40.15" customHeight="1">
      <c r="A850" s="956">
        <v>312</v>
      </c>
      <c r="B850" s="984" t="s">
        <v>1164</v>
      </c>
      <c r="C850" s="957">
        <v>1966</v>
      </c>
      <c r="D850" s="957"/>
      <c r="E850" s="956" t="s">
        <v>219</v>
      </c>
      <c r="F850" s="957">
        <v>4</v>
      </c>
      <c r="G850" s="957">
        <v>4</v>
      </c>
      <c r="H850" s="968">
        <v>1859.6</v>
      </c>
      <c r="I850" s="968">
        <v>1348.9</v>
      </c>
      <c r="J850" s="968">
        <v>1348.9</v>
      </c>
      <c r="K850" s="959">
        <v>94</v>
      </c>
      <c r="L850" s="971">
        <v>2523803</v>
      </c>
      <c r="M850" s="985">
        <v>0</v>
      </c>
      <c r="N850" s="985">
        <v>0</v>
      </c>
      <c r="O850" s="985">
        <v>2523803</v>
      </c>
      <c r="P850" s="963">
        <v>0</v>
      </c>
      <c r="Q850" s="985">
        <v>0</v>
      </c>
      <c r="R850" s="964">
        <v>2022</v>
      </c>
      <c r="S850" s="964">
        <v>2023</v>
      </c>
      <c r="U850" s="967"/>
    </row>
    <row r="851" spans="1:21" ht="42" customHeight="1">
      <c r="A851" s="956">
        <v>313</v>
      </c>
      <c r="B851" s="984" t="s">
        <v>1165</v>
      </c>
      <c r="C851" s="957">
        <v>1966</v>
      </c>
      <c r="D851" s="957"/>
      <c r="E851" s="956" t="s">
        <v>219</v>
      </c>
      <c r="F851" s="957">
        <v>4</v>
      </c>
      <c r="G851" s="957">
        <v>4</v>
      </c>
      <c r="H851" s="968">
        <v>1932.6</v>
      </c>
      <c r="I851" s="968">
        <v>1932.6</v>
      </c>
      <c r="J851" s="968">
        <v>1852.8</v>
      </c>
      <c r="K851" s="959">
        <v>105</v>
      </c>
      <c r="L851" s="971">
        <v>2536813</v>
      </c>
      <c r="M851" s="985">
        <v>0</v>
      </c>
      <c r="N851" s="985">
        <v>0</v>
      </c>
      <c r="O851" s="985">
        <v>2536813</v>
      </c>
      <c r="P851" s="963">
        <v>0</v>
      </c>
      <c r="Q851" s="985">
        <v>0</v>
      </c>
      <c r="R851" s="964">
        <v>2022</v>
      </c>
      <c r="S851" s="964">
        <v>2023</v>
      </c>
      <c r="U851" s="967"/>
    </row>
    <row r="852" spans="1:21" ht="40.15" customHeight="1">
      <c r="A852" s="956">
        <v>314</v>
      </c>
      <c r="B852" s="984" t="s">
        <v>1166</v>
      </c>
      <c r="C852" s="957">
        <v>1973</v>
      </c>
      <c r="D852" s="957"/>
      <c r="E852" s="956" t="s">
        <v>219</v>
      </c>
      <c r="F852" s="957">
        <v>4</v>
      </c>
      <c r="G852" s="957">
        <v>6</v>
      </c>
      <c r="H852" s="968">
        <v>4510.3</v>
      </c>
      <c r="I852" s="968">
        <v>4510.3</v>
      </c>
      <c r="J852" s="968">
        <v>4270.3</v>
      </c>
      <c r="K852" s="959">
        <v>129</v>
      </c>
      <c r="L852" s="971">
        <v>6100834</v>
      </c>
      <c r="M852" s="985">
        <v>0</v>
      </c>
      <c r="N852" s="985">
        <v>0</v>
      </c>
      <c r="O852" s="985">
        <v>6100834</v>
      </c>
      <c r="P852" s="963">
        <v>0</v>
      </c>
      <c r="Q852" s="985">
        <v>0</v>
      </c>
      <c r="R852" s="964">
        <v>2022</v>
      </c>
      <c r="S852" s="964">
        <v>2023</v>
      </c>
      <c r="U852" s="967"/>
    </row>
    <row r="853" spans="1:21" ht="40.15" customHeight="1">
      <c r="A853" s="956">
        <v>315</v>
      </c>
      <c r="B853" s="986" t="s">
        <v>1821</v>
      </c>
      <c r="C853" s="957">
        <v>1978</v>
      </c>
      <c r="D853" s="957"/>
      <c r="E853" s="956" t="s">
        <v>218</v>
      </c>
      <c r="F853" s="957">
        <v>2</v>
      </c>
      <c r="G853" s="957">
        <v>2</v>
      </c>
      <c r="H853" s="968">
        <v>844.8</v>
      </c>
      <c r="I853" s="968">
        <v>783.9</v>
      </c>
      <c r="J853" s="968">
        <v>783.9</v>
      </c>
      <c r="K853" s="959">
        <v>30</v>
      </c>
      <c r="L853" s="971">
        <v>1808834</v>
      </c>
      <c r="M853" s="985">
        <v>0</v>
      </c>
      <c r="N853" s="985">
        <v>0</v>
      </c>
      <c r="O853" s="985">
        <v>1808834</v>
      </c>
      <c r="P853" s="963">
        <v>0</v>
      </c>
      <c r="Q853" s="985">
        <v>0</v>
      </c>
      <c r="R853" s="964">
        <v>2022</v>
      </c>
      <c r="S853" s="964">
        <v>2022</v>
      </c>
      <c r="U853" s="967"/>
    </row>
    <row r="854" spans="1:21" ht="42" customHeight="1">
      <c r="A854" s="956">
        <v>316</v>
      </c>
      <c r="B854" s="984" t="s">
        <v>1771</v>
      </c>
      <c r="C854" s="957">
        <v>1968</v>
      </c>
      <c r="D854" s="957"/>
      <c r="E854" s="956" t="s">
        <v>218</v>
      </c>
      <c r="F854" s="957">
        <v>2</v>
      </c>
      <c r="G854" s="957">
        <v>2</v>
      </c>
      <c r="H854" s="968">
        <v>735</v>
      </c>
      <c r="I854" s="968">
        <v>480.2</v>
      </c>
      <c r="J854" s="968">
        <v>480.2</v>
      </c>
      <c r="K854" s="959">
        <v>30</v>
      </c>
      <c r="L854" s="971">
        <v>2330422.92</v>
      </c>
      <c r="M854" s="985">
        <v>0</v>
      </c>
      <c r="N854" s="985">
        <v>0</v>
      </c>
      <c r="O854" s="985">
        <f>L854</f>
        <v>2330422.92</v>
      </c>
      <c r="P854" s="963">
        <f>Q854</f>
        <v>0</v>
      </c>
      <c r="Q854" s="985">
        <v>0</v>
      </c>
      <c r="R854" s="964">
        <v>2020</v>
      </c>
      <c r="S854" s="964">
        <v>2023</v>
      </c>
      <c r="U854" s="967"/>
    </row>
    <row r="855" spans="1:21" ht="42" customHeight="1">
      <c r="A855" s="956">
        <v>317</v>
      </c>
      <c r="B855" s="984" t="s">
        <v>1772</v>
      </c>
      <c r="C855" s="957">
        <v>1967</v>
      </c>
      <c r="D855" s="957"/>
      <c r="E855" s="956" t="s">
        <v>218</v>
      </c>
      <c r="F855" s="957">
        <v>2</v>
      </c>
      <c r="G855" s="957">
        <v>2</v>
      </c>
      <c r="H855" s="968">
        <v>738.8</v>
      </c>
      <c r="I855" s="968">
        <v>482.9</v>
      </c>
      <c r="J855" s="968">
        <v>482.9</v>
      </c>
      <c r="K855" s="959">
        <v>29</v>
      </c>
      <c r="L855" s="971">
        <v>2330422.92</v>
      </c>
      <c r="M855" s="985">
        <v>0</v>
      </c>
      <c r="N855" s="985">
        <v>0</v>
      </c>
      <c r="O855" s="985">
        <f>L855</f>
        <v>2330422.92</v>
      </c>
      <c r="P855" s="963">
        <v>0</v>
      </c>
      <c r="Q855" s="985">
        <v>0</v>
      </c>
      <c r="R855" s="964">
        <v>2020</v>
      </c>
      <c r="S855" s="964">
        <v>2023</v>
      </c>
      <c r="U855" s="967"/>
    </row>
    <row r="856" spans="1:21" ht="42" customHeight="1">
      <c r="A856" s="956">
        <v>318</v>
      </c>
      <c r="B856" s="984" t="s">
        <v>1773</v>
      </c>
      <c r="C856" s="957">
        <v>1978</v>
      </c>
      <c r="D856" s="957"/>
      <c r="E856" s="956" t="s">
        <v>218</v>
      </c>
      <c r="F856" s="957">
        <v>2</v>
      </c>
      <c r="G856" s="957">
        <v>3</v>
      </c>
      <c r="H856" s="968">
        <v>858.3</v>
      </c>
      <c r="I856" s="968">
        <v>495.3</v>
      </c>
      <c r="J856" s="968">
        <v>495.3</v>
      </c>
      <c r="K856" s="959">
        <v>36</v>
      </c>
      <c r="L856" s="971">
        <v>2962493.67</v>
      </c>
      <c r="M856" s="985">
        <v>0</v>
      </c>
      <c r="N856" s="985">
        <v>0</v>
      </c>
      <c r="O856" s="985">
        <f>L856</f>
        <v>2962493.67</v>
      </c>
      <c r="P856" s="963">
        <v>0</v>
      </c>
      <c r="Q856" s="985">
        <v>0</v>
      </c>
      <c r="R856" s="964">
        <v>2020</v>
      </c>
      <c r="S856" s="964">
        <v>2023</v>
      </c>
      <c r="U856" s="967"/>
    </row>
    <row r="857" spans="1:21" ht="43.9" customHeight="1">
      <c r="A857" s="956">
        <v>319</v>
      </c>
      <c r="B857" s="984" t="s">
        <v>1793</v>
      </c>
      <c r="C857" s="957">
        <v>1957</v>
      </c>
      <c r="D857" s="957"/>
      <c r="E857" s="956" t="s">
        <v>218</v>
      </c>
      <c r="F857" s="957">
        <v>2</v>
      </c>
      <c r="G857" s="957">
        <v>3</v>
      </c>
      <c r="H857" s="968">
        <v>400.9</v>
      </c>
      <c r="I857" s="968">
        <v>400.9</v>
      </c>
      <c r="J857" s="968">
        <v>330.3</v>
      </c>
      <c r="K857" s="959">
        <v>24</v>
      </c>
      <c r="L857" s="971">
        <v>2757759.15</v>
      </c>
      <c r="M857" s="985">
        <v>0</v>
      </c>
      <c r="N857" s="985">
        <v>0</v>
      </c>
      <c r="O857" s="985">
        <v>2757759.15</v>
      </c>
      <c r="P857" s="963">
        <v>0</v>
      </c>
      <c r="Q857" s="985">
        <v>0</v>
      </c>
      <c r="R857" s="964">
        <v>2022</v>
      </c>
      <c r="S857" s="1006" t="s">
        <v>1387</v>
      </c>
      <c r="U857" s="967"/>
    </row>
    <row r="858" spans="1:21" ht="38.450000000000003" customHeight="1">
      <c r="A858" s="956">
        <v>320</v>
      </c>
      <c r="B858" s="986" t="s">
        <v>1801</v>
      </c>
      <c r="C858" s="957">
        <v>1957</v>
      </c>
      <c r="D858" s="957"/>
      <c r="E858" s="956" t="s">
        <v>218</v>
      </c>
      <c r="F858" s="957">
        <v>2</v>
      </c>
      <c r="G858" s="957">
        <v>1</v>
      </c>
      <c r="H858" s="968">
        <v>363.1</v>
      </c>
      <c r="I858" s="968">
        <v>363.1</v>
      </c>
      <c r="J858" s="968">
        <v>363.1</v>
      </c>
      <c r="K858" s="959">
        <v>16</v>
      </c>
      <c r="L858" s="971">
        <v>2611211.0499999998</v>
      </c>
      <c r="M858" s="985">
        <v>0</v>
      </c>
      <c r="N858" s="985">
        <v>0</v>
      </c>
      <c r="O858" s="985">
        <v>2611211.0499999998</v>
      </c>
      <c r="P858" s="963">
        <v>0</v>
      </c>
      <c r="Q858" s="985">
        <v>0</v>
      </c>
      <c r="R858" s="964">
        <v>2019</v>
      </c>
      <c r="S858" s="1006" t="s">
        <v>1387</v>
      </c>
      <c r="U858" s="967"/>
    </row>
    <row r="859" spans="1:21" ht="39.6" customHeight="1">
      <c r="A859" s="1163" t="s">
        <v>1974</v>
      </c>
      <c r="B859" s="1164"/>
      <c r="C859" s="1164"/>
      <c r="D859" s="1164"/>
      <c r="E859" s="1164"/>
      <c r="F859" s="1164"/>
      <c r="G859" s="1165"/>
      <c r="H859" s="968">
        <f>SUM(H860:H861)</f>
        <v>1063.5999999999999</v>
      </c>
      <c r="I859" s="968">
        <f t="shared" ref="I859:Q859" si="142">SUM(I860:I861)</f>
        <v>1062.9000000000001</v>
      </c>
      <c r="J859" s="968">
        <f t="shared" si="142"/>
        <v>898.4</v>
      </c>
      <c r="K859" s="958">
        <f t="shared" si="142"/>
        <v>41</v>
      </c>
      <c r="L859" s="971">
        <f t="shared" si="142"/>
        <v>4066007.92</v>
      </c>
      <c r="M859" s="968">
        <f t="shared" si="142"/>
        <v>0</v>
      </c>
      <c r="N859" s="968">
        <f t="shared" si="142"/>
        <v>0</v>
      </c>
      <c r="O859" s="968">
        <f t="shared" si="142"/>
        <v>4066007.92</v>
      </c>
      <c r="P859" s="968">
        <f t="shared" si="142"/>
        <v>0</v>
      </c>
      <c r="Q859" s="968">
        <f t="shared" si="142"/>
        <v>0</v>
      </c>
      <c r="R859" s="968" t="s">
        <v>40</v>
      </c>
      <c r="S859" s="968" t="s">
        <v>40</v>
      </c>
      <c r="U859" s="967"/>
    </row>
    <row r="860" spans="1:21" ht="42.6" customHeight="1">
      <c r="A860" s="956">
        <v>321</v>
      </c>
      <c r="B860" s="1041" t="s">
        <v>1829</v>
      </c>
      <c r="C860" s="1042">
        <v>1967</v>
      </c>
      <c r="D860" s="1016"/>
      <c r="E860" s="956" t="s">
        <v>218</v>
      </c>
      <c r="F860" s="1017">
        <v>2</v>
      </c>
      <c r="G860" s="1017">
        <v>3</v>
      </c>
      <c r="H860" s="1017">
        <v>483.9</v>
      </c>
      <c r="I860" s="1021">
        <v>483.2</v>
      </c>
      <c r="J860" s="1021">
        <v>413.9</v>
      </c>
      <c r="K860" s="1022">
        <v>22</v>
      </c>
      <c r="L860" s="965">
        <v>2223596.0299999998</v>
      </c>
      <c r="M860" s="963">
        <v>0</v>
      </c>
      <c r="N860" s="963">
        <v>0</v>
      </c>
      <c r="O860" s="963">
        <v>2223596.0299999998</v>
      </c>
      <c r="P860" s="963">
        <v>0</v>
      </c>
      <c r="Q860" s="963">
        <v>0</v>
      </c>
      <c r="R860" s="956">
        <v>2022</v>
      </c>
      <c r="S860" s="1006" t="s">
        <v>1387</v>
      </c>
      <c r="U860" s="967"/>
    </row>
    <row r="861" spans="1:21" ht="40.15" customHeight="1">
      <c r="A861" s="956">
        <v>322</v>
      </c>
      <c r="B861" s="1041" t="s">
        <v>1830</v>
      </c>
      <c r="C861" s="1042">
        <v>1967</v>
      </c>
      <c r="D861" s="1016"/>
      <c r="E861" s="956" t="s">
        <v>218</v>
      </c>
      <c r="F861" s="1017">
        <v>2</v>
      </c>
      <c r="G861" s="1017">
        <v>2</v>
      </c>
      <c r="H861" s="1017">
        <v>579.70000000000005</v>
      </c>
      <c r="I861" s="1021">
        <v>579.70000000000005</v>
      </c>
      <c r="J861" s="1021">
        <v>484.5</v>
      </c>
      <c r="K861" s="1022">
        <v>19</v>
      </c>
      <c r="L861" s="965">
        <v>1842411.89</v>
      </c>
      <c r="M861" s="963">
        <v>0</v>
      </c>
      <c r="N861" s="963">
        <v>0</v>
      </c>
      <c r="O861" s="963">
        <v>1842411.89</v>
      </c>
      <c r="P861" s="963">
        <v>0</v>
      </c>
      <c r="Q861" s="963">
        <v>0</v>
      </c>
      <c r="R861" s="956">
        <v>2022</v>
      </c>
      <c r="S861" s="956">
        <v>2024</v>
      </c>
      <c r="U861" s="967"/>
    </row>
    <row r="862" spans="1:21" ht="40.15" customHeight="1">
      <c r="A862" s="1163" t="s">
        <v>1248</v>
      </c>
      <c r="B862" s="1164"/>
      <c r="C862" s="1164"/>
      <c r="D862" s="1164"/>
      <c r="E862" s="1164"/>
      <c r="F862" s="1164"/>
      <c r="G862" s="1165"/>
      <c r="H862" s="968">
        <f>SUM(H863:H889)</f>
        <v>35080.299999999996</v>
      </c>
      <c r="I862" s="968">
        <f t="shared" ref="I862:Q862" si="143">SUM(I863:I889)</f>
        <v>35080.299999999996</v>
      </c>
      <c r="J862" s="968">
        <f t="shared" si="143"/>
        <v>24901.599999999999</v>
      </c>
      <c r="K862" s="958">
        <f t="shared" si="143"/>
        <v>1173</v>
      </c>
      <c r="L862" s="971">
        <f t="shared" si="143"/>
        <v>52403248.219999991</v>
      </c>
      <c r="M862" s="968">
        <f t="shared" si="143"/>
        <v>0</v>
      </c>
      <c r="N862" s="968">
        <f t="shared" si="143"/>
        <v>0</v>
      </c>
      <c r="O862" s="968">
        <f t="shared" si="143"/>
        <v>52403248.219999991</v>
      </c>
      <c r="P862" s="968">
        <f t="shared" si="143"/>
        <v>0</v>
      </c>
      <c r="Q862" s="968">
        <f t="shared" si="143"/>
        <v>0</v>
      </c>
      <c r="R862" s="968" t="s">
        <v>40</v>
      </c>
      <c r="S862" s="968" t="s">
        <v>40</v>
      </c>
      <c r="U862" s="967"/>
    </row>
    <row r="863" spans="1:21" ht="40.15" customHeight="1">
      <c r="A863" s="956">
        <v>323</v>
      </c>
      <c r="B863" s="1043" t="s">
        <v>1113</v>
      </c>
      <c r="C863" s="957">
        <v>1917</v>
      </c>
      <c r="D863" s="957"/>
      <c r="E863" s="956" t="s">
        <v>218</v>
      </c>
      <c r="F863" s="957">
        <v>2</v>
      </c>
      <c r="G863" s="957">
        <v>1</v>
      </c>
      <c r="H863" s="968">
        <v>329</v>
      </c>
      <c r="I863" s="968">
        <v>329</v>
      </c>
      <c r="J863" s="968">
        <v>172.1</v>
      </c>
      <c r="K863" s="959">
        <v>12</v>
      </c>
      <c r="L863" s="971">
        <v>298782.77</v>
      </c>
      <c r="M863" s="968">
        <v>0</v>
      </c>
      <c r="N863" s="968">
        <v>0</v>
      </c>
      <c r="O863" s="968">
        <v>298782.77</v>
      </c>
      <c r="P863" s="968">
        <v>0</v>
      </c>
      <c r="Q863" s="968">
        <v>0</v>
      </c>
      <c r="R863" s="957">
        <v>2016</v>
      </c>
      <c r="S863" s="1006" t="s">
        <v>1387</v>
      </c>
      <c r="U863" s="967"/>
    </row>
    <row r="864" spans="1:21" ht="40.15" customHeight="1">
      <c r="A864" s="956">
        <v>324</v>
      </c>
      <c r="B864" s="976" t="s">
        <v>1114</v>
      </c>
      <c r="C864" s="957">
        <v>1917</v>
      </c>
      <c r="D864" s="957"/>
      <c r="E864" s="957" t="s">
        <v>221</v>
      </c>
      <c r="F864" s="957">
        <v>2</v>
      </c>
      <c r="G864" s="957">
        <v>2</v>
      </c>
      <c r="H864" s="968">
        <v>213.1</v>
      </c>
      <c r="I864" s="968">
        <v>213.1</v>
      </c>
      <c r="J864" s="968">
        <v>201.3</v>
      </c>
      <c r="K864" s="959">
        <v>10</v>
      </c>
      <c r="L864" s="971">
        <v>1128003.98</v>
      </c>
      <c r="M864" s="968">
        <v>0</v>
      </c>
      <c r="N864" s="968">
        <v>0</v>
      </c>
      <c r="O864" s="968">
        <v>1128003.98</v>
      </c>
      <c r="P864" s="968">
        <v>0</v>
      </c>
      <c r="Q864" s="968">
        <v>0</v>
      </c>
      <c r="R864" s="957">
        <v>2016</v>
      </c>
      <c r="S864" s="957">
        <v>2023</v>
      </c>
      <c r="U864" s="967"/>
    </row>
    <row r="865" spans="1:21" ht="40.15" customHeight="1">
      <c r="A865" s="956">
        <v>325</v>
      </c>
      <c r="B865" s="976" t="s">
        <v>1115</v>
      </c>
      <c r="C865" s="957">
        <v>1955</v>
      </c>
      <c r="D865" s="957"/>
      <c r="E865" s="956" t="s">
        <v>218</v>
      </c>
      <c r="F865" s="957">
        <v>2</v>
      </c>
      <c r="G865" s="957">
        <v>2</v>
      </c>
      <c r="H865" s="968">
        <v>431.2</v>
      </c>
      <c r="I865" s="968">
        <v>431.2</v>
      </c>
      <c r="J865" s="968">
        <v>389.4</v>
      </c>
      <c r="K865" s="959">
        <v>20</v>
      </c>
      <c r="L865" s="971">
        <v>1554682.43</v>
      </c>
      <c r="M865" s="968">
        <v>0</v>
      </c>
      <c r="N865" s="968">
        <v>0</v>
      </c>
      <c r="O865" s="968">
        <v>1554682.43</v>
      </c>
      <c r="P865" s="968">
        <v>0</v>
      </c>
      <c r="Q865" s="968">
        <v>0</v>
      </c>
      <c r="R865" s="957">
        <v>2016</v>
      </c>
      <c r="S865" s="957">
        <v>2023</v>
      </c>
      <c r="U865" s="967"/>
    </row>
    <row r="866" spans="1:21" ht="40.15" customHeight="1">
      <c r="A866" s="956">
        <v>326</v>
      </c>
      <c r="B866" s="976" t="s">
        <v>1116</v>
      </c>
      <c r="C866" s="957">
        <v>1976</v>
      </c>
      <c r="D866" s="957"/>
      <c r="E866" s="956" t="s">
        <v>218</v>
      </c>
      <c r="F866" s="957">
        <v>2</v>
      </c>
      <c r="G866" s="957">
        <v>2</v>
      </c>
      <c r="H866" s="968">
        <v>560.79999999999995</v>
      </c>
      <c r="I866" s="968">
        <v>560.79999999999995</v>
      </c>
      <c r="J866" s="968">
        <v>303.2</v>
      </c>
      <c r="K866" s="959">
        <v>19</v>
      </c>
      <c r="L866" s="971">
        <v>2011655.53</v>
      </c>
      <c r="M866" s="968">
        <v>0</v>
      </c>
      <c r="N866" s="968">
        <v>0</v>
      </c>
      <c r="O866" s="968">
        <v>2011655.53</v>
      </c>
      <c r="P866" s="968">
        <v>0</v>
      </c>
      <c r="Q866" s="968">
        <v>0</v>
      </c>
      <c r="R866" s="957">
        <v>2016</v>
      </c>
      <c r="S866" s="957">
        <v>2023</v>
      </c>
      <c r="U866" s="967"/>
    </row>
    <row r="867" spans="1:21" ht="40.15" customHeight="1">
      <c r="A867" s="956">
        <v>327</v>
      </c>
      <c r="B867" s="976" t="s">
        <v>1117</v>
      </c>
      <c r="C867" s="957">
        <v>1975</v>
      </c>
      <c r="D867" s="957"/>
      <c r="E867" s="956" t="s">
        <v>218</v>
      </c>
      <c r="F867" s="957">
        <v>2</v>
      </c>
      <c r="G867" s="957">
        <v>2</v>
      </c>
      <c r="H867" s="968">
        <v>333.5</v>
      </c>
      <c r="I867" s="968">
        <v>333.5</v>
      </c>
      <c r="J867" s="968">
        <v>302.5</v>
      </c>
      <c r="K867" s="959">
        <v>19</v>
      </c>
      <c r="L867" s="971">
        <v>1221986.53</v>
      </c>
      <c r="M867" s="968">
        <v>0</v>
      </c>
      <c r="N867" s="968">
        <v>0</v>
      </c>
      <c r="O867" s="968">
        <v>1221986.53</v>
      </c>
      <c r="P867" s="968">
        <v>0</v>
      </c>
      <c r="Q867" s="968">
        <v>0</v>
      </c>
      <c r="R867" s="957">
        <v>2016</v>
      </c>
      <c r="S867" s="1006" t="s">
        <v>1387</v>
      </c>
      <c r="U867" s="967"/>
    </row>
    <row r="868" spans="1:21" ht="40.15" customHeight="1">
      <c r="A868" s="956">
        <v>328</v>
      </c>
      <c r="B868" s="986" t="s">
        <v>1118</v>
      </c>
      <c r="C868" s="956" t="s">
        <v>190</v>
      </c>
      <c r="D868" s="957"/>
      <c r="E868" s="956" t="s">
        <v>218</v>
      </c>
      <c r="F868" s="957">
        <v>1</v>
      </c>
      <c r="G868" s="957">
        <v>2</v>
      </c>
      <c r="H868" s="968">
        <v>333.1</v>
      </c>
      <c r="I868" s="968">
        <v>333.1</v>
      </c>
      <c r="J868" s="968">
        <v>231.8</v>
      </c>
      <c r="K868" s="959">
        <v>11</v>
      </c>
      <c r="L868" s="971">
        <v>1291846.3799999999</v>
      </c>
      <c r="M868" s="968">
        <v>0</v>
      </c>
      <c r="N868" s="968">
        <v>0</v>
      </c>
      <c r="O868" s="968">
        <v>1291846.3799999999</v>
      </c>
      <c r="P868" s="968">
        <v>0</v>
      </c>
      <c r="Q868" s="968">
        <v>0</v>
      </c>
      <c r="R868" s="957">
        <v>2017</v>
      </c>
      <c r="S868" s="1006" t="s">
        <v>1387</v>
      </c>
      <c r="U868" s="967"/>
    </row>
    <row r="869" spans="1:21" ht="40.15" customHeight="1">
      <c r="A869" s="956">
        <v>329</v>
      </c>
      <c r="B869" s="986" t="s">
        <v>1119</v>
      </c>
      <c r="C869" s="957">
        <v>1988</v>
      </c>
      <c r="D869" s="957"/>
      <c r="E869" s="956" t="s">
        <v>218</v>
      </c>
      <c r="F869" s="957">
        <v>4</v>
      </c>
      <c r="G869" s="957">
        <v>1</v>
      </c>
      <c r="H869" s="968">
        <v>1590</v>
      </c>
      <c r="I869" s="968">
        <v>1590</v>
      </c>
      <c r="J869" s="968">
        <v>988.8</v>
      </c>
      <c r="K869" s="959">
        <v>99</v>
      </c>
      <c r="L869" s="971">
        <v>4091527.11</v>
      </c>
      <c r="M869" s="968">
        <v>0</v>
      </c>
      <c r="N869" s="968">
        <v>0</v>
      </c>
      <c r="O869" s="968">
        <v>4091527.11</v>
      </c>
      <c r="P869" s="968">
        <v>0</v>
      </c>
      <c r="Q869" s="968">
        <v>0</v>
      </c>
      <c r="R869" s="957">
        <v>2017</v>
      </c>
      <c r="S869" s="1006" t="s">
        <v>1387</v>
      </c>
      <c r="U869" s="967"/>
    </row>
    <row r="870" spans="1:21" ht="40.15" customHeight="1">
      <c r="A870" s="956">
        <v>330</v>
      </c>
      <c r="B870" s="976" t="s">
        <v>1120</v>
      </c>
      <c r="C870" s="956" t="s">
        <v>190</v>
      </c>
      <c r="D870" s="956"/>
      <c r="E870" s="956" t="s">
        <v>218</v>
      </c>
      <c r="F870" s="956">
        <v>2</v>
      </c>
      <c r="G870" s="956">
        <v>2</v>
      </c>
      <c r="H870" s="963">
        <v>245</v>
      </c>
      <c r="I870" s="963">
        <v>245</v>
      </c>
      <c r="J870" s="963">
        <v>126</v>
      </c>
      <c r="K870" s="964">
        <v>7</v>
      </c>
      <c r="L870" s="965">
        <v>1050104.82</v>
      </c>
      <c r="M870" s="963">
        <v>0</v>
      </c>
      <c r="N870" s="963">
        <v>0</v>
      </c>
      <c r="O870" s="963">
        <v>1050104.82</v>
      </c>
      <c r="P870" s="963">
        <v>0</v>
      </c>
      <c r="Q870" s="963">
        <v>0</v>
      </c>
      <c r="R870" s="957">
        <v>2018</v>
      </c>
      <c r="S870" s="1006" t="s">
        <v>1387</v>
      </c>
      <c r="U870" s="967"/>
    </row>
    <row r="871" spans="1:21" ht="40.15" customHeight="1">
      <c r="A871" s="956">
        <v>331</v>
      </c>
      <c r="B871" s="1038" t="s">
        <v>1121</v>
      </c>
      <c r="C871" s="957">
        <v>1917</v>
      </c>
      <c r="D871" s="957"/>
      <c r="E871" s="956" t="s">
        <v>218</v>
      </c>
      <c r="F871" s="957">
        <v>3</v>
      </c>
      <c r="G871" s="957">
        <v>1</v>
      </c>
      <c r="H871" s="968">
        <v>534.29999999999995</v>
      </c>
      <c r="I871" s="968">
        <v>534.29999999999995</v>
      </c>
      <c r="J871" s="968">
        <v>266.3</v>
      </c>
      <c r="K871" s="959">
        <v>14</v>
      </c>
      <c r="L871" s="971">
        <v>1646831.78</v>
      </c>
      <c r="M871" s="968">
        <v>0</v>
      </c>
      <c r="N871" s="968">
        <v>0</v>
      </c>
      <c r="O871" s="968">
        <v>1646831.78</v>
      </c>
      <c r="P871" s="968">
        <v>0</v>
      </c>
      <c r="Q871" s="968">
        <v>0</v>
      </c>
      <c r="R871" s="957">
        <v>2019</v>
      </c>
      <c r="S871" s="1006" t="s">
        <v>1387</v>
      </c>
      <c r="U871" s="967"/>
    </row>
    <row r="872" spans="1:21" ht="40.15" customHeight="1">
      <c r="A872" s="956">
        <v>332</v>
      </c>
      <c r="B872" s="1038" t="s">
        <v>1223</v>
      </c>
      <c r="C872" s="957">
        <v>1917</v>
      </c>
      <c r="D872" s="957"/>
      <c r="E872" s="956" t="s">
        <v>218</v>
      </c>
      <c r="F872" s="957">
        <v>3</v>
      </c>
      <c r="G872" s="957">
        <v>1</v>
      </c>
      <c r="H872" s="968">
        <v>456.8</v>
      </c>
      <c r="I872" s="968">
        <v>456.8</v>
      </c>
      <c r="J872" s="968">
        <v>296.7</v>
      </c>
      <c r="K872" s="959">
        <v>18</v>
      </c>
      <c r="L872" s="971">
        <v>1639242.69</v>
      </c>
      <c r="M872" s="968">
        <v>0</v>
      </c>
      <c r="N872" s="968">
        <v>0</v>
      </c>
      <c r="O872" s="968">
        <v>1639242.69</v>
      </c>
      <c r="P872" s="968">
        <v>0</v>
      </c>
      <c r="Q872" s="968">
        <v>0</v>
      </c>
      <c r="R872" s="957">
        <v>2019</v>
      </c>
      <c r="S872" s="1006" t="s">
        <v>1387</v>
      </c>
      <c r="U872" s="967"/>
    </row>
    <row r="873" spans="1:21" ht="40.15" customHeight="1">
      <c r="A873" s="956">
        <v>333</v>
      </c>
      <c r="B873" s="1044" t="s">
        <v>885</v>
      </c>
      <c r="C873" s="1045">
        <v>1938</v>
      </c>
      <c r="D873" s="1043"/>
      <c r="E873" s="956" t="s">
        <v>221</v>
      </c>
      <c r="F873" s="1045">
        <v>2</v>
      </c>
      <c r="G873" s="1045">
        <v>1</v>
      </c>
      <c r="H873" s="1046">
        <v>488.7</v>
      </c>
      <c r="I873" s="1046">
        <v>488.7</v>
      </c>
      <c r="J873" s="1046">
        <v>353.6</v>
      </c>
      <c r="K873" s="1047">
        <v>15</v>
      </c>
      <c r="L873" s="971">
        <v>443764.06</v>
      </c>
      <c r="M873" s="985">
        <v>0</v>
      </c>
      <c r="N873" s="985">
        <v>0</v>
      </c>
      <c r="O873" s="985">
        <v>443764.06</v>
      </c>
      <c r="P873" s="963">
        <v>0</v>
      </c>
      <c r="Q873" s="985">
        <v>0</v>
      </c>
      <c r="R873" s="964">
        <v>2018</v>
      </c>
      <c r="S873" s="1006" t="s">
        <v>1387</v>
      </c>
      <c r="U873" s="967"/>
    </row>
    <row r="874" spans="1:21" ht="40.15" customHeight="1">
      <c r="A874" s="956">
        <v>334</v>
      </c>
      <c r="B874" s="1044" t="s">
        <v>884</v>
      </c>
      <c r="C874" s="1045">
        <v>1948</v>
      </c>
      <c r="D874" s="1043"/>
      <c r="E874" s="956" t="s">
        <v>221</v>
      </c>
      <c r="F874" s="1045">
        <v>2</v>
      </c>
      <c r="G874" s="1045">
        <v>2</v>
      </c>
      <c r="H874" s="1046">
        <v>516.5</v>
      </c>
      <c r="I874" s="1046">
        <v>516.5</v>
      </c>
      <c r="J874" s="1046">
        <v>316</v>
      </c>
      <c r="K874" s="1047">
        <v>22</v>
      </c>
      <c r="L874" s="971">
        <v>1613218.46</v>
      </c>
      <c r="M874" s="985">
        <v>0</v>
      </c>
      <c r="N874" s="985">
        <v>0</v>
      </c>
      <c r="O874" s="985">
        <v>1613218.46</v>
      </c>
      <c r="P874" s="963">
        <v>0</v>
      </c>
      <c r="Q874" s="985">
        <v>0</v>
      </c>
      <c r="R874" s="964">
        <v>2018</v>
      </c>
      <c r="S874" s="1006" t="s">
        <v>1387</v>
      </c>
      <c r="U874" s="967"/>
    </row>
    <row r="875" spans="1:21" ht="40.15" customHeight="1">
      <c r="A875" s="956">
        <v>335</v>
      </c>
      <c r="B875" s="986" t="s">
        <v>1076</v>
      </c>
      <c r="C875" s="956" t="s">
        <v>190</v>
      </c>
      <c r="D875" s="957"/>
      <c r="E875" s="956" t="s">
        <v>218</v>
      </c>
      <c r="F875" s="957">
        <v>2</v>
      </c>
      <c r="G875" s="957">
        <v>4</v>
      </c>
      <c r="H875" s="968">
        <v>410.9</v>
      </c>
      <c r="I875" s="968">
        <v>410.9</v>
      </c>
      <c r="J875" s="968">
        <v>216</v>
      </c>
      <c r="K875" s="957">
        <v>16</v>
      </c>
      <c r="L875" s="971">
        <v>1630796.17</v>
      </c>
      <c r="M875" s="985">
        <v>0</v>
      </c>
      <c r="N875" s="985">
        <v>0</v>
      </c>
      <c r="O875" s="968">
        <v>1630796.17</v>
      </c>
      <c r="P875" s="963">
        <v>0</v>
      </c>
      <c r="Q875" s="985">
        <v>0</v>
      </c>
      <c r="R875" s="957">
        <v>2020</v>
      </c>
      <c r="S875" s="1006" t="s">
        <v>1387</v>
      </c>
      <c r="U875" s="967"/>
    </row>
    <row r="876" spans="1:21" ht="40.15" customHeight="1">
      <c r="A876" s="956">
        <v>336</v>
      </c>
      <c r="B876" s="986" t="s">
        <v>1872</v>
      </c>
      <c r="C876" s="956" t="s">
        <v>190</v>
      </c>
      <c r="D876" s="956"/>
      <c r="E876" s="956" t="s">
        <v>218</v>
      </c>
      <c r="F876" s="956">
        <v>2</v>
      </c>
      <c r="G876" s="956">
        <v>3</v>
      </c>
      <c r="H876" s="963">
        <v>256.89999999999998</v>
      </c>
      <c r="I876" s="963">
        <v>256.89999999999998</v>
      </c>
      <c r="J876" s="963">
        <v>169.9</v>
      </c>
      <c r="K876" s="956">
        <v>14</v>
      </c>
      <c r="L876" s="971">
        <v>1236420.6299999999</v>
      </c>
      <c r="M876" s="985">
        <v>0</v>
      </c>
      <c r="N876" s="985">
        <v>0</v>
      </c>
      <c r="O876" s="968">
        <v>1236420.6299999999</v>
      </c>
      <c r="P876" s="963">
        <v>0</v>
      </c>
      <c r="Q876" s="985">
        <v>0</v>
      </c>
      <c r="R876" s="957">
        <v>2020</v>
      </c>
      <c r="S876" s="1006" t="s">
        <v>1387</v>
      </c>
      <c r="U876" s="967"/>
    </row>
    <row r="877" spans="1:21" ht="40.15" customHeight="1">
      <c r="A877" s="956">
        <v>337</v>
      </c>
      <c r="B877" s="986" t="s">
        <v>1873</v>
      </c>
      <c r="C877" s="957">
        <v>1978</v>
      </c>
      <c r="D877" s="957"/>
      <c r="E877" s="956" t="s">
        <v>219</v>
      </c>
      <c r="F877" s="957">
        <v>5</v>
      </c>
      <c r="G877" s="957">
        <v>6</v>
      </c>
      <c r="H877" s="968">
        <v>4393.5</v>
      </c>
      <c r="I877" s="968">
        <v>4393.5</v>
      </c>
      <c r="J877" s="968">
        <v>2915.9</v>
      </c>
      <c r="K877" s="957">
        <v>145</v>
      </c>
      <c r="L877" s="971">
        <v>4752006.0199999996</v>
      </c>
      <c r="M877" s="985">
        <v>0</v>
      </c>
      <c r="N877" s="985">
        <v>0</v>
      </c>
      <c r="O877" s="968">
        <v>4752006.0199999996</v>
      </c>
      <c r="P877" s="963">
        <v>0</v>
      </c>
      <c r="Q877" s="985">
        <v>0</v>
      </c>
      <c r="R877" s="957">
        <v>2020</v>
      </c>
      <c r="S877" s="1006" t="s">
        <v>1387</v>
      </c>
      <c r="U877" s="967"/>
    </row>
    <row r="878" spans="1:21" ht="40.15" customHeight="1">
      <c r="A878" s="956">
        <v>338</v>
      </c>
      <c r="B878" s="986" t="s">
        <v>1874</v>
      </c>
      <c r="C878" s="956">
        <v>1962</v>
      </c>
      <c r="D878" s="957"/>
      <c r="E878" s="956" t="s">
        <v>218</v>
      </c>
      <c r="F878" s="956">
        <v>2</v>
      </c>
      <c r="G878" s="956">
        <v>1</v>
      </c>
      <c r="H878" s="963">
        <v>305.89999999999998</v>
      </c>
      <c r="I878" s="963">
        <v>305.89999999999998</v>
      </c>
      <c r="J878" s="963">
        <v>184</v>
      </c>
      <c r="K878" s="956">
        <v>13</v>
      </c>
      <c r="L878" s="971">
        <v>1297904.9099999999</v>
      </c>
      <c r="M878" s="985">
        <v>0</v>
      </c>
      <c r="N878" s="985">
        <v>0</v>
      </c>
      <c r="O878" s="968">
        <v>1297904.9099999999</v>
      </c>
      <c r="P878" s="963">
        <v>0</v>
      </c>
      <c r="Q878" s="985">
        <v>0</v>
      </c>
      <c r="R878" s="957">
        <v>2020</v>
      </c>
      <c r="S878" s="1006" t="s">
        <v>1387</v>
      </c>
      <c r="U878" s="967"/>
    </row>
    <row r="879" spans="1:21" ht="40.9" customHeight="1">
      <c r="A879" s="956">
        <v>339</v>
      </c>
      <c r="B879" s="986" t="s">
        <v>1875</v>
      </c>
      <c r="C879" s="998">
        <v>1969</v>
      </c>
      <c r="D879" s="956"/>
      <c r="E879" s="956" t="s">
        <v>218</v>
      </c>
      <c r="F879" s="956">
        <v>4</v>
      </c>
      <c r="G879" s="956">
        <v>3</v>
      </c>
      <c r="H879" s="963">
        <v>2694</v>
      </c>
      <c r="I879" s="963">
        <v>2694</v>
      </c>
      <c r="J879" s="963">
        <v>2005.1</v>
      </c>
      <c r="K879" s="956">
        <v>82</v>
      </c>
      <c r="L879" s="971">
        <v>2720952.52</v>
      </c>
      <c r="M879" s="985">
        <v>0</v>
      </c>
      <c r="N879" s="985">
        <v>0</v>
      </c>
      <c r="O879" s="968">
        <v>2720952.52</v>
      </c>
      <c r="P879" s="963">
        <v>0</v>
      </c>
      <c r="Q879" s="985">
        <v>0</v>
      </c>
      <c r="R879" s="957">
        <v>2020</v>
      </c>
      <c r="S879" s="1006" t="s">
        <v>1387</v>
      </c>
      <c r="U879" s="967"/>
    </row>
    <row r="880" spans="1:21" ht="40.9" customHeight="1">
      <c r="A880" s="956">
        <v>340</v>
      </c>
      <c r="B880" s="986" t="s">
        <v>1198</v>
      </c>
      <c r="C880" s="998">
        <v>1972</v>
      </c>
      <c r="D880" s="956"/>
      <c r="E880" s="956" t="s">
        <v>218</v>
      </c>
      <c r="F880" s="956">
        <v>2</v>
      </c>
      <c r="G880" s="956">
        <v>2</v>
      </c>
      <c r="H880" s="963">
        <v>574.4</v>
      </c>
      <c r="I880" s="963">
        <v>574.4</v>
      </c>
      <c r="J880" s="963">
        <v>525</v>
      </c>
      <c r="K880" s="956">
        <v>22</v>
      </c>
      <c r="L880" s="971">
        <v>1722085</v>
      </c>
      <c r="M880" s="985">
        <v>0</v>
      </c>
      <c r="N880" s="985">
        <v>0</v>
      </c>
      <c r="O880" s="968">
        <v>1722085</v>
      </c>
      <c r="P880" s="963">
        <v>0</v>
      </c>
      <c r="Q880" s="985">
        <v>0</v>
      </c>
      <c r="R880" s="956">
        <v>2021</v>
      </c>
      <c r="S880" s="957">
        <v>2023</v>
      </c>
      <c r="U880" s="967"/>
    </row>
    <row r="881" spans="1:21" ht="40.9" customHeight="1">
      <c r="A881" s="956">
        <v>341</v>
      </c>
      <c r="B881" s="986" t="s">
        <v>1950</v>
      </c>
      <c r="C881" s="957">
        <v>1980</v>
      </c>
      <c r="D881" s="957"/>
      <c r="E881" s="956" t="s">
        <v>218</v>
      </c>
      <c r="F881" s="957">
        <v>5</v>
      </c>
      <c r="G881" s="957">
        <v>5</v>
      </c>
      <c r="H881" s="968">
        <v>3502.1</v>
      </c>
      <c r="I881" s="968">
        <v>3502.1</v>
      </c>
      <c r="J881" s="968">
        <v>2091.9</v>
      </c>
      <c r="K881" s="957">
        <v>129</v>
      </c>
      <c r="L881" s="971">
        <v>3723730.37</v>
      </c>
      <c r="M881" s="985">
        <v>0</v>
      </c>
      <c r="N881" s="985">
        <v>0</v>
      </c>
      <c r="O881" s="968">
        <v>3723730.37</v>
      </c>
      <c r="P881" s="963">
        <v>0</v>
      </c>
      <c r="Q881" s="985">
        <v>0</v>
      </c>
      <c r="R881" s="957">
        <v>2022</v>
      </c>
      <c r="S881" s="957">
        <v>2023</v>
      </c>
      <c r="U881" s="967"/>
    </row>
    <row r="882" spans="1:21" ht="40.9" customHeight="1">
      <c r="A882" s="956">
        <v>342</v>
      </c>
      <c r="B882" s="986" t="s">
        <v>1876</v>
      </c>
      <c r="C882" s="956" t="s">
        <v>190</v>
      </c>
      <c r="D882" s="957"/>
      <c r="E882" s="956" t="s">
        <v>218</v>
      </c>
      <c r="F882" s="957">
        <v>1</v>
      </c>
      <c r="G882" s="957">
        <v>1</v>
      </c>
      <c r="H882" s="968">
        <v>148.6</v>
      </c>
      <c r="I882" s="968">
        <v>148.6</v>
      </c>
      <c r="J882" s="968">
        <v>88</v>
      </c>
      <c r="K882" s="957">
        <v>5</v>
      </c>
      <c r="L882" s="971">
        <v>807936.93</v>
      </c>
      <c r="M882" s="985">
        <v>0</v>
      </c>
      <c r="N882" s="985">
        <v>0</v>
      </c>
      <c r="O882" s="968">
        <v>807936.93</v>
      </c>
      <c r="P882" s="963">
        <v>0</v>
      </c>
      <c r="Q882" s="985">
        <v>0</v>
      </c>
      <c r="R882" s="957">
        <v>2022</v>
      </c>
      <c r="S882" s="1006" t="s">
        <v>1387</v>
      </c>
      <c r="U882" s="967"/>
    </row>
    <row r="883" spans="1:21" ht="39.6" customHeight="1">
      <c r="A883" s="956">
        <v>343</v>
      </c>
      <c r="B883" s="976" t="s">
        <v>1877</v>
      </c>
      <c r="C883" s="956">
        <v>1968</v>
      </c>
      <c r="D883" s="956"/>
      <c r="E883" s="956" t="s">
        <v>218</v>
      </c>
      <c r="F883" s="956">
        <v>5</v>
      </c>
      <c r="G883" s="956">
        <v>4</v>
      </c>
      <c r="H883" s="963">
        <v>4073.8</v>
      </c>
      <c r="I883" s="963">
        <v>4073.8</v>
      </c>
      <c r="J883" s="963">
        <v>3309.9</v>
      </c>
      <c r="K883" s="956">
        <v>126</v>
      </c>
      <c r="L883" s="965">
        <v>3322791.08</v>
      </c>
      <c r="M883" s="985">
        <v>0</v>
      </c>
      <c r="N883" s="985">
        <v>0</v>
      </c>
      <c r="O883" s="963">
        <v>3322791.08</v>
      </c>
      <c r="P883" s="963">
        <v>0</v>
      </c>
      <c r="Q883" s="985">
        <v>0</v>
      </c>
      <c r="R883" s="957">
        <v>2022</v>
      </c>
      <c r="S883" s="956">
        <v>2023</v>
      </c>
      <c r="U883" s="967"/>
    </row>
    <row r="884" spans="1:21" ht="39.6" customHeight="1">
      <c r="A884" s="956">
        <v>344</v>
      </c>
      <c r="B884" s="986" t="s">
        <v>1885</v>
      </c>
      <c r="C884" s="957">
        <v>1971</v>
      </c>
      <c r="D884" s="957"/>
      <c r="E884" s="956" t="s">
        <v>218</v>
      </c>
      <c r="F884" s="957">
        <v>5</v>
      </c>
      <c r="G884" s="957">
        <v>4</v>
      </c>
      <c r="H884" s="968">
        <v>4334.6000000000004</v>
      </c>
      <c r="I884" s="968">
        <v>4334.6000000000004</v>
      </c>
      <c r="J884" s="968">
        <v>3379.1</v>
      </c>
      <c r="K884" s="958">
        <v>122</v>
      </c>
      <c r="L884" s="971">
        <v>3323513.82</v>
      </c>
      <c r="M884" s="985">
        <v>0</v>
      </c>
      <c r="N884" s="985">
        <v>0</v>
      </c>
      <c r="O884" s="968">
        <v>3323513.82</v>
      </c>
      <c r="P884" s="963">
        <v>0</v>
      </c>
      <c r="Q884" s="985">
        <v>0</v>
      </c>
      <c r="R884" s="957">
        <v>2022</v>
      </c>
      <c r="S884" s="957">
        <v>2023</v>
      </c>
      <c r="U884" s="967"/>
    </row>
    <row r="885" spans="1:21" ht="39.6" customHeight="1">
      <c r="A885" s="956">
        <v>345</v>
      </c>
      <c r="B885" s="986" t="s">
        <v>1878</v>
      </c>
      <c r="C885" s="956">
        <v>1981</v>
      </c>
      <c r="D885" s="957"/>
      <c r="E885" s="956" t="s">
        <v>218</v>
      </c>
      <c r="F885" s="957">
        <v>5</v>
      </c>
      <c r="G885" s="957">
        <v>2</v>
      </c>
      <c r="H885" s="968">
        <v>2000.8</v>
      </c>
      <c r="I885" s="968">
        <v>2000.8</v>
      </c>
      <c r="J885" s="968">
        <v>1846.6</v>
      </c>
      <c r="K885" s="957">
        <v>61</v>
      </c>
      <c r="L885" s="971">
        <v>1822385.58</v>
      </c>
      <c r="M885" s="985">
        <v>0</v>
      </c>
      <c r="N885" s="985">
        <v>0</v>
      </c>
      <c r="O885" s="968">
        <v>1822385.58</v>
      </c>
      <c r="P885" s="963">
        <v>0</v>
      </c>
      <c r="Q885" s="985">
        <v>0</v>
      </c>
      <c r="R885" s="957">
        <v>2022</v>
      </c>
      <c r="S885" s="1006" t="s">
        <v>1387</v>
      </c>
      <c r="U885" s="967"/>
    </row>
    <row r="886" spans="1:21" ht="42" customHeight="1">
      <c r="A886" s="956">
        <v>346</v>
      </c>
      <c r="B886" s="986" t="s">
        <v>1879</v>
      </c>
      <c r="C886" s="956">
        <v>1960</v>
      </c>
      <c r="D886" s="957"/>
      <c r="E886" s="956" t="s">
        <v>218</v>
      </c>
      <c r="F886" s="957">
        <v>2</v>
      </c>
      <c r="G886" s="957">
        <v>1</v>
      </c>
      <c r="H886" s="968">
        <v>324.60000000000002</v>
      </c>
      <c r="I886" s="968">
        <v>324.60000000000002</v>
      </c>
      <c r="J886" s="968">
        <v>293.89999999999998</v>
      </c>
      <c r="K886" s="957">
        <v>14</v>
      </c>
      <c r="L886" s="971">
        <v>1256032.82</v>
      </c>
      <c r="M886" s="985">
        <v>0</v>
      </c>
      <c r="N886" s="985">
        <v>0</v>
      </c>
      <c r="O886" s="968">
        <v>1256032.82</v>
      </c>
      <c r="P886" s="963">
        <v>0</v>
      </c>
      <c r="Q886" s="985">
        <v>0</v>
      </c>
      <c r="R886" s="957">
        <v>2022</v>
      </c>
      <c r="S886" s="957">
        <v>2023</v>
      </c>
      <c r="U886" s="967"/>
    </row>
    <row r="887" spans="1:21" ht="42" customHeight="1">
      <c r="A887" s="956">
        <v>347</v>
      </c>
      <c r="B887" s="986" t="s">
        <v>1428</v>
      </c>
      <c r="C887" s="956">
        <v>1973</v>
      </c>
      <c r="D887" s="956"/>
      <c r="E887" s="956" t="s">
        <v>218</v>
      </c>
      <c r="F887" s="956">
        <v>5</v>
      </c>
      <c r="G887" s="956">
        <v>4</v>
      </c>
      <c r="H887" s="963">
        <v>4431.2</v>
      </c>
      <c r="I887" s="963">
        <v>4431.2</v>
      </c>
      <c r="J887" s="963">
        <v>3259.3</v>
      </c>
      <c r="K887" s="956">
        <v>125</v>
      </c>
      <c r="L887" s="965">
        <v>3329657.1</v>
      </c>
      <c r="M887" s="985">
        <v>0</v>
      </c>
      <c r="N887" s="985">
        <v>0</v>
      </c>
      <c r="O887" s="963">
        <v>3329657.1</v>
      </c>
      <c r="P887" s="963">
        <v>0</v>
      </c>
      <c r="Q887" s="985">
        <v>0</v>
      </c>
      <c r="R887" s="957">
        <v>2022</v>
      </c>
      <c r="S887" s="956">
        <v>2023</v>
      </c>
      <c r="U887" s="967"/>
    </row>
    <row r="888" spans="1:21" ht="45" customHeight="1">
      <c r="A888" s="956">
        <v>348</v>
      </c>
      <c r="B888" s="976" t="s">
        <v>1886</v>
      </c>
      <c r="C888" s="957">
        <v>1991</v>
      </c>
      <c r="D888" s="1048"/>
      <c r="E888" s="956" t="s">
        <v>218</v>
      </c>
      <c r="F888" s="957">
        <v>2</v>
      </c>
      <c r="G888" s="957">
        <v>2</v>
      </c>
      <c r="H888" s="968">
        <v>1347.5</v>
      </c>
      <c r="I888" s="968">
        <v>1347.5</v>
      </c>
      <c r="J888" s="968">
        <v>527.5</v>
      </c>
      <c r="K888" s="957">
        <v>25</v>
      </c>
      <c r="L888" s="971">
        <v>2425090</v>
      </c>
      <c r="M888" s="985">
        <v>0</v>
      </c>
      <c r="N888" s="985">
        <v>0</v>
      </c>
      <c r="O888" s="968">
        <f>L888</f>
        <v>2425090</v>
      </c>
      <c r="P888" s="963">
        <v>0</v>
      </c>
      <c r="Q888" s="985">
        <v>0</v>
      </c>
      <c r="R888" s="957">
        <v>2022</v>
      </c>
      <c r="S888" s="957">
        <v>2023</v>
      </c>
      <c r="U888" s="967"/>
    </row>
    <row r="889" spans="1:21" ht="40.15" customHeight="1">
      <c r="A889" s="956">
        <v>349</v>
      </c>
      <c r="B889" s="986" t="s">
        <v>1887</v>
      </c>
      <c r="C889" s="956">
        <v>1933</v>
      </c>
      <c r="D889" s="957"/>
      <c r="E889" s="957" t="s">
        <v>221</v>
      </c>
      <c r="F889" s="957">
        <v>2</v>
      </c>
      <c r="G889" s="957">
        <v>1</v>
      </c>
      <c r="H889" s="968">
        <v>249.5</v>
      </c>
      <c r="I889" s="968">
        <v>249.5</v>
      </c>
      <c r="J889" s="968">
        <v>141.80000000000001</v>
      </c>
      <c r="K889" s="957">
        <v>8</v>
      </c>
      <c r="L889" s="971">
        <v>1040298.73</v>
      </c>
      <c r="M889" s="985">
        <v>0</v>
      </c>
      <c r="N889" s="985">
        <v>0</v>
      </c>
      <c r="O889" s="968">
        <v>1040298.73</v>
      </c>
      <c r="P889" s="963">
        <v>0</v>
      </c>
      <c r="Q889" s="985">
        <v>0</v>
      </c>
      <c r="R889" s="957">
        <v>2022</v>
      </c>
      <c r="S889" s="1006" t="s">
        <v>1387</v>
      </c>
      <c r="U889" s="967"/>
    </row>
    <row r="890" spans="1:21" ht="37.15" customHeight="1">
      <c r="A890" s="1163" t="s">
        <v>1185</v>
      </c>
      <c r="B890" s="1164"/>
      <c r="C890" s="1164"/>
      <c r="D890" s="1164"/>
      <c r="E890" s="1164"/>
      <c r="F890" s="1164"/>
      <c r="G890" s="1165"/>
      <c r="H890" s="968">
        <f>SUM(H891:H896)</f>
        <v>6389.5</v>
      </c>
      <c r="I890" s="968">
        <f t="shared" ref="I890:Q890" si="144">SUM(I891:I896)</f>
        <v>6247.58</v>
      </c>
      <c r="J890" s="968">
        <f t="shared" si="144"/>
        <v>5640.58</v>
      </c>
      <c r="K890" s="958">
        <f t="shared" si="144"/>
        <v>213</v>
      </c>
      <c r="L890" s="971">
        <f t="shared" si="144"/>
        <v>15617979.109999999</v>
      </c>
      <c r="M890" s="968">
        <f t="shared" si="144"/>
        <v>0</v>
      </c>
      <c r="N890" s="968">
        <f t="shared" si="144"/>
        <v>0</v>
      </c>
      <c r="O890" s="968">
        <f t="shared" si="144"/>
        <v>15617979.109999999</v>
      </c>
      <c r="P890" s="968">
        <f t="shared" si="144"/>
        <v>0</v>
      </c>
      <c r="Q890" s="968">
        <f t="shared" si="144"/>
        <v>0</v>
      </c>
      <c r="R890" s="968" t="s">
        <v>40</v>
      </c>
      <c r="S890" s="968" t="s">
        <v>40</v>
      </c>
      <c r="U890" s="967"/>
    </row>
    <row r="891" spans="1:21" ht="40.9" customHeight="1">
      <c r="A891" s="956">
        <v>350</v>
      </c>
      <c r="B891" s="972" t="s">
        <v>1245</v>
      </c>
      <c r="C891" s="964">
        <v>1959</v>
      </c>
      <c r="D891" s="963"/>
      <c r="E891" s="963" t="s">
        <v>218</v>
      </c>
      <c r="F891" s="964">
        <v>2</v>
      </c>
      <c r="G891" s="964">
        <v>3</v>
      </c>
      <c r="H891" s="963">
        <v>973.8</v>
      </c>
      <c r="I891" s="963">
        <v>880.5</v>
      </c>
      <c r="J891" s="963">
        <v>742.1</v>
      </c>
      <c r="K891" s="964">
        <v>46</v>
      </c>
      <c r="L891" s="965">
        <v>962024.44</v>
      </c>
      <c r="M891" s="985">
        <v>0</v>
      </c>
      <c r="N891" s="985">
        <v>0</v>
      </c>
      <c r="O891" s="968">
        <v>962024.44</v>
      </c>
      <c r="P891" s="985">
        <v>0</v>
      </c>
      <c r="Q891" s="985">
        <v>0</v>
      </c>
      <c r="R891" s="959">
        <v>2018</v>
      </c>
      <c r="S891" s="1006" t="s">
        <v>1387</v>
      </c>
      <c r="U891" s="967"/>
    </row>
    <row r="892" spans="1:21" ht="42" customHeight="1">
      <c r="A892" s="956">
        <v>351</v>
      </c>
      <c r="B892" s="972" t="s">
        <v>1478</v>
      </c>
      <c r="C892" s="964">
        <v>1957</v>
      </c>
      <c r="D892" s="963"/>
      <c r="E892" s="963" t="s">
        <v>218</v>
      </c>
      <c r="F892" s="964">
        <v>2</v>
      </c>
      <c r="G892" s="964">
        <v>2</v>
      </c>
      <c r="H892" s="963">
        <v>747.7</v>
      </c>
      <c r="I892" s="963">
        <v>747.7</v>
      </c>
      <c r="J892" s="963">
        <v>694.9</v>
      </c>
      <c r="K892" s="964">
        <v>18</v>
      </c>
      <c r="L892" s="965">
        <v>2608077.64</v>
      </c>
      <c r="M892" s="985">
        <v>0</v>
      </c>
      <c r="N892" s="985">
        <v>0</v>
      </c>
      <c r="O892" s="968">
        <v>2608077.64</v>
      </c>
      <c r="P892" s="985">
        <v>0</v>
      </c>
      <c r="Q892" s="985">
        <v>0</v>
      </c>
      <c r="R892" s="959">
        <v>2022</v>
      </c>
      <c r="S892" s="959">
        <v>2023</v>
      </c>
      <c r="U892" s="967"/>
    </row>
    <row r="893" spans="1:21" ht="43.9" customHeight="1">
      <c r="A893" s="956">
        <v>352</v>
      </c>
      <c r="B893" s="972" t="s">
        <v>1479</v>
      </c>
      <c r="C893" s="964">
        <v>1962</v>
      </c>
      <c r="D893" s="963"/>
      <c r="E893" s="963" t="s">
        <v>218</v>
      </c>
      <c r="F893" s="964">
        <v>2</v>
      </c>
      <c r="G893" s="964">
        <v>2</v>
      </c>
      <c r="H893" s="963">
        <v>704.6</v>
      </c>
      <c r="I893" s="963">
        <v>655.98</v>
      </c>
      <c r="J893" s="963">
        <v>655.98</v>
      </c>
      <c r="K893" s="964">
        <v>14</v>
      </c>
      <c r="L893" s="965">
        <v>2320892.54</v>
      </c>
      <c r="M893" s="985">
        <v>0</v>
      </c>
      <c r="N893" s="985">
        <v>0</v>
      </c>
      <c r="O893" s="968">
        <v>2320892.54</v>
      </c>
      <c r="P893" s="985">
        <v>0</v>
      </c>
      <c r="Q893" s="985">
        <v>0</v>
      </c>
      <c r="R893" s="959">
        <v>2022</v>
      </c>
      <c r="S893" s="959">
        <v>2023</v>
      </c>
      <c r="U893" s="967"/>
    </row>
    <row r="894" spans="1:21" ht="44.45" customHeight="1">
      <c r="A894" s="956">
        <v>353</v>
      </c>
      <c r="B894" s="972" t="s">
        <v>1480</v>
      </c>
      <c r="C894" s="964">
        <v>1985</v>
      </c>
      <c r="D894" s="963"/>
      <c r="E894" s="963" t="s">
        <v>218</v>
      </c>
      <c r="F894" s="964">
        <v>5</v>
      </c>
      <c r="G894" s="964">
        <v>1</v>
      </c>
      <c r="H894" s="963">
        <v>1614.5</v>
      </c>
      <c r="I894" s="963">
        <v>1614.5</v>
      </c>
      <c r="J894" s="963">
        <v>1198.7</v>
      </c>
      <c r="K894" s="964">
        <v>45</v>
      </c>
      <c r="L894" s="965">
        <v>1989713.29</v>
      </c>
      <c r="M894" s="985">
        <v>0</v>
      </c>
      <c r="N894" s="985">
        <v>0</v>
      </c>
      <c r="O894" s="968">
        <v>1989713.29</v>
      </c>
      <c r="P894" s="985">
        <v>0</v>
      </c>
      <c r="Q894" s="985">
        <v>0</v>
      </c>
      <c r="R894" s="959">
        <v>2022</v>
      </c>
      <c r="S894" s="1006" t="s">
        <v>1387</v>
      </c>
      <c r="U894" s="967"/>
    </row>
    <row r="895" spans="1:21" ht="44.45" customHeight="1">
      <c r="A895" s="956">
        <v>354</v>
      </c>
      <c r="B895" s="976" t="s">
        <v>1807</v>
      </c>
      <c r="C895" s="991" t="s">
        <v>600</v>
      </c>
      <c r="D895" s="991"/>
      <c r="E895" s="956" t="s">
        <v>218</v>
      </c>
      <c r="F895" s="991" t="s">
        <v>1808</v>
      </c>
      <c r="G895" s="991" t="s">
        <v>1808</v>
      </c>
      <c r="H895" s="968">
        <v>529.9</v>
      </c>
      <c r="I895" s="968">
        <v>529.9</v>
      </c>
      <c r="J895" s="968">
        <v>529.9</v>
      </c>
      <c r="K895" s="959">
        <v>9</v>
      </c>
      <c r="L895" s="971">
        <v>3246439.14</v>
      </c>
      <c r="M895" s="968">
        <v>0</v>
      </c>
      <c r="N895" s="968">
        <v>0</v>
      </c>
      <c r="O895" s="968">
        <v>3246439.14</v>
      </c>
      <c r="P895" s="968">
        <v>0</v>
      </c>
      <c r="Q895" s="968">
        <v>0</v>
      </c>
      <c r="R895" s="991" t="s">
        <v>1809</v>
      </c>
      <c r="S895" s="991" t="s">
        <v>1809</v>
      </c>
      <c r="U895" s="967"/>
    </row>
    <row r="896" spans="1:21" ht="55.5" customHeight="1">
      <c r="A896" s="956">
        <v>355</v>
      </c>
      <c r="B896" s="976" t="s">
        <v>1810</v>
      </c>
      <c r="C896" s="991" t="s">
        <v>876</v>
      </c>
      <c r="D896" s="991"/>
      <c r="E896" s="956" t="s">
        <v>218</v>
      </c>
      <c r="F896" s="991" t="s">
        <v>73</v>
      </c>
      <c r="G896" s="991" t="s">
        <v>73</v>
      </c>
      <c r="H896" s="968">
        <v>1819</v>
      </c>
      <c r="I896" s="968">
        <v>1819</v>
      </c>
      <c r="J896" s="968">
        <v>1819</v>
      </c>
      <c r="K896" s="959">
        <v>81</v>
      </c>
      <c r="L896" s="971">
        <v>4490832.0599999996</v>
      </c>
      <c r="M896" s="968">
        <v>0</v>
      </c>
      <c r="N896" s="968">
        <v>0</v>
      </c>
      <c r="O896" s="968">
        <v>4490832.0599999996</v>
      </c>
      <c r="P896" s="968">
        <v>0</v>
      </c>
      <c r="Q896" s="968">
        <v>0</v>
      </c>
      <c r="R896" s="991" t="s">
        <v>1809</v>
      </c>
      <c r="S896" s="1006" t="s">
        <v>1387</v>
      </c>
      <c r="U896" s="967"/>
    </row>
    <row r="897" spans="1:21" ht="51" customHeight="1">
      <c r="A897" s="1163" t="s">
        <v>1977</v>
      </c>
      <c r="B897" s="1164"/>
      <c r="C897" s="1164"/>
      <c r="D897" s="1164"/>
      <c r="E897" s="1164"/>
      <c r="F897" s="1164"/>
      <c r="G897" s="1165"/>
      <c r="H897" s="968">
        <f>SUM(H898:H928)</f>
        <v>78926.300000000017</v>
      </c>
      <c r="I897" s="968">
        <f t="shared" ref="I897:O897" si="145">SUM(I898:I928)</f>
        <v>64642</v>
      </c>
      <c r="J897" s="968">
        <f t="shared" si="145"/>
        <v>58421.199999999983</v>
      </c>
      <c r="K897" s="958">
        <f t="shared" si="145"/>
        <v>2881</v>
      </c>
      <c r="L897" s="971">
        <f t="shared" si="145"/>
        <v>151370689.77058002</v>
      </c>
      <c r="M897" s="968">
        <f t="shared" si="145"/>
        <v>0</v>
      </c>
      <c r="N897" s="968">
        <f t="shared" si="145"/>
        <v>0</v>
      </c>
      <c r="O897" s="968">
        <f t="shared" si="145"/>
        <v>151370689.77058002</v>
      </c>
      <c r="P897" s="968">
        <f>SUM(P898:P928)</f>
        <v>0</v>
      </c>
      <c r="Q897" s="968">
        <f>SUM(Q898:Q928)</f>
        <v>0</v>
      </c>
      <c r="R897" s="968" t="s">
        <v>40</v>
      </c>
      <c r="S897" s="968" t="s">
        <v>40</v>
      </c>
      <c r="U897" s="967"/>
    </row>
    <row r="898" spans="1:21" ht="36.6" customHeight="1">
      <c r="A898" s="957">
        <v>356</v>
      </c>
      <c r="B898" s="1020" t="s">
        <v>1532</v>
      </c>
      <c r="C898" s="957">
        <v>1965</v>
      </c>
      <c r="D898" s="957"/>
      <c r="E898" s="956" t="s">
        <v>219</v>
      </c>
      <c r="F898" s="957">
        <v>5</v>
      </c>
      <c r="G898" s="957">
        <v>4</v>
      </c>
      <c r="H898" s="1030">
        <v>3948.7</v>
      </c>
      <c r="I898" s="1030">
        <v>3538.7</v>
      </c>
      <c r="J898" s="1030">
        <v>3223.3</v>
      </c>
      <c r="K898" s="959">
        <v>147</v>
      </c>
      <c r="L898" s="971">
        <v>4252462.49</v>
      </c>
      <c r="M898" s="968">
        <v>0</v>
      </c>
      <c r="N898" s="968">
        <v>0</v>
      </c>
      <c r="O898" s="968">
        <f t="shared" ref="O898:O909" si="146">L898</f>
        <v>4252462.49</v>
      </c>
      <c r="P898" s="968">
        <v>0</v>
      </c>
      <c r="Q898" s="968">
        <v>0</v>
      </c>
      <c r="R898" s="957">
        <v>2019</v>
      </c>
      <c r="S898" s="957">
        <v>2023</v>
      </c>
      <c r="U898" s="967"/>
    </row>
    <row r="899" spans="1:21" ht="40.9" customHeight="1">
      <c r="A899" s="957">
        <v>357</v>
      </c>
      <c r="B899" s="1049" t="s">
        <v>1538</v>
      </c>
      <c r="C899" s="964">
        <v>1977</v>
      </c>
      <c r="D899" s="964"/>
      <c r="E899" s="956" t="s">
        <v>218</v>
      </c>
      <c r="F899" s="956">
        <v>5</v>
      </c>
      <c r="G899" s="956">
        <v>2</v>
      </c>
      <c r="H899" s="1034">
        <v>5500.4</v>
      </c>
      <c r="I899" s="1034">
        <v>5315</v>
      </c>
      <c r="J899" s="1034">
        <v>2102.1</v>
      </c>
      <c r="K899" s="964">
        <v>314</v>
      </c>
      <c r="L899" s="971">
        <v>7729973.2400000002</v>
      </c>
      <c r="M899" s="968">
        <v>0</v>
      </c>
      <c r="N899" s="968">
        <v>0</v>
      </c>
      <c r="O899" s="968">
        <f>L899</f>
        <v>7729973.2400000002</v>
      </c>
      <c r="P899" s="968">
        <v>0</v>
      </c>
      <c r="Q899" s="968">
        <v>0</v>
      </c>
      <c r="R899" s="957">
        <v>2019</v>
      </c>
      <c r="S899" s="957">
        <v>2023</v>
      </c>
      <c r="U899" s="967"/>
    </row>
    <row r="900" spans="1:21" ht="42" customHeight="1">
      <c r="A900" s="957">
        <v>358</v>
      </c>
      <c r="B900" s="1049" t="s">
        <v>1539</v>
      </c>
      <c r="C900" s="964">
        <v>1967</v>
      </c>
      <c r="D900" s="964"/>
      <c r="E900" s="956" t="s">
        <v>220</v>
      </c>
      <c r="F900" s="956">
        <v>5</v>
      </c>
      <c r="G900" s="956">
        <v>4</v>
      </c>
      <c r="H900" s="956">
        <v>5411.6</v>
      </c>
      <c r="I900" s="956">
        <v>3495.5</v>
      </c>
      <c r="J900" s="956">
        <v>3362.2</v>
      </c>
      <c r="K900" s="964">
        <v>114</v>
      </c>
      <c r="L900" s="971">
        <v>17471730.68</v>
      </c>
      <c r="M900" s="985">
        <v>0</v>
      </c>
      <c r="N900" s="985">
        <v>0</v>
      </c>
      <c r="O900" s="968">
        <f t="shared" si="146"/>
        <v>17471730.68</v>
      </c>
      <c r="P900" s="963">
        <v>0</v>
      </c>
      <c r="Q900" s="985">
        <v>0</v>
      </c>
      <c r="R900" s="957">
        <v>2021</v>
      </c>
      <c r="S900" s="1006" t="s">
        <v>1387</v>
      </c>
      <c r="U900" s="967"/>
    </row>
    <row r="901" spans="1:21" ht="39" customHeight="1">
      <c r="A901" s="957">
        <v>359</v>
      </c>
      <c r="B901" s="1049" t="s">
        <v>1540</v>
      </c>
      <c r="C901" s="964">
        <v>1957</v>
      </c>
      <c r="D901" s="964"/>
      <c r="E901" s="956" t="s">
        <v>218</v>
      </c>
      <c r="F901" s="956">
        <v>1</v>
      </c>
      <c r="G901" s="956">
        <v>2</v>
      </c>
      <c r="H901" s="1034">
        <v>461.3</v>
      </c>
      <c r="I901" s="956">
        <v>407.4</v>
      </c>
      <c r="J901" s="956">
        <v>314.60000000000002</v>
      </c>
      <c r="K901" s="964">
        <v>24</v>
      </c>
      <c r="L901" s="971">
        <v>2999749.36</v>
      </c>
      <c r="M901" s="985">
        <v>0</v>
      </c>
      <c r="N901" s="985">
        <v>0</v>
      </c>
      <c r="O901" s="968">
        <f t="shared" si="146"/>
        <v>2999749.36</v>
      </c>
      <c r="P901" s="963">
        <v>0</v>
      </c>
      <c r="Q901" s="985">
        <v>0</v>
      </c>
      <c r="R901" s="957">
        <v>2021</v>
      </c>
      <c r="S901" s="957">
        <v>2023</v>
      </c>
      <c r="U901" s="967"/>
    </row>
    <row r="902" spans="1:21" ht="39" customHeight="1">
      <c r="A902" s="957">
        <v>360</v>
      </c>
      <c r="B902" s="1049" t="s">
        <v>1541</v>
      </c>
      <c r="C902" s="964">
        <v>1975</v>
      </c>
      <c r="D902" s="964"/>
      <c r="E902" s="956" t="s">
        <v>218</v>
      </c>
      <c r="F902" s="956">
        <v>12</v>
      </c>
      <c r="G902" s="956">
        <v>1</v>
      </c>
      <c r="H902" s="956">
        <v>5393.6</v>
      </c>
      <c r="I902" s="956">
        <v>3815.1</v>
      </c>
      <c r="J902" s="956">
        <v>3741.2</v>
      </c>
      <c r="K902" s="964">
        <v>116</v>
      </c>
      <c r="L902" s="971">
        <v>4150636.91</v>
      </c>
      <c r="M902" s="985">
        <v>0</v>
      </c>
      <c r="N902" s="985">
        <v>0</v>
      </c>
      <c r="O902" s="968">
        <f t="shared" si="146"/>
        <v>4150636.91</v>
      </c>
      <c r="P902" s="963">
        <v>0</v>
      </c>
      <c r="Q902" s="985">
        <v>0</v>
      </c>
      <c r="R902" s="957">
        <v>2022</v>
      </c>
      <c r="S902" s="957">
        <v>2023</v>
      </c>
      <c r="U902" s="967"/>
    </row>
    <row r="903" spans="1:21" ht="39" customHeight="1">
      <c r="A903" s="957">
        <v>361</v>
      </c>
      <c r="B903" s="1049" t="s">
        <v>1542</v>
      </c>
      <c r="C903" s="964">
        <v>1973</v>
      </c>
      <c r="D903" s="964"/>
      <c r="E903" s="956" t="s">
        <v>219</v>
      </c>
      <c r="F903" s="956">
        <v>5</v>
      </c>
      <c r="G903" s="956">
        <v>4</v>
      </c>
      <c r="H903" s="956">
        <v>4703.8</v>
      </c>
      <c r="I903" s="956">
        <v>3511.9</v>
      </c>
      <c r="J903" s="956">
        <v>3307.8</v>
      </c>
      <c r="K903" s="964">
        <v>240</v>
      </c>
      <c r="L903" s="971">
        <v>3605381.91</v>
      </c>
      <c r="M903" s="985">
        <v>0</v>
      </c>
      <c r="N903" s="985">
        <v>0</v>
      </c>
      <c r="O903" s="968">
        <f t="shared" si="146"/>
        <v>3605381.91</v>
      </c>
      <c r="P903" s="963">
        <v>0</v>
      </c>
      <c r="Q903" s="985">
        <v>0</v>
      </c>
      <c r="R903" s="957">
        <v>2022</v>
      </c>
      <c r="S903" s="957">
        <v>2023</v>
      </c>
      <c r="U903" s="967"/>
    </row>
    <row r="904" spans="1:21" ht="41.45" customHeight="1">
      <c r="A904" s="957">
        <v>362</v>
      </c>
      <c r="B904" s="1049" t="s">
        <v>1543</v>
      </c>
      <c r="C904" s="964">
        <v>1967</v>
      </c>
      <c r="D904" s="964"/>
      <c r="E904" s="956" t="s">
        <v>218</v>
      </c>
      <c r="F904" s="956">
        <v>5</v>
      </c>
      <c r="G904" s="956">
        <v>4</v>
      </c>
      <c r="H904" s="956">
        <v>3573.8</v>
      </c>
      <c r="I904" s="956">
        <v>2630</v>
      </c>
      <c r="J904" s="956">
        <v>2630</v>
      </c>
      <c r="K904" s="964">
        <v>104</v>
      </c>
      <c r="L904" s="971">
        <v>7702135.8099999996</v>
      </c>
      <c r="M904" s="985">
        <v>0</v>
      </c>
      <c r="N904" s="985">
        <v>0</v>
      </c>
      <c r="O904" s="968">
        <f t="shared" si="146"/>
        <v>7702135.8099999996</v>
      </c>
      <c r="P904" s="963">
        <v>0</v>
      </c>
      <c r="Q904" s="985">
        <v>0</v>
      </c>
      <c r="R904" s="957">
        <v>2022</v>
      </c>
      <c r="S904" s="1006" t="s">
        <v>1387</v>
      </c>
      <c r="U904" s="967"/>
    </row>
    <row r="905" spans="1:21" ht="45" customHeight="1">
      <c r="A905" s="957">
        <v>363</v>
      </c>
      <c r="B905" s="1049" t="s">
        <v>1544</v>
      </c>
      <c r="C905" s="964">
        <v>1953</v>
      </c>
      <c r="D905" s="964"/>
      <c r="E905" s="956" t="s">
        <v>218</v>
      </c>
      <c r="F905" s="956">
        <v>1</v>
      </c>
      <c r="G905" s="956">
        <v>2</v>
      </c>
      <c r="H905" s="1034">
        <v>486.4</v>
      </c>
      <c r="I905" s="956">
        <v>443.6</v>
      </c>
      <c r="J905" s="956">
        <v>335.3</v>
      </c>
      <c r="K905" s="964">
        <v>25</v>
      </c>
      <c r="L905" s="971">
        <v>3365622.21</v>
      </c>
      <c r="M905" s="985">
        <v>0</v>
      </c>
      <c r="N905" s="985">
        <v>0</v>
      </c>
      <c r="O905" s="968">
        <f t="shared" si="146"/>
        <v>3365622.21</v>
      </c>
      <c r="P905" s="963">
        <v>0</v>
      </c>
      <c r="Q905" s="985">
        <v>0</v>
      </c>
      <c r="R905" s="957">
        <v>2022</v>
      </c>
      <c r="S905" s="957">
        <v>2023</v>
      </c>
      <c r="U905" s="967"/>
    </row>
    <row r="906" spans="1:21" ht="48" customHeight="1">
      <c r="A906" s="957">
        <v>364</v>
      </c>
      <c r="B906" s="1049" t="s">
        <v>1545</v>
      </c>
      <c r="C906" s="964">
        <v>1980</v>
      </c>
      <c r="D906" s="964"/>
      <c r="E906" s="956" t="s">
        <v>218</v>
      </c>
      <c r="F906" s="956">
        <v>5</v>
      </c>
      <c r="G906" s="956">
        <v>6</v>
      </c>
      <c r="H906" s="956">
        <v>5366.9</v>
      </c>
      <c r="I906" s="956">
        <v>3813.5</v>
      </c>
      <c r="J906" s="956">
        <v>3708.9</v>
      </c>
      <c r="K906" s="964">
        <v>193</v>
      </c>
      <c r="L906" s="971">
        <v>5891020.71</v>
      </c>
      <c r="M906" s="985">
        <v>0</v>
      </c>
      <c r="N906" s="985">
        <v>0</v>
      </c>
      <c r="O906" s="968">
        <f>L906</f>
        <v>5891020.71</v>
      </c>
      <c r="P906" s="963">
        <v>0</v>
      </c>
      <c r="Q906" s="985">
        <v>0</v>
      </c>
      <c r="R906" s="957">
        <v>2022</v>
      </c>
      <c r="S906" s="957">
        <v>2023</v>
      </c>
      <c r="U906" s="967"/>
    </row>
    <row r="907" spans="1:21" ht="45.6" customHeight="1">
      <c r="A907" s="957">
        <v>365</v>
      </c>
      <c r="B907" s="1049" t="s">
        <v>1546</v>
      </c>
      <c r="C907" s="964">
        <v>1994</v>
      </c>
      <c r="D907" s="964"/>
      <c r="E907" s="956" t="s">
        <v>219</v>
      </c>
      <c r="F907" s="956">
        <v>9</v>
      </c>
      <c r="G907" s="956">
        <v>5</v>
      </c>
      <c r="H907" s="956">
        <v>12100.9</v>
      </c>
      <c r="I907" s="956">
        <v>10253.799999999999</v>
      </c>
      <c r="J907" s="956">
        <v>10013.4</v>
      </c>
      <c r="K907" s="964">
        <v>423</v>
      </c>
      <c r="L907" s="971">
        <v>14449200.52</v>
      </c>
      <c r="M907" s="985">
        <v>0</v>
      </c>
      <c r="N907" s="985">
        <v>0</v>
      </c>
      <c r="O907" s="968">
        <f>L907</f>
        <v>14449200.52</v>
      </c>
      <c r="P907" s="963">
        <v>0</v>
      </c>
      <c r="Q907" s="985">
        <v>0</v>
      </c>
      <c r="R907" s="957">
        <v>2022</v>
      </c>
      <c r="S907" s="957">
        <v>2023</v>
      </c>
      <c r="U907" s="967"/>
    </row>
    <row r="908" spans="1:21" ht="40.15" customHeight="1">
      <c r="A908" s="957">
        <v>366</v>
      </c>
      <c r="B908" s="1049" t="s">
        <v>1547</v>
      </c>
      <c r="C908" s="964">
        <v>1993</v>
      </c>
      <c r="D908" s="964"/>
      <c r="E908" s="956" t="s">
        <v>220</v>
      </c>
      <c r="F908" s="956">
        <v>5</v>
      </c>
      <c r="G908" s="956">
        <v>4</v>
      </c>
      <c r="H908" s="956">
        <v>5425.3</v>
      </c>
      <c r="I908" s="956">
        <v>3461.7</v>
      </c>
      <c r="J908" s="956">
        <v>3390.1</v>
      </c>
      <c r="K908" s="964">
        <v>126</v>
      </c>
      <c r="L908" s="971">
        <v>15564858.65</v>
      </c>
      <c r="M908" s="985">
        <v>0</v>
      </c>
      <c r="N908" s="985">
        <v>0</v>
      </c>
      <c r="O908" s="968">
        <f>L908</f>
        <v>15564858.65</v>
      </c>
      <c r="P908" s="963">
        <v>0</v>
      </c>
      <c r="Q908" s="985">
        <v>0</v>
      </c>
      <c r="R908" s="957">
        <v>2022</v>
      </c>
      <c r="S908" s="957">
        <v>2023</v>
      </c>
      <c r="U908" s="967"/>
    </row>
    <row r="909" spans="1:21" ht="42" customHeight="1">
      <c r="A909" s="957">
        <v>367</v>
      </c>
      <c r="B909" s="1049" t="s">
        <v>1548</v>
      </c>
      <c r="C909" s="964">
        <v>1993</v>
      </c>
      <c r="D909" s="964"/>
      <c r="E909" s="956" t="s">
        <v>219</v>
      </c>
      <c r="F909" s="956">
        <v>9</v>
      </c>
      <c r="G909" s="956">
        <v>3</v>
      </c>
      <c r="H909" s="1034">
        <v>7045.7</v>
      </c>
      <c r="I909" s="956">
        <v>6350</v>
      </c>
      <c r="J909" s="956">
        <v>6214.6</v>
      </c>
      <c r="K909" s="964">
        <v>244</v>
      </c>
      <c r="L909" s="971">
        <v>8669520.3100000005</v>
      </c>
      <c r="M909" s="985">
        <v>0</v>
      </c>
      <c r="N909" s="985">
        <v>0</v>
      </c>
      <c r="O909" s="968">
        <f t="shared" si="146"/>
        <v>8669520.3100000005</v>
      </c>
      <c r="P909" s="963">
        <v>0</v>
      </c>
      <c r="Q909" s="985">
        <v>0</v>
      </c>
      <c r="R909" s="957">
        <v>2022</v>
      </c>
      <c r="S909" s="957">
        <v>2023</v>
      </c>
      <c r="U909" s="967"/>
    </row>
    <row r="910" spans="1:21" ht="43.9" customHeight="1">
      <c r="A910" s="957">
        <v>368</v>
      </c>
      <c r="B910" s="984" t="s">
        <v>1055</v>
      </c>
      <c r="C910" s="957">
        <v>1967</v>
      </c>
      <c r="D910" s="984"/>
      <c r="E910" s="956" t="s">
        <v>218</v>
      </c>
      <c r="F910" s="957">
        <v>2</v>
      </c>
      <c r="G910" s="957">
        <v>2</v>
      </c>
      <c r="H910" s="968">
        <v>525.4</v>
      </c>
      <c r="I910" s="968">
        <v>525.4</v>
      </c>
      <c r="J910" s="968">
        <v>293.7</v>
      </c>
      <c r="K910" s="959">
        <v>24</v>
      </c>
      <c r="L910" s="971">
        <v>1992274</v>
      </c>
      <c r="M910" s="985">
        <v>0</v>
      </c>
      <c r="N910" s="985">
        <v>0</v>
      </c>
      <c r="O910" s="985">
        <v>1992274</v>
      </c>
      <c r="P910" s="963">
        <v>0</v>
      </c>
      <c r="Q910" s="985">
        <v>0</v>
      </c>
      <c r="R910" s="964">
        <v>2022</v>
      </c>
      <c r="S910" s="964">
        <v>2023</v>
      </c>
      <c r="U910" s="967"/>
    </row>
    <row r="911" spans="1:21" ht="43.9" customHeight="1">
      <c r="A911" s="957">
        <v>369</v>
      </c>
      <c r="B911" s="986" t="s">
        <v>1344</v>
      </c>
      <c r="C911" s="957">
        <v>1984</v>
      </c>
      <c r="D911" s="957"/>
      <c r="E911" s="956" t="s">
        <v>218</v>
      </c>
      <c r="F911" s="957">
        <v>3</v>
      </c>
      <c r="G911" s="957">
        <v>2</v>
      </c>
      <c r="H911" s="968">
        <v>1130.0999999999999</v>
      </c>
      <c r="I911" s="968">
        <v>1039.4000000000001</v>
      </c>
      <c r="J911" s="968">
        <v>923.5</v>
      </c>
      <c r="K911" s="959">
        <v>48</v>
      </c>
      <c r="L911" s="971">
        <v>1256949</v>
      </c>
      <c r="M911" s="985">
        <v>0</v>
      </c>
      <c r="N911" s="985">
        <v>0</v>
      </c>
      <c r="O911" s="985">
        <v>1256949</v>
      </c>
      <c r="P911" s="963">
        <f>Q911</f>
        <v>0</v>
      </c>
      <c r="Q911" s="985">
        <v>0</v>
      </c>
      <c r="R911" s="964">
        <v>2022</v>
      </c>
      <c r="S911" s="964">
        <v>2023</v>
      </c>
      <c r="U911" s="967"/>
    </row>
    <row r="912" spans="1:21" ht="54.75" customHeight="1">
      <c r="A912" s="957">
        <v>370</v>
      </c>
      <c r="B912" s="986" t="s">
        <v>1345</v>
      </c>
      <c r="C912" s="957">
        <v>1972</v>
      </c>
      <c r="D912" s="957"/>
      <c r="E912" s="956" t="s">
        <v>218</v>
      </c>
      <c r="F912" s="957">
        <v>2</v>
      </c>
      <c r="G912" s="957">
        <v>2</v>
      </c>
      <c r="H912" s="968">
        <v>781</v>
      </c>
      <c r="I912" s="968">
        <v>720.8</v>
      </c>
      <c r="J912" s="968">
        <v>637.4</v>
      </c>
      <c r="K912" s="959">
        <v>22</v>
      </c>
      <c r="L912" s="971">
        <v>3291644.59</v>
      </c>
      <c r="M912" s="985">
        <v>0</v>
      </c>
      <c r="N912" s="985">
        <v>0</v>
      </c>
      <c r="O912" s="985">
        <v>3291644.59</v>
      </c>
      <c r="P912" s="963">
        <v>0</v>
      </c>
      <c r="Q912" s="985">
        <v>0</v>
      </c>
      <c r="R912" s="964">
        <v>2022</v>
      </c>
      <c r="S912" s="964">
        <v>2023</v>
      </c>
      <c r="U912" s="967"/>
    </row>
    <row r="913" spans="1:21" ht="41.45" customHeight="1">
      <c r="A913" s="957">
        <v>371</v>
      </c>
      <c r="B913" s="986" t="s">
        <v>1067</v>
      </c>
      <c r="C913" s="957">
        <v>1989</v>
      </c>
      <c r="D913" s="957"/>
      <c r="E913" s="956" t="s">
        <v>218</v>
      </c>
      <c r="F913" s="957">
        <v>2</v>
      </c>
      <c r="G913" s="957">
        <v>2</v>
      </c>
      <c r="H913" s="968">
        <v>632.29999999999995</v>
      </c>
      <c r="I913" s="968">
        <v>568.29999999999995</v>
      </c>
      <c r="J913" s="968">
        <v>568.29999999999995</v>
      </c>
      <c r="K913" s="959">
        <v>17</v>
      </c>
      <c r="L913" s="971">
        <v>4080205</v>
      </c>
      <c r="M913" s="985">
        <v>0</v>
      </c>
      <c r="N913" s="985">
        <v>0</v>
      </c>
      <c r="O913" s="985">
        <v>4080205</v>
      </c>
      <c r="P913" s="963">
        <v>0</v>
      </c>
      <c r="Q913" s="985">
        <v>0</v>
      </c>
      <c r="R913" s="964">
        <v>2022</v>
      </c>
      <c r="S913" s="964">
        <v>2023</v>
      </c>
      <c r="U913" s="967"/>
    </row>
    <row r="914" spans="1:21" ht="41.45" customHeight="1">
      <c r="A914" s="957">
        <v>372</v>
      </c>
      <c r="B914" s="986" t="s">
        <v>1584</v>
      </c>
      <c r="C914" s="957">
        <v>1961</v>
      </c>
      <c r="D914" s="957"/>
      <c r="E914" s="956" t="s">
        <v>218</v>
      </c>
      <c r="F914" s="1050">
        <v>2</v>
      </c>
      <c r="G914" s="1050">
        <v>2</v>
      </c>
      <c r="H914" s="968">
        <v>592.6</v>
      </c>
      <c r="I914" s="968">
        <v>592.20000000000005</v>
      </c>
      <c r="J914" s="968">
        <v>552.20000000000005</v>
      </c>
      <c r="K914" s="959">
        <v>23</v>
      </c>
      <c r="L914" s="971">
        <v>1705839</v>
      </c>
      <c r="M914" s="985">
        <v>0</v>
      </c>
      <c r="N914" s="985">
        <v>0</v>
      </c>
      <c r="O914" s="985">
        <v>1705839</v>
      </c>
      <c r="P914" s="963">
        <v>0</v>
      </c>
      <c r="Q914" s="985">
        <v>0</v>
      </c>
      <c r="R914" s="964">
        <v>2022</v>
      </c>
      <c r="S914" s="964">
        <v>2023</v>
      </c>
      <c r="U914" s="967"/>
    </row>
    <row r="915" spans="1:21" ht="53.45" customHeight="1">
      <c r="A915" s="957">
        <v>373</v>
      </c>
      <c r="B915" s="984" t="s">
        <v>1585</v>
      </c>
      <c r="C915" s="957">
        <v>1963</v>
      </c>
      <c r="D915" s="957"/>
      <c r="E915" s="956" t="s">
        <v>221</v>
      </c>
      <c r="F915" s="1050">
        <v>2</v>
      </c>
      <c r="G915" s="1050">
        <v>2</v>
      </c>
      <c r="H915" s="968">
        <v>586.5</v>
      </c>
      <c r="I915" s="968">
        <v>586.5</v>
      </c>
      <c r="J915" s="968">
        <v>538.1</v>
      </c>
      <c r="K915" s="959">
        <v>19</v>
      </c>
      <c r="L915" s="971">
        <v>1489225</v>
      </c>
      <c r="M915" s="985">
        <v>0</v>
      </c>
      <c r="N915" s="985">
        <v>0</v>
      </c>
      <c r="O915" s="985">
        <v>1489225</v>
      </c>
      <c r="P915" s="963">
        <v>0</v>
      </c>
      <c r="Q915" s="985">
        <v>0</v>
      </c>
      <c r="R915" s="964">
        <v>2022</v>
      </c>
      <c r="S915" s="964">
        <v>2023</v>
      </c>
      <c r="U915" s="967"/>
    </row>
    <row r="916" spans="1:21" ht="53.45" customHeight="1">
      <c r="A916" s="957">
        <v>374</v>
      </c>
      <c r="B916" s="986" t="s">
        <v>1802</v>
      </c>
      <c r="C916" s="957">
        <v>1968</v>
      </c>
      <c r="D916" s="957"/>
      <c r="E916" s="956" t="s">
        <v>218</v>
      </c>
      <c r="F916" s="957">
        <v>3</v>
      </c>
      <c r="G916" s="957">
        <v>2</v>
      </c>
      <c r="H916" s="968">
        <v>1044.5</v>
      </c>
      <c r="I916" s="968">
        <v>971.9</v>
      </c>
      <c r="J916" s="968">
        <v>971.9</v>
      </c>
      <c r="K916" s="959">
        <v>53</v>
      </c>
      <c r="L916" s="971">
        <v>6390248.8399999999</v>
      </c>
      <c r="M916" s="985">
        <v>0</v>
      </c>
      <c r="N916" s="985">
        <v>0</v>
      </c>
      <c r="O916" s="985">
        <f t="shared" ref="O916:O921" si="147">L916</f>
        <v>6390248.8399999999</v>
      </c>
      <c r="P916" s="963">
        <v>0</v>
      </c>
      <c r="Q916" s="985">
        <v>0</v>
      </c>
      <c r="R916" s="964">
        <v>2016</v>
      </c>
      <c r="S916" s="1006" t="s">
        <v>1387</v>
      </c>
      <c r="U916" s="967"/>
    </row>
    <row r="917" spans="1:21" ht="43.9" customHeight="1">
      <c r="A917" s="957">
        <v>375</v>
      </c>
      <c r="B917" s="986" t="s">
        <v>680</v>
      </c>
      <c r="C917" s="957">
        <v>1964</v>
      </c>
      <c r="D917" s="957"/>
      <c r="E917" s="956" t="s">
        <v>218</v>
      </c>
      <c r="F917" s="957">
        <v>2</v>
      </c>
      <c r="G917" s="957">
        <v>2</v>
      </c>
      <c r="H917" s="963">
        <v>571.29999999999995</v>
      </c>
      <c r="I917" s="968">
        <v>522.9</v>
      </c>
      <c r="J917" s="968">
        <v>522.9</v>
      </c>
      <c r="K917" s="959">
        <v>29</v>
      </c>
      <c r="L917" s="971">
        <v>734707</v>
      </c>
      <c r="M917" s="985">
        <v>0</v>
      </c>
      <c r="N917" s="985">
        <v>0</v>
      </c>
      <c r="O917" s="985">
        <f t="shared" si="147"/>
        <v>734707</v>
      </c>
      <c r="P917" s="963">
        <f>Q917</f>
        <v>0</v>
      </c>
      <c r="Q917" s="985">
        <v>0</v>
      </c>
      <c r="R917" s="964">
        <v>2017</v>
      </c>
      <c r="S917" s="1006" t="s">
        <v>1387</v>
      </c>
      <c r="U917" s="967"/>
    </row>
    <row r="918" spans="1:21" ht="55.15" customHeight="1">
      <c r="A918" s="957">
        <v>376</v>
      </c>
      <c r="B918" s="986" t="s">
        <v>681</v>
      </c>
      <c r="C918" s="957">
        <v>1964</v>
      </c>
      <c r="D918" s="957"/>
      <c r="E918" s="956" t="s">
        <v>218</v>
      </c>
      <c r="F918" s="957">
        <v>2</v>
      </c>
      <c r="G918" s="957">
        <v>2</v>
      </c>
      <c r="H918" s="968">
        <v>578.79999999999995</v>
      </c>
      <c r="I918" s="968">
        <v>530.6</v>
      </c>
      <c r="J918" s="968">
        <v>530.6</v>
      </c>
      <c r="K918" s="959">
        <v>29</v>
      </c>
      <c r="L918" s="971">
        <v>738725.94</v>
      </c>
      <c r="M918" s="985">
        <v>0</v>
      </c>
      <c r="N918" s="985">
        <v>0</v>
      </c>
      <c r="O918" s="985">
        <f t="shared" si="147"/>
        <v>738725.94</v>
      </c>
      <c r="P918" s="963">
        <f>Q918</f>
        <v>0</v>
      </c>
      <c r="Q918" s="985">
        <v>0</v>
      </c>
      <c r="R918" s="964">
        <v>2017</v>
      </c>
      <c r="S918" s="1006" t="s">
        <v>1387</v>
      </c>
      <c r="U918" s="967"/>
    </row>
    <row r="919" spans="1:21" ht="45" customHeight="1">
      <c r="A919" s="957">
        <v>377</v>
      </c>
      <c r="B919" s="986" t="s">
        <v>682</v>
      </c>
      <c r="C919" s="957">
        <v>1972</v>
      </c>
      <c r="D919" s="957"/>
      <c r="E919" s="956" t="s">
        <v>218</v>
      </c>
      <c r="F919" s="957">
        <v>3</v>
      </c>
      <c r="G919" s="957">
        <v>2</v>
      </c>
      <c r="H919" s="963">
        <v>1028</v>
      </c>
      <c r="I919" s="968">
        <v>955</v>
      </c>
      <c r="J919" s="968">
        <v>955</v>
      </c>
      <c r="K919" s="959">
        <v>47</v>
      </c>
      <c r="L919" s="971">
        <v>6389537.4500000002</v>
      </c>
      <c r="M919" s="985">
        <v>0</v>
      </c>
      <c r="N919" s="985">
        <v>0</v>
      </c>
      <c r="O919" s="985">
        <f t="shared" si="147"/>
        <v>6389537.4500000002</v>
      </c>
      <c r="P919" s="963">
        <v>0</v>
      </c>
      <c r="Q919" s="985">
        <v>0</v>
      </c>
      <c r="R919" s="964">
        <v>2018</v>
      </c>
      <c r="S919" s="1006" t="s">
        <v>1387</v>
      </c>
      <c r="U919" s="967"/>
    </row>
    <row r="920" spans="1:21" ht="45" customHeight="1">
      <c r="A920" s="957">
        <v>378</v>
      </c>
      <c r="B920" s="986" t="s">
        <v>1803</v>
      </c>
      <c r="C920" s="957">
        <v>1962</v>
      </c>
      <c r="D920" s="957"/>
      <c r="E920" s="956" t="s">
        <v>218</v>
      </c>
      <c r="F920" s="957">
        <v>3</v>
      </c>
      <c r="G920" s="957">
        <v>2</v>
      </c>
      <c r="H920" s="963">
        <v>1039.2</v>
      </c>
      <c r="I920" s="968">
        <v>967.8</v>
      </c>
      <c r="J920" s="968">
        <v>967.8</v>
      </c>
      <c r="K920" s="959">
        <v>48</v>
      </c>
      <c r="L920" s="971">
        <v>6529318.2079999996</v>
      </c>
      <c r="M920" s="985">
        <v>0</v>
      </c>
      <c r="N920" s="985">
        <v>0</v>
      </c>
      <c r="O920" s="985">
        <f t="shared" si="147"/>
        <v>6529318.2079999996</v>
      </c>
      <c r="P920" s="963">
        <v>0</v>
      </c>
      <c r="Q920" s="985">
        <v>0</v>
      </c>
      <c r="R920" s="964">
        <v>2019</v>
      </c>
      <c r="S920" s="1006" t="s">
        <v>1387</v>
      </c>
      <c r="U920" s="967"/>
    </row>
    <row r="921" spans="1:21" ht="47.45" customHeight="1">
      <c r="A921" s="957">
        <v>379</v>
      </c>
      <c r="B921" s="986" t="s">
        <v>1804</v>
      </c>
      <c r="C921" s="957">
        <v>1969</v>
      </c>
      <c r="D921" s="957"/>
      <c r="E921" s="956" t="s">
        <v>218</v>
      </c>
      <c r="F921" s="957">
        <v>2</v>
      </c>
      <c r="G921" s="957">
        <v>2</v>
      </c>
      <c r="H921" s="963">
        <v>571.29999999999995</v>
      </c>
      <c r="I921" s="968">
        <v>522.70000000000005</v>
      </c>
      <c r="J921" s="968">
        <v>522.70000000000005</v>
      </c>
      <c r="K921" s="959">
        <v>29</v>
      </c>
      <c r="L921" s="971">
        <v>1309256.55</v>
      </c>
      <c r="M921" s="985">
        <v>0</v>
      </c>
      <c r="N921" s="985">
        <v>0</v>
      </c>
      <c r="O921" s="985">
        <f t="shared" si="147"/>
        <v>1309256.55</v>
      </c>
      <c r="P921" s="963">
        <v>0</v>
      </c>
      <c r="Q921" s="985">
        <v>0</v>
      </c>
      <c r="R921" s="964">
        <v>2019</v>
      </c>
      <c r="S921" s="1006" t="s">
        <v>1387</v>
      </c>
      <c r="U921" s="967"/>
    </row>
    <row r="922" spans="1:21" ht="47.45" customHeight="1">
      <c r="A922" s="957">
        <v>380</v>
      </c>
      <c r="B922" s="986" t="s">
        <v>2095</v>
      </c>
      <c r="C922" s="957">
        <v>1986</v>
      </c>
      <c r="D922" s="957"/>
      <c r="E922" s="956" t="s">
        <v>219</v>
      </c>
      <c r="F922" s="957">
        <v>2</v>
      </c>
      <c r="G922" s="957">
        <v>2</v>
      </c>
      <c r="H922" s="963">
        <v>627.1</v>
      </c>
      <c r="I922" s="968">
        <v>530.1</v>
      </c>
      <c r="J922" s="968">
        <v>530.1</v>
      </c>
      <c r="K922" s="959">
        <v>33</v>
      </c>
      <c r="L922" s="985">
        <v>1039583</v>
      </c>
      <c r="M922" s="985">
        <v>0</v>
      </c>
      <c r="N922" s="985">
        <v>0</v>
      </c>
      <c r="O922" s="985">
        <v>1039583</v>
      </c>
      <c r="P922" s="963">
        <v>0</v>
      </c>
      <c r="Q922" s="985">
        <v>0</v>
      </c>
      <c r="R922" s="964">
        <v>2022</v>
      </c>
      <c r="S922" s="1006" t="s">
        <v>1387</v>
      </c>
      <c r="U922" s="967"/>
    </row>
    <row r="923" spans="1:21" ht="47.45" customHeight="1">
      <c r="A923" s="957">
        <v>381</v>
      </c>
      <c r="B923" s="986" t="s">
        <v>1958</v>
      </c>
      <c r="C923" s="957">
        <v>1957</v>
      </c>
      <c r="D923" s="957"/>
      <c r="E923" s="956" t="s">
        <v>218</v>
      </c>
      <c r="F923" s="957">
        <v>2</v>
      </c>
      <c r="G923" s="957">
        <v>1</v>
      </c>
      <c r="H923" s="963">
        <v>432.6</v>
      </c>
      <c r="I923" s="968">
        <v>392</v>
      </c>
      <c r="J923" s="968">
        <v>392</v>
      </c>
      <c r="K923" s="959">
        <v>9</v>
      </c>
      <c r="L923" s="971">
        <v>59964</v>
      </c>
      <c r="M923" s="985">
        <v>0</v>
      </c>
      <c r="N923" s="985">
        <v>0</v>
      </c>
      <c r="O923" s="985">
        <v>59964</v>
      </c>
      <c r="P923" s="963">
        <v>0</v>
      </c>
      <c r="Q923" s="985">
        <v>0</v>
      </c>
      <c r="R923" s="964">
        <v>2022</v>
      </c>
      <c r="S923" s="964">
        <v>2023</v>
      </c>
      <c r="U923" s="967"/>
    </row>
    <row r="924" spans="1:21" ht="39" customHeight="1">
      <c r="A924" s="957">
        <v>382</v>
      </c>
      <c r="B924" s="986" t="s">
        <v>1831</v>
      </c>
      <c r="C924" s="957">
        <v>1989</v>
      </c>
      <c r="D924" s="1051"/>
      <c r="E924" s="956" t="s">
        <v>219</v>
      </c>
      <c r="F924" s="957">
        <v>5</v>
      </c>
      <c r="G924" s="957">
        <v>7</v>
      </c>
      <c r="H924" s="963">
        <v>5924.3</v>
      </c>
      <c r="I924" s="968">
        <v>5373.7</v>
      </c>
      <c r="J924" s="968">
        <v>4875.2</v>
      </c>
      <c r="K924" s="959">
        <v>217</v>
      </c>
      <c r="L924" s="971">
        <v>4707741</v>
      </c>
      <c r="M924" s="985">
        <v>0</v>
      </c>
      <c r="N924" s="985">
        <v>0</v>
      </c>
      <c r="O924" s="985">
        <f>L924</f>
        <v>4707741</v>
      </c>
      <c r="P924" s="963">
        <v>0</v>
      </c>
      <c r="Q924" s="985">
        <v>0</v>
      </c>
      <c r="R924" s="964">
        <v>2019</v>
      </c>
      <c r="S924" s="964">
        <v>2020</v>
      </c>
      <c r="U924" s="967"/>
    </row>
    <row r="925" spans="1:21" ht="34.9" customHeight="1">
      <c r="A925" s="957">
        <v>383</v>
      </c>
      <c r="B925" s="986" t="s">
        <v>1832</v>
      </c>
      <c r="C925" s="957">
        <v>1952</v>
      </c>
      <c r="D925" s="957"/>
      <c r="E925" s="956" t="s">
        <v>218</v>
      </c>
      <c r="F925" s="957">
        <v>2</v>
      </c>
      <c r="G925" s="957">
        <v>3</v>
      </c>
      <c r="H925" s="968">
        <v>858.4</v>
      </c>
      <c r="I925" s="968">
        <v>810.4</v>
      </c>
      <c r="J925" s="968">
        <v>592.20000000000005</v>
      </c>
      <c r="K925" s="959">
        <v>43</v>
      </c>
      <c r="L925" s="971">
        <v>5748571.6722560003</v>
      </c>
      <c r="M925" s="985">
        <v>0</v>
      </c>
      <c r="N925" s="985">
        <v>0</v>
      </c>
      <c r="O925" s="985">
        <v>5748571.6722560003</v>
      </c>
      <c r="P925" s="963">
        <v>0</v>
      </c>
      <c r="Q925" s="985">
        <v>0</v>
      </c>
      <c r="R925" s="964">
        <v>2022</v>
      </c>
      <c r="S925" s="1006" t="s">
        <v>1387</v>
      </c>
      <c r="U925" s="967"/>
    </row>
    <row r="926" spans="1:21" ht="49.5" customHeight="1">
      <c r="A926" s="957">
        <v>384</v>
      </c>
      <c r="B926" s="986" t="s">
        <v>1833</v>
      </c>
      <c r="C926" s="957">
        <v>1955</v>
      </c>
      <c r="D926" s="957"/>
      <c r="E926" s="956" t="s">
        <v>218</v>
      </c>
      <c r="F926" s="957">
        <v>2</v>
      </c>
      <c r="G926" s="957">
        <v>3</v>
      </c>
      <c r="H926" s="968">
        <v>870</v>
      </c>
      <c r="I926" s="968">
        <v>821</v>
      </c>
      <c r="J926" s="968">
        <v>612</v>
      </c>
      <c r="K926" s="959">
        <v>37</v>
      </c>
      <c r="L926" s="971">
        <v>1883975</v>
      </c>
      <c r="M926" s="985">
        <v>0</v>
      </c>
      <c r="N926" s="985">
        <v>0</v>
      </c>
      <c r="O926" s="985">
        <v>1883975</v>
      </c>
      <c r="P926" s="963">
        <v>0</v>
      </c>
      <c r="Q926" s="985">
        <v>0</v>
      </c>
      <c r="R926" s="964">
        <v>2019</v>
      </c>
      <c r="S926" s="1006" t="s">
        <v>1387</v>
      </c>
      <c r="U926" s="967"/>
    </row>
    <row r="927" spans="1:21" ht="49.5" customHeight="1">
      <c r="A927" s="957">
        <v>385</v>
      </c>
      <c r="B927" s="986" t="s">
        <v>1834</v>
      </c>
      <c r="C927" s="957">
        <v>1972</v>
      </c>
      <c r="D927" s="957"/>
      <c r="E927" s="956" t="s">
        <v>218</v>
      </c>
      <c r="F927" s="957">
        <v>3</v>
      </c>
      <c r="G927" s="957">
        <v>2</v>
      </c>
      <c r="H927" s="968">
        <v>969.6</v>
      </c>
      <c r="I927" s="968">
        <v>690.2</v>
      </c>
      <c r="J927" s="968">
        <v>607.20000000000005</v>
      </c>
      <c r="K927" s="959">
        <v>52</v>
      </c>
      <c r="L927" s="971">
        <v>3806377.7203239999</v>
      </c>
      <c r="M927" s="985">
        <v>0</v>
      </c>
      <c r="N927" s="985">
        <v>0</v>
      </c>
      <c r="O927" s="985">
        <v>3806377.7203239999</v>
      </c>
      <c r="P927" s="963">
        <v>0</v>
      </c>
      <c r="Q927" s="985">
        <v>0</v>
      </c>
      <c r="R927" s="964">
        <v>2021</v>
      </c>
      <c r="S927" s="1006" t="s">
        <v>1387</v>
      </c>
      <c r="U927" s="967"/>
    </row>
    <row r="928" spans="1:21" ht="39.6" customHeight="1">
      <c r="A928" s="957">
        <v>386</v>
      </c>
      <c r="B928" s="986" t="s">
        <v>1823</v>
      </c>
      <c r="C928" s="957">
        <v>1974</v>
      </c>
      <c r="D928" s="957"/>
      <c r="E928" s="956" t="s">
        <v>218</v>
      </c>
      <c r="F928" s="957">
        <v>2</v>
      </c>
      <c r="G928" s="957">
        <v>2</v>
      </c>
      <c r="H928" s="963">
        <v>744.9</v>
      </c>
      <c r="I928" s="968">
        <v>484.9</v>
      </c>
      <c r="J928" s="968">
        <v>484.9</v>
      </c>
      <c r="K928" s="959">
        <v>32</v>
      </c>
      <c r="L928" s="971">
        <v>2364254</v>
      </c>
      <c r="M928" s="985">
        <v>0</v>
      </c>
      <c r="N928" s="985">
        <v>0</v>
      </c>
      <c r="O928" s="985">
        <v>2364254</v>
      </c>
      <c r="P928" s="963">
        <v>0</v>
      </c>
      <c r="Q928" s="985">
        <v>0</v>
      </c>
      <c r="R928" s="964">
        <v>2022</v>
      </c>
      <c r="S928" s="964">
        <v>2022</v>
      </c>
      <c r="U928" s="967"/>
    </row>
    <row r="929" spans="1:21" ht="39.6" customHeight="1">
      <c r="A929" s="1172" t="s">
        <v>1057</v>
      </c>
      <c r="B929" s="1173"/>
      <c r="C929" s="1173"/>
      <c r="D929" s="1173"/>
      <c r="E929" s="1173"/>
      <c r="F929" s="1173"/>
      <c r="G929" s="1174"/>
      <c r="H929" s="968">
        <f>SUM(H930:H935)</f>
        <v>2797.7000000000003</v>
      </c>
      <c r="I929" s="968">
        <f t="shared" ref="I929:Q929" si="148">SUM(I930:I935)</f>
        <v>2476.5</v>
      </c>
      <c r="J929" s="968">
        <f t="shared" si="148"/>
        <v>2064.5000000000005</v>
      </c>
      <c r="K929" s="958">
        <f t="shared" si="148"/>
        <v>110</v>
      </c>
      <c r="L929" s="971">
        <f t="shared" si="148"/>
        <v>13173642.190000001</v>
      </c>
      <c r="M929" s="968">
        <f t="shared" si="148"/>
        <v>0</v>
      </c>
      <c r="N929" s="968">
        <f t="shared" si="148"/>
        <v>0</v>
      </c>
      <c r="O929" s="968">
        <f t="shared" si="148"/>
        <v>13173642.190000001</v>
      </c>
      <c r="P929" s="968">
        <f t="shared" si="148"/>
        <v>0</v>
      </c>
      <c r="Q929" s="968">
        <f t="shared" si="148"/>
        <v>0</v>
      </c>
      <c r="R929" s="968" t="s">
        <v>40</v>
      </c>
      <c r="S929" s="968" t="s">
        <v>40</v>
      </c>
      <c r="U929" s="967"/>
    </row>
    <row r="930" spans="1:21" ht="39.6" customHeight="1">
      <c r="A930" s="956">
        <v>387</v>
      </c>
      <c r="B930" s="986" t="s">
        <v>1209</v>
      </c>
      <c r="C930" s="991" t="s">
        <v>1036</v>
      </c>
      <c r="D930" s="957"/>
      <c r="E930" s="956" t="s">
        <v>218</v>
      </c>
      <c r="F930" s="957">
        <v>2</v>
      </c>
      <c r="G930" s="957">
        <v>2</v>
      </c>
      <c r="H930" s="968">
        <v>842.6</v>
      </c>
      <c r="I930" s="968">
        <v>755.5</v>
      </c>
      <c r="J930" s="968">
        <v>755.5</v>
      </c>
      <c r="K930" s="959">
        <v>26</v>
      </c>
      <c r="L930" s="971">
        <v>1555703.83</v>
      </c>
      <c r="M930" s="985">
        <v>0</v>
      </c>
      <c r="N930" s="985">
        <v>0</v>
      </c>
      <c r="O930" s="985">
        <v>1555703.83</v>
      </c>
      <c r="P930" s="963">
        <f>Q930</f>
        <v>0</v>
      </c>
      <c r="Q930" s="985">
        <v>0</v>
      </c>
      <c r="R930" s="964">
        <v>2017</v>
      </c>
      <c r="S930" s="964">
        <v>2023</v>
      </c>
      <c r="U930" s="967"/>
    </row>
    <row r="931" spans="1:21" ht="39.6" customHeight="1">
      <c r="A931" s="956">
        <v>388</v>
      </c>
      <c r="B931" s="986" t="s">
        <v>1191</v>
      </c>
      <c r="C931" s="991" t="s">
        <v>1450</v>
      </c>
      <c r="D931" s="957"/>
      <c r="E931" s="956" t="s">
        <v>218</v>
      </c>
      <c r="F931" s="957">
        <v>2</v>
      </c>
      <c r="G931" s="957">
        <v>2</v>
      </c>
      <c r="H931" s="968">
        <v>458.1</v>
      </c>
      <c r="I931" s="968">
        <v>457.2</v>
      </c>
      <c r="J931" s="968">
        <v>352.4</v>
      </c>
      <c r="K931" s="959">
        <v>25</v>
      </c>
      <c r="L931" s="971">
        <v>3588646.46</v>
      </c>
      <c r="M931" s="985">
        <v>0</v>
      </c>
      <c r="N931" s="985">
        <v>0</v>
      </c>
      <c r="O931" s="985">
        <v>3588646.46</v>
      </c>
      <c r="P931" s="963">
        <f>Q931</f>
        <v>0</v>
      </c>
      <c r="Q931" s="985">
        <v>0</v>
      </c>
      <c r="R931" s="964">
        <v>2017</v>
      </c>
      <c r="S931" s="964">
        <v>2023</v>
      </c>
      <c r="U931" s="967"/>
    </row>
    <row r="932" spans="1:21" ht="43.15" customHeight="1">
      <c r="A932" s="956">
        <v>389</v>
      </c>
      <c r="B932" s="986" t="s">
        <v>1190</v>
      </c>
      <c r="C932" s="991" t="s">
        <v>1451</v>
      </c>
      <c r="D932" s="957"/>
      <c r="E932" s="956" t="s">
        <v>221</v>
      </c>
      <c r="F932" s="957">
        <v>2</v>
      </c>
      <c r="G932" s="957">
        <v>2</v>
      </c>
      <c r="H932" s="968">
        <v>140.9</v>
      </c>
      <c r="I932" s="968">
        <v>124.7</v>
      </c>
      <c r="J932" s="968">
        <v>124.7</v>
      </c>
      <c r="K932" s="959">
        <v>5</v>
      </c>
      <c r="L932" s="971">
        <v>1659093.22</v>
      </c>
      <c r="M932" s="985">
        <v>0</v>
      </c>
      <c r="N932" s="985">
        <v>0</v>
      </c>
      <c r="O932" s="985">
        <v>1659093.22</v>
      </c>
      <c r="P932" s="963">
        <v>0</v>
      </c>
      <c r="Q932" s="985">
        <v>0</v>
      </c>
      <c r="R932" s="964">
        <v>2017</v>
      </c>
      <c r="S932" s="964">
        <v>2023</v>
      </c>
      <c r="U932" s="967"/>
    </row>
    <row r="933" spans="1:21" ht="43.15" customHeight="1">
      <c r="A933" s="956">
        <v>390</v>
      </c>
      <c r="B933" s="986" t="s">
        <v>1192</v>
      </c>
      <c r="C933" s="991" t="s">
        <v>1045</v>
      </c>
      <c r="D933" s="957"/>
      <c r="E933" s="956" t="s">
        <v>218</v>
      </c>
      <c r="F933" s="957">
        <v>2</v>
      </c>
      <c r="G933" s="957">
        <v>2</v>
      </c>
      <c r="H933" s="968">
        <v>563.20000000000005</v>
      </c>
      <c r="I933" s="968">
        <v>475</v>
      </c>
      <c r="J933" s="968">
        <v>228.4</v>
      </c>
      <c r="K933" s="959">
        <v>14</v>
      </c>
      <c r="L933" s="971">
        <v>2479662.89</v>
      </c>
      <c r="M933" s="985">
        <v>0</v>
      </c>
      <c r="N933" s="985">
        <v>0</v>
      </c>
      <c r="O933" s="985">
        <v>2479662.89</v>
      </c>
      <c r="P933" s="963">
        <v>0</v>
      </c>
      <c r="Q933" s="985">
        <v>0</v>
      </c>
      <c r="R933" s="964">
        <v>2017</v>
      </c>
      <c r="S933" s="1006" t="s">
        <v>1387</v>
      </c>
      <c r="U933" s="967"/>
    </row>
    <row r="934" spans="1:21" ht="43.15" customHeight="1">
      <c r="A934" s="956">
        <v>391</v>
      </c>
      <c r="B934" s="986" t="s">
        <v>1086</v>
      </c>
      <c r="C934" s="991" t="s">
        <v>1044</v>
      </c>
      <c r="D934" s="957"/>
      <c r="E934" s="956" t="s">
        <v>218</v>
      </c>
      <c r="F934" s="957">
        <v>2</v>
      </c>
      <c r="G934" s="957">
        <v>2</v>
      </c>
      <c r="H934" s="968">
        <v>577.9</v>
      </c>
      <c r="I934" s="968">
        <v>528.1</v>
      </c>
      <c r="J934" s="968">
        <v>474.7</v>
      </c>
      <c r="K934" s="959">
        <v>30</v>
      </c>
      <c r="L934" s="971">
        <v>3688544.54</v>
      </c>
      <c r="M934" s="985">
        <v>0</v>
      </c>
      <c r="N934" s="985">
        <v>0</v>
      </c>
      <c r="O934" s="985">
        <v>3688544.54</v>
      </c>
      <c r="P934" s="963">
        <v>0</v>
      </c>
      <c r="Q934" s="985">
        <v>0</v>
      </c>
      <c r="R934" s="964">
        <v>2017</v>
      </c>
      <c r="S934" s="964">
        <v>2023</v>
      </c>
      <c r="U934" s="967"/>
    </row>
    <row r="935" spans="1:21" ht="43.15" customHeight="1">
      <c r="A935" s="956">
        <v>392</v>
      </c>
      <c r="B935" s="986" t="s">
        <v>1222</v>
      </c>
      <c r="C935" s="991" t="s">
        <v>1452</v>
      </c>
      <c r="D935" s="957"/>
      <c r="E935" s="956" t="s">
        <v>218</v>
      </c>
      <c r="F935" s="957">
        <v>2</v>
      </c>
      <c r="G935" s="957">
        <v>2</v>
      </c>
      <c r="H935" s="968">
        <v>215</v>
      </c>
      <c r="I935" s="968">
        <v>136</v>
      </c>
      <c r="J935" s="968">
        <v>128.80000000000001</v>
      </c>
      <c r="K935" s="959">
        <v>10</v>
      </c>
      <c r="L935" s="971">
        <v>201991.25</v>
      </c>
      <c r="M935" s="985">
        <v>0</v>
      </c>
      <c r="N935" s="985">
        <v>0</v>
      </c>
      <c r="O935" s="985">
        <v>201991.25</v>
      </c>
      <c r="P935" s="963">
        <v>0</v>
      </c>
      <c r="Q935" s="985">
        <v>0</v>
      </c>
      <c r="R935" s="964">
        <v>2017</v>
      </c>
      <c r="S935" s="964">
        <v>2023</v>
      </c>
      <c r="U935" s="967"/>
    </row>
    <row r="936" spans="1:21" ht="43.15" customHeight="1">
      <c r="A936" s="1175" t="s">
        <v>1976</v>
      </c>
      <c r="B936" s="1176"/>
      <c r="C936" s="1176"/>
      <c r="D936" s="1176"/>
      <c r="E936" s="1176"/>
      <c r="F936" s="1176"/>
      <c r="G936" s="1177"/>
      <c r="H936" s="968">
        <f>SUM(H937:H944)</f>
        <v>4801.7</v>
      </c>
      <c r="I936" s="968">
        <f t="shared" ref="I936:Q936" si="149">SUM(I937:I944)</f>
        <v>4468.5999999999995</v>
      </c>
      <c r="J936" s="968">
        <f t="shared" si="149"/>
        <v>3317.4000000000005</v>
      </c>
      <c r="K936" s="958">
        <f t="shared" si="149"/>
        <v>164</v>
      </c>
      <c r="L936" s="971">
        <f t="shared" si="149"/>
        <v>23427486.26684</v>
      </c>
      <c r="M936" s="968">
        <f t="shared" si="149"/>
        <v>0</v>
      </c>
      <c r="N936" s="968">
        <f t="shared" si="149"/>
        <v>0</v>
      </c>
      <c r="O936" s="968">
        <f t="shared" si="149"/>
        <v>23427486.26684</v>
      </c>
      <c r="P936" s="968">
        <f t="shared" si="149"/>
        <v>0</v>
      </c>
      <c r="Q936" s="968">
        <f t="shared" si="149"/>
        <v>0</v>
      </c>
      <c r="R936" s="968" t="s">
        <v>40</v>
      </c>
      <c r="S936" s="968" t="s">
        <v>40</v>
      </c>
      <c r="U936" s="967"/>
    </row>
    <row r="937" spans="1:21" ht="44.45" customHeight="1">
      <c r="A937" s="956">
        <v>393</v>
      </c>
      <c r="B937" s="986" t="s">
        <v>1438</v>
      </c>
      <c r="C937" s="991" t="s">
        <v>1037</v>
      </c>
      <c r="D937" s="957"/>
      <c r="E937" s="956" t="s">
        <v>221</v>
      </c>
      <c r="F937" s="957">
        <v>2</v>
      </c>
      <c r="G937" s="957">
        <v>2</v>
      </c>
      <c r="H937" s="968">
        <v>560</v>
      </c>
      <c r="I937" s="968">
        <v>485.2</v>
      </c>
      <c r="J937" s="968">
        <v>427.8</v>
      </c>
      <c r="K937" s="959">
        <v>16</v>
      </c>
      <c r="L937" s="971">
        <v>2266042.34</v>
      </c>
      <c r="M937" s="985">
        <v>0</v>
      </c>
      <c r="N937" s="985">
        <v>0</v>
      </c>
      <c r="O937" s="985">
        <v>2266042.34</v>
      </c>
      <c r="P937" s="963">
        <v>0</v>
      </c>
      <c r="Q937" s="985">
        <v>0</v>
      </c>
      <c r="R937" s="964">
        <v>2016</v>
      </c>
      <c r="S937" s="1006" t="s">
        <v>1387</v>
      </c>
      <c r="U937" s="967"/>
    </row>
    <row r="938" spans="1:21" ht="37.15" customHeight="1">
      <c r="A938" s="956">
        <v>394</v>
      </c>
      <c r="B938" s="986" t="s">
        <v>1439</v>
      </c>
      <c r="C938" s="991" t="s">
        <v>1037</v>
      </c>
      <c r="D938" s="957"/>
      <c r="E938" s="956" t="s">
        <v>221</v>
      </c>
      <c r="F938" s="957">
        <v>2</v>
      </c>
      <c r="G938" s="957">
        <v>1</v>
      </c>
      <c r="H938" s="968">
        <v>422.6</v>
      </c>
      <c r="I938" s="968">
        <v>385.4</v>
      </c>
      <c r="J938" s="968">
        <v>385.4</v>
      </c>
      <c r="K938" s="959">
        <v>28</v>
      </c>
      <c r="L938" s="971">
        <v>2170679.02</v>
      </c>
      <c r="M938" s="985">
        <v>0</v>
      </c>
      <c r="N938" s="985">
        <v>0</v>
      </c>
      <c r="O938" s="985">
        <v>2170679.02</v>
      </c>
      <c r="P938" s="963">
        <v>0</v>
      </c>
      <c r="Q938" s="985">
        <v>0</v>
      </c>
      <c r="R938" s="964">
        <v>2016</v>
      </c>
      <c r="S938" s="964">
        <v>2023</v>
      </c>
      <c r="U938" s="967"/>
    </row>
    <row r="939" spans="1:21" ht="43.15" customHeight="1">
      <c r="A939" s="956">
        <v>395</v>
      </c>
      <c r="B939" s="986" t="s">
        <v>1440</v>
      </c>
      <c r="C939" s="991" t="s">
        <v>600</v>
      </c>
      <c r="D939" s="957"/>
      <c r="E939" s="956" t="s">
        <v>218</v>
      </c>
      <c r="F939" s="957">
        <v>2</v>
      </c>
      <c r="G939" s="957">
        <v>2</v>
      </c>
      <c r="H939" s="968">
        <v>542.5</v>
      </c>
      <c r="I939" s="968">
        <v>490.5</v>
      </c>
      <c r="J939" s="968">
        <v>460.2</v>
      </c>
      <c r="K939" s="959">
        <v>16</v>
      </c>
      <c r="L939" s="971">
        <v>3430328.66</v>
      </c>
      <c r="M939" s="985">
        <v>0</v>
      </c>
      <c r="N939" s="985">
        <v>0</v>
      </c>
      <c r="O939" s="985">
        <v>3430328.66</v>
      </c>
      <c r="P939" s="963">
        <f>Q939</f>
        <v>0</v>
      </c>
      <c r="Q939" s="985">
        <v>0</v>
      </c>
      <c r="R939" s="964">
        <v>2017</v>
      </c>
      <c r="S939" s="964">
        <v>2023</v>
      </c>
      <c r="U939" s="967"/>
    </row>
    <row r="940" spans="1:21" ht="40.9" customHeight="1">
      <c r="A940" s="956">
        <v>396</v>
      </c>
      <c r="B940" s="986" t="s">
        <v>1441</v>
      </c>
      <c r="C940" s="991" t="s">
        <v>601</v>
      </c>
      <c r="D940" s="957"/>
      <c r="E940" s="956" t="s">
        <v>218</v>
      </c>
      <c r="F940" s="957">
        <v>2</v>
      </c>
      <c r="G940" s="957">
        <v>1</v>
      </c>
      <c r="H940" s="968">
        <v>369.6</v>
      </c>
      <c r="I940" s="968">
        <v>369.6</v>
      </c>
      <c r="J940" s="968">
        <v>304.39999999999998</v>
      </c>
      <c r="K940" s="959">
        <v>23</v>
      </c>
      <c r="L940" s="971">
        <v>2881461.08</v>
      </c>
      <c r="M940" s="985">
        <v>0</v>
      </c>
      <c r="N940" s="985">
        <v>0</v>
      </c>
      <c r="O940" s="985">
        <f>L940</f>
        <v>2881461.08</v>
      </c>
      <c r="P940" s="963">
        <f>Q940</f>
        <v>0</v>
      </c>
      <c r="Q940" s="985">
        <v>0</v>
      </c>
      <c r="R940" s="964">
        <v>2017</v>
      </c>
      <c r="S940" s="964">
        <v>2023</v>
      </c>
      <c r="U940" s="967"/>
    </row>
    <row r="941" spans="1:21" ht="40.15" customHeight="1">
      <c r="A941" s="956">
        <v>397</v>
      </c>
      <c r="B941" s="986" t="s">
        <v>1442</v>
      </c>
      <c r="C941" s="991" t="s">
        <v>603</v>
      </c>
      <c r="D941" s="957"/>
      <c r="E941" s="956" t="s">
        <v>220</v>
      </c>
      <c r="F941" s="957">
        <v>2</v>
      </c>
      <c r="G941" s="957">
        <v>2</v>
      </c>
      <c r="H941" s="968">
        <v>561.4</v>
      </c>
      <c r="I941" s="968">
        <v>513.79999999999995</v>
      </c>
      <c r="J941" s="968">
        <v>450.8</v>
      </c>
      <c r="K941" s="959">
        <v>19</v>
      </c>
      <c r="L941" s="971">
        <v>375421.78</v>
      </c>
      <c r="M941" s="985">
        <v>0</v>
      </c>
      <c r="N941" s="985">
        <v>0</v>
      </c>
      <c r="O941" s="985">
        <v>375421.78</v>
      </c>
      <c r="P941" s="963">
        <v>0</v>
      </c>
      <c r="Q941" s="985">
        <v>0</v>
      </c>
      <c r="R941" s="964">
        <v>2018</v>
      </c>
      <c r="S941" s="1006" t="s">
        <v>1387</v>
      </c>
      <c r="U941" s="967"/>
    </row>
    <row r="942" spans="1:21" ht="42" customHeight="1">
      <c r="A942" s="956">
        <v>398</v>
      </c>
      <c r="B942" s="986" t="s">
        <v>1443</v>
      </c>
      <c r="C942" s="991" t="s">
        <v>1051</v>
      </c>
      <c r="D942" s="957"/>
      <c r="E942" s="956" t="s">
        <v>218</v>
      </c>
      <c r="F942" s="957">
        <v>3</v>
      </c>
      <c r="G942" s="957">
        <v>1</v>
      </c>
      <c r="H942" s="968">
        <v>819.4</v>
      </c>
      <c r="I942" s="968">
        <v>819.4</v>
      </c>
      <c r="J942" s="968">
        <v>460.5</v>
      </c>
      <c r="K942" s="959">
        <v>33</v>
      </c>
      <c r="L942" s="971">
        <v>2114314</v>
      </c>
      <c r="M942" s="985">
        <v>0</v>
      </c>
      <c r="N942" s="985">
        <v>0</v>
      </c>
      <c r="O942" s="985">
        <v>2114314</v>
      </c>
      <c r="P942" s="963">
        <v>0</v>
      </c>
      <c r="Q942" s="985">
        <v>0</v>
      </c>
      <c r="R942" s="964">
        <v>2022</v>
      </c>
      <c r="S942" s="964">
        <v>2023</v>
      </c>
      <c r="U942" s="967"/>
    </row>
    <row r="943" spans="1:21" ht="43.15" customHeight="1">
      <c r="A943" s="956">
        <v>399</v>
      </c>
      <c r="B943" s="986" t="s">
        <v>1444</v>
      </c>
      <c r="C943" s="991" t="s">
        <v>604</v>
      </c>
      <c r="D943" s="957"/>
      <c r="E943" s="956" t="s">
        <v>218</v>
      </c>
      <c r="F943" s="957">
        <v>2</v>
      </c>
      <c r="G943" s="957">
        <v>3</v>
      </c>
      <c r="H943" s="968">
        <v>1110.3</v>
      </c>
      <c r="I943" s="968">
        <v>988.8</v>
      </c>
      <c r="J943" s="968">
        <v>525.79999999999995</v>
      </c>
      <c r="K943" s="959">
        <v>14</v>
      </c>
      <c r="L943" s="971">
        <v>4821152.4260400003</v>
      </c>
      <c r="M943" s="985">
        <v>0</v>
      </c>
      <c r="N943" s="985">
        <v>0</v>
      </c>
      <c r="O943" s="985">
        <v>4821152.4260400003</v>
      </c>
      <c r="P943" s="963">
        <v>0</v>
      </c>
      <c r="Q943" s="985">
        <v>0</v>
      </c>
      <c r="R943" s="964">
        <v>2022</v>
      </c>
      <c r="S943" s="1006" t="s">
        <v>1387</v>
      </c>
      <c r="U943" s="967"/>
    </row>
    <row r="944" spans="1:21" ht="38.450000000000003" customHeight="1">
      <c r="A944" s="956">
        <v>400</v>
      </c>
      <c r="B944" s="986" t="s">
        <v>1445</v>
      </c>
      <c r="C944" s="991" t="s">
        <v>1037</v>
      </c>
      <c r="D944" s="957">
        <v>2017</v>
      </c>
      <c r="E944" s="956" t="s">
        <v>221</v>
      </c>
      <c r="F944" s="957">
        <v>2</v>
      </c>
      <c r="G944" s="957">
        <v>2</v>
      </c>
      <c r="H944" s="968">
        <v>415.9</v>
      </c>
      <c r="I944" s="968">
        <v>415.9</v>
      </c>
      <c r="J944" s="968">
        <v>302.5</v>
      </c>
      <c r="K944" s="959">
        <v>15</v>
      </c>
      <c r="L944" s="971">
        <v>5368086.9607999995</v>
      </c>
      <c r="M944" s="985">
        <v>0</v>
      </c>
      <c r="N944" s="985">
        <v>0</v>
      </c>
      <c r="O944" s="985">
        <v>5368086.9607999995</v>
      </c>
      <c r="P944" s="963">
        <v>0</v>
      </c>
      <c r="Q944" s="985">
        <v>0</v>
      </c>
      <c r="R944" s="964">
        <v>2022</v>
      </c>
      <c r="S944" s="1006" t="s">
        <v>1387</v>
      </c>
      <c r="U944" s="967"/>
    </row>
    <row r="945" spans="1:21" ht="45" customHeight="1">
      <c r="A945" s="1163" t="s">
        <v>1070</v>
      </c>
      <c r="B945" s="1164"/>
      <c r="C945" s="1164"/>
      <c r="D945" s="1164"/>
      <c r="E945" s="1164"/>
      <c r="F945" s="1164"/>
      <c r="G945" s="1165"/>
      <c r="H945" s="968">
        <f>SUM(H946:H969)</f>
        <v>32867.800000000003</v>
      </c>
      <c r="I945" s="968">
        <f t="shared" ref="I945:Q945" si="150">SUM(I946:I969)</f>
        <v>24239.400000000005</v>
      </c>
      <c r="J945" s="968">
        <f t="shared" si="150"/>
        <v>20350.300000000003</v>
      </c>
      <c r="K945" s="958">
        <f t="shared" si="150"/>
        <v>1395</v>
      </c>
      <c r="L945" s="971">
        <f t="shared" si="150"/>
        <v>60084473.129880004</v>
      </c>
      <c r="M945" s="968">
        <f t="shared" si="150"/>
        <v>0</v>
      </c>
      <c r="N945" s="968">
        <f t="shared" si="150"/>
        <v>0</v>
      </c>
      <c r="O945" s="968">
        <f t="shared" si="150"/>
        <v>60084473.129880004</v>
      </c>
      <c r="P945" s="968">
        <f t="shared" si="150"/>
        <v>0</v>
      </c>
      <c r="Q945" s="968">
        <f t="shared" si="150"/>
        <v>0</v>
      </c>
      <c r="R945" s="968" t="s">
        <v>40</v>
      </c>
      <c r="S945" s="968" t="s">
        <v>40</v>
      </c>
      <c r="U945" s="967"/>
    </row>
    <row r="946" spans="1:21" ht="40.15" customHeight="1">
      <c r="A946" s="956">
        <v>401</v>
      </c>
      <c r="B946" s="986" t="s">
        <v>1210</v>
      </c>
      <c r="C946" s="956">
        <v>1955</v>
      </c>
      <c r="D946" s="956"/>
      <c r="E946" s="956" t="s">
        <v>218</v>
      </c>
      <c r="F946" s="956">
        <v>2</v>
      </c>
      <c r="G946" s="956">
        <v>2</v>
      </c>
      <c r="H946" s="968">
        <v>436.8</v>
      </c>
      <c r="I946" s="968">
        <v>391.3</v>
      </c>
      <c r="J946" s="968">
        <v>391.3</v>
      </c>
      <c r="K946" s="959">
        <v>18</v>
      </c>
      <c r="L946" s="971">
        <v>2905442.49</v>
      </c>
      <c r="M946" s="968">
        <v>0</v>
      </c>
      <c r="N946" s="968">
        <v>0</v>
      </c>
      <c r="O946" s="968">
        <v>2905442.49</v>
      </c>
      <c r="P946" s="968">
        <v>0</v>
      </c>
      <c r="Q946" s="968">
        <v>0</v>
      </c>
      <c r="R946" s="959">
        <v>2016</v>
      </c>
      <c r="S946" s="1006" t="s">
        <v>1387</v>
      </c>
      <c r="U946" s="967"/>
    </row>
    <row r="947" spans="1:21" ht="43.15" customHeight="1">
      <c r="A947" s="956">
        <v>402</v>
      </c>
      <c r="B947" s="986" t="s">
        <v>1123</v>
      </c>
      <c r="C947" s="956">
        <v>1963</v>
      </c>
      <c r="D947" s="956"/>
      <c r="E947" s="956" t="s">
        <v>218</v>
      </c>
      <c r="F947" s="956">
        <v>3</v>
      </c>
      <c r="G947" s="956">
        <v>3</v>
      </c>
      <c r="H947" s="963">
        <v>2235.5</v>
      </c>
      <c r="I947" s="963">
        <v>1556</v>
      </c>
      <c r="J947" s="963">
        <v>1556</v>
      </c>
      <c r="K947" s="964">
        <v>50</v>
      </c>
      <c r="L947" s="965">
        <v>2742740.33</v>
      </c>
      <c r="M947" s="963">
        <v>0</v>
      </c>
      <c r="N947" s="963">
        <v>0</v>
      </c>
      <c r="O947" s="963">
        <v>2742740.33</v>
      </c>
      <c r="P947" s="963">
        <f>Q947</f>
        <v>0</v>
      </c>
      <c r="Q947" s="963">
        <v>0</v>
      </c>
      <c r="R947" s="964">
        <v>2017</v>
      </c>
      <c r="S947" s="964">
        <v>2023</v>
      </c>
      <c r="U947" s="967"/>
    </row>
    <row r="948" spans="1:21" ht="48" customHeight="1">
      <c r="A948" s="956">
        <v>403</v>
      </c>
      <c r="B948" s="986" t="s">
        <v>1145</v>
      </c>
      <c r="C948" s="956">
        <v>1962</v>
      </c>
      <c r="D948" s="956"/>
      <c r="E948" s="956" t="s">
        <v>218</v>
      </c>
      <c r="F948" s="956">
        <v>2</v>
      </c>
      <c r="G948" s="956">
        <v>2</v>
      </c>
      <c r="H948" s="963">
        <v>522.5</v>
      </c>
      <c r="I948" s="963">
        <v>458.9</v>
      </c>
      <c r="J948" s="963">
        <v>422.1</v>
      </c>
      <c r="K948" s="964">
        <v>21</v>
      </c>
      <c r="L948" s="965">
        <v>313233.65000000002</v>
      </c>
      <c r="M948" s="963">
        <v>0</v>
      </c>
      <c r="N948" s="963">
        <v>0</v>
      </c>
      <c r="O948" s="963">
        <v>313233.65000000002</v>
      </c>
      <c r="P948" s="963">
        <f>Q948</f>
        <v>0</v>
      </c>
      <c r="Q948" s="963">
        <v>0</v>
      </c>
      <c r="R948" s="964">
        <v>2017</v>
      </c>
      <c r="S948" s="964">
        <v>2023</v>
      </c>
      <c r="U948" s="967"/>
    </row>
    <row r="949" spans="1:21" ht="48" customHeight="1">
      <c r="A949" s="956">
        <v>404</v>
      </c>
      <c r="B949" s="984" t="s">
        <v>1124</v>
      </c>
      <c r="C949" s="956">
        <v>1956</v>
      </c>
      <c r="D949" s="956"/>
      <c r="E949" s="956" t="s">
        <v>218</v>
      </c>
      <c r="F949" s="956">
        <v>2</v>
      </c>
      <c r="G949" s="956">
        <v>1</v>
      </c>
      <c r="H949" s="963">
        <v>424.4</v>
      </c>
      <c r="I949" s="963">
        <v>390.4</v>
      </c>
      <c r="J949" s="963">
        <v>270</v>
      </c>
      <c r="K949" s="964">
        <v>25</v>
      </c>
      <c r="L949" s="965">
        <v>94528</v>
      </c>
      <c r="M949" s="963">
        <v>0</v>
      </c>
      <c r="N949" s="963">
        <v>0</v>
      </c>
      <c r="O949" s="963">
        <v>94528</v>
      </c>
      <c r="P949" s="963">
        <f>Q949</f>
        <v>0</v>
      </c>
      <c r="Q949" s="963">
        <v>0</v>
      </c>
      <c r="R949" s="964">
        <v>2017</v>
      </c>
      <c r="S949" s="964">
        <v>2023</v>
      </c>
      <c r="U949" s="967"/>
    </row>
    <row r="950" spans="1:21" ht="48" customHeight="1">
      <c r="A950" s="956">
        <v>405</v>
      </c>
      <c r="B950" s="986" t="s">
        <v>1125</v>
      </c>
      <c r="C950" s="956" t="s">
        <v>714</v>
      </c>
      <c r="D950" s="956"/>
      <c r="E950" s="956" t="s">
        <v>218</v>
      </c>
      <c r="F950" s="956">
        <v>2</v>
      </c>
      <c r="G950" s="956">
        <v>1</v>
      </c>
      <c r="H950" s="963">
        <v>496.4</v>
      </c>
      <c r="I950" s="963">
        <v>286.2</v>
      </c>
      <c r="J950" s="963">
        <v>286.2</v>
      </c>
      <c r="K950" s="964">
        <v>10</v>
      </c>
      <c r="L950" s="965">
        <v>911123.22</v>
      </c>
      <c r="M950" s="963">
        <v>0</v>
      </c>
      <c r="N950" s="963">
        <v>0</v>
      </c>
      <c r="O950" s="963">
        <v>911123.22</v>
      </c>
      <c r="P950" s="963">
        <v>0</v>
      </c>
      <c r="Q950" s="963">
        <v>0</v>
      </c>
      <c r="R950" s="964">
        <v>2018</v>
      </c>
      <c r="S950" s="1006" t="s">
        <v>1387</v>
      </c>
      <c r="U950" s="967"/>
    </row>
    <row r="951" spans="1:21" ht="48" customHeight="1">
      <c r="A951" s="956">
        <v>406</v>
      </c>
      <c r="B951" s="986" t="s">
        <v>1144</v>
      </c>
      <c r="C951" s="956">
        <v>1963</v>
      </c>
      <c r="D951" s="956"/>
      <c r="E951" s="956" t="s">
        <v>218</v>
      </c>
      <c r="F951" s="956">
        <v>2</v>
      </c>
      <c r="G951" s="956">
        <v>2</v>
      </c>
      <c r="H951" s="963">
        <v>403.2</v>
      </c>
      <c r="I951" s="963">
        <v>356.4</v>
      </c>
      <c r="J951" s="963">
        <v>356.4</v>
      </c>
      <c r="K951" s="964">
        <v>26</v>
      </c>
      <c r="L951" s="965">
        <v>898439.81</v>
      </c>
      <c r="M951" s="963">
        <v>0</v>
      </c>
      <c r="N951" s="963">
        <v>0</v>
      </c>
      <c r="O951" s="963">
        <v>898439.81</v>
      </c>
      <c r="P951" s="963">
        <v>0</v>
      </c>
      <c r="Q951" s="963">
        <v>0</v>
      </c>
      <c r="R951" s="964">
        <v>2018</v>
      </c>
      <c r="S951" s="964">
        <v>2023</v>
      </c>
      <c r="U951" s="967"/>
    </row>
    <row r="952" spans="1:21" ht="48" customHeight="1">
      <c r="A952" s="956">
        <v>407</v>
      </c>
      <c r="B952" s="984" t="s">
        <v>1126</v>
      </c>
      <c r="C952" s="956">
        <v>1970</v>
      </c>
      <c r="D952" s="956"/>
      <c r="E952" s="956" t="s">
        <v>218</v>
      </c>
      <c r="F952" s="956">
        <v>4</v>
      </c>
      <c r="G952" s="956">
        <v>1</v>
      </c>
      <c r="H952" s="963">
        <v>2534.4</v>
      </c>
      <c r="I952" s="963">
        <v>1689.5</v>
      </c>
      <c r="J952" s="963">
        <v>1377.1</v>
      </c>
      <c r="K952" s="964">
        <v>131</v>
      </c>
      <c r="L952" s="965">
        <v>2201411.69</v>
      </c>
      <c r="M952" s="963">
        <v>0</v>
      </c>
      <c r="N952" s="963">
        <v>0</v>
      </c>
      <c r="O952" s="963">
        <v>2201411.69</v>
      </c>
      <c r="P952" s="963">
        <v>0</v>
      </c>
      <c r="Q952" s="963">
        <v>0</v>
      </c>
      <c r="R952" s="964">
        <v>2018</v>
      </c>
      <c r="S952" s="964">
        <v>2023</v>
      </c>
      <c r="U952" s="967"/>
    </row>
    <row r="953" spans="1:21" ht="48" customHeight="1">
      <c r="A953" s="956">
        <v>408</v>
      </c>
      <c r="B953" s="984" t="s">
        <v>1395</v>
      </c>
      <c r="C953" s="956">
        <v>1968</v>
      </c>
      <c r="D953" s="956"/>
      <c r="E953" s="956" t="s">
        <v>218</v>
      </c>
      <c r="F953" s="956">
        <v>2</v>
      </c>
      <c r="G953" s="956">
        <v>1</v>
      </c>
      <c r="H953" s="963">
        <v>329.5</v>
      </c>
      <c r="I953" s="963">
        <v>299.10000000000002</v>
      </c>
      <c r="J953" s="963">
        <v>299.10000000000002</v>
      </c>
      <c r="K953" s="964">
        <v>22</v>
      </c>
      <c r="L953" s="965">
        <v>205467.04</v>
      </c>
      <c r="M953" s="963">
        <v>0</v>
      </c>
      <c r="N953" s="963">
        <v>0</v>
      </c>
      <c r="O953" s="963">
        <v>205467.04</v>
      </c>
      <c r="P953" s="963">
        <v>0</v>
      </c>
      <c r="Q953" s="963">
        <v>0</v>
      </c>
      <c r="R953" s="964">
        <v>2018</v>
      </c>
      <c r="S953" s="964">
        <v>2023</v>
      </c>
      <c r="U953" s="967"/>
    </row>
    <row r="954" spans="1:21" ht="48" customHeight="1">
      <c r="A954" s="956">
        <v>409</v>
      </c>
      <c r="B954" s="986" t="s">
        <v>1088</v>
      </c>
      <c r="C954" s="956">
        <v>1984</v>
      </c>
      <c r="D954" s="957"/>
      <c r="E954" s="956" t="s">
        <v>218</v>
      </c>
      <c r="F954" s="957">
        <v>5</v>
      </c>
      <c r="G954" s="957">
        <v>1</v>
      </c>
      <c r="H954" s="968">
        <v>3948.8</v>
      </c>
      <c r="I954" s="968">
        <v>2687.9</v>
      </c>
      <c r="J954" s="968">
        <v>1667.1</v>
      </c>
      <c r="K954" s="959">
        <v>175</v>
      </c>
      <c r="L954" s="971">
        <v>2029840.7998800001</v>
      </c>
      <c r="M954" s="985">
        <v>0</v>
      </c>
      <c r="N954" s="985">
        <v>0</v>
      </c>
      <c r="O954" s="985">
        <v>2029840.7998800001</v>
      </c>
      <c r="P954" s="963">
        <v>0</v>
      </c>
      <c r="Q954" s="985">
        <v>0</v>
      </c>
      <c r="R954" s="964">
        <v>2018</v>
      </c>
      <c r="S954" s="1006" t="s">
        <v>1387</v>
      </c>
      <c r="U954" s="967"/>
    </row>
    <row r="955" spans="1:21" ht="48" customHeight="1">
      <c r="A955" s="956">
        <v>410</v>
      </c>
      <c r="B955" s="984" t="s">
        <v>1396</v>
      </c>
      <c r="C955" s="956">
        <v>1976</v>
      </c>
      <c r="D955" s="956"/>
      <c r="E955" s="956" t="s">
        <v>218</v>
      </c>
      <c r="F955" s="956">
        <v>2</v>
      </c>
      <c r="G955" s="956">
        <v>2</v>
      </c>
      <c r="H955" s="963">
        <v>1011.9</v>
      </c>
      <c r="I955" s="963">
        <v>686.6</v>
      </c>
      <c r="J955" s="963">
        <v>603</v>
      </c>
      <c r="K955" s="964">
        <v>62</v>
      </c>
      <c r="L955" s="965">
        <v>4010585.96</v>
      </c>
      <c r="M955" s="963">
        <v>0</v>
      </c>
      <c r="N955" s="963">
        <v>0</v>
      </c>
      <c r="O955" s="963">
        <v>4010585.96</v>
      </c>
      <c r="P955" s="963">
        <v>0</v>
      </c>
      <c r="Q955" s="963">
        <v>0</v>
      </c>
      <c r="R955" s="964">
        <v>2019</v>
      </c>
      <c r="S955" s="964">
        <v>2023</v>
      </c>
      <c r="U955" s="967"/>
    </row>
    <row r="956" spans="1:21" ht="48" customHeight="1">
      <c r="A956" s="956">
        <v>411</v>
      </c>
      <c r="B956" s="986" t="s">
        <v>1211</v>
      </c>
      <c r="C956" s="956">
        <v>1983</v>
      </c>
      <c r="D956" s="956"/>
      <c r="E956" s="956" t="s">
        <v>218</v>
      </c>
      <c r="F956" s="956">
        <v>2</v>
      </c>
      <c r="G956" s="956">
        <v>2</v>
      </c>
      <c r="H956" s="963">
        <v>1325.6</v>
      </c>
      <c r="I956" s="963">
        <v>781.4</v>
      </c>
      <c r="J956" s="963">
        <v>694.1</v>
      </c>
      <c r="K956" s="964">
        <v>54</v>
      </c>
      <c r="L956" s="965">
        <v>2901725.36</v>
      </c>
      <c r="M956" s="963">
        <v>0</v>
      </c>
      <c r="N956" s="963">
        <v>0</v>
      </c>
      <c r="O956" s="963">
        <v>2901725.36</v>
      </c>
      <c r="P956" s="963">
        <v>0</v>
      </c>
      <c r="Q956" s="963">
        <v>0</v>
      </c>
      <c r="R956" s="964">
        <v>2019</v>
      </c>
      <c r="S956" s="1006" t="s">
        <v>1387</v>
      </c>
      <c r="U956" s="967"/>
    </row>
    <row r="957" spans="1:21" ht="48" customHeight="1">
      <c r="A957" s="956">
        <v>412</v>
      </c>
      <c r="B957" s="986" t="s">
        <v>1127</v>
      </c>
      <c r="C957" s="956">
        <v>1982</v>
      </c>
      <c r="D957" s="957"/>
      <c r="E957" s="956" t="s">
        <v>219</v>
      </c>
      <c r="F957" s="957">
        <v>5</v>
      </c>
      <c r="G957" s="957">
        <v>4</v>
      </c>
      <c r="H957" s="968">
        <v>3954</v>
      </c>
      <c r="I957" s="968">
        <v>3051.5</v>
      </c>
      <c r="J957" s="968">
        <v>2833.5</v>
      </c>
      <c r="K957" s="959">
        <v>93</v>
      </c>
      <c r="L957" s="971">
        <v>2924734.08</v>
      </c>
      <c r="M957" s="985">
        <v>0</v>
      </c>
      <c r="N957" s="985">
        <v>0</v>
      </c>
      <c r="O957" s="985">
        <v>2924734.08</v>
      </c>
      <c r="P957" s="963">
        <v>0</v>
      </c>
      <c r="Q957" s="985">
        <v>0</v>
      </c>
      <c r="R957" s="964">
        <v>2019</v>
      </c>
      <c r="S957" s="1006" t="s">
        <v>1387</v>
      </c>
      <c r="U957" s="967"/>
    </row>
    <row r="958" spans="1:21" ht="48" customHeight="1">
      <c r="A958" s="956">
        <v>413</v>
      </c>
      <c r="B958" s="984" t="s">
        <v>1396</v>
      </c>
      <c r="C958" s="956">
        <v>1976</v>
      </c>
      <c r="D958" s="956"/>
      <c r="E958" s="956" t="s">
        <v>218</v>
      </c>
      <c r="F958" s="956">
        <v>2</v>
      </c>
      <c r="G958" s="956">
        <v>2</v>
      </c>
      <c r="H958" s="963">
        <v>1011.9</v>
      </c>
      <c r="I958" s="963">
        <v>686.6</v>
      </c>
      <c r="J958" s="963">
        <v>603</v>
      </c>
      <c r="K958" s="964">
        <v>62</v>
      </c>
      <c r="L958" s="965">
        <v>2084014.67</v>
      </c>
      <c r="M958" s="963">
        <v>0</v>
      </c>
      <c r="N958" s="963">
        <v>0</v>
      </c>
      <c r="O958" s="963">
        <v>2084014.67</v>
      </c>
      <c r="P958" s="963">
        <v>0</v>
      </c>
      <c r="Q958" s="963">
        <v>0</v>
      </c>
      <c r="R958" s="964">
        <v>2020</v>
      </c>
      <c r="S958" s="1006" t="s">
        <v>1387</v>
      </c>
      <c r="U958" s="967"/>
    </row>
    <row r="959" spans="1:21" ht="36" customHeight="1">
      <c r="A959" s="956">
        <v>414</v>
      </c>
      <c r="B959" s="986" t="s">
        <v>1212</v>
      </c>
      <c r="C959" s="956">
        <v>1966</v>
      </c>
      <c r="D959" s="956"/>
      <c r="E959" s="956" t="s">
        <v>218</v>
      </c>
      <c r="F959" s="956">
        <v>3</v>
      </c>
      <c r="G959" s="956">
        <v>2</v>
      </c>
      <c r="H959" s="963">
        <v>892.3</v>
      </c>
      <c r="I959" s="963">
        <v>581.6</v>
      </c>
      <c r="J959" s="963">
        <v>427.1</v>
      </c>
      <c r="K959" s="964">
        <v>50</v>
      </c>
      <c r="L959" s="965">
        <v>1373640.47</v>
      </c>
      <c r="M959" s="963">
        <v>0</v>
      </c>
      <c r="N959" s="963">
        <v>0</v>
      </c>
      <c r="O959" s="963">
        <v>1373640.47</v>
      </c>
      <c r="P959" s="963">
        <v>0</v>
      </c>
      <c r="Q959" s="963">
        <v>0</v>
      </c>
      <c r="R959" s="964">
        <v>2020</v>
      </c>
      <c r="S959" s="1006" t="s">
        <v>1387</v>
      </c>
      <c r="U959" s="967"/>
    </row>
    <row r="960" spans="1:21" ht="42.6" customHeight="1">
      <c r="A960" s="956">
        <v>415</v>
      </c>
      <c r="B960" s="986" t="s">
        <v>1397</v>
      </c>
      <c r="C960" s="956">
        <v>1970</v>
      </c>
      <c r="D960" s="956"/>
      <c r="E960" s="956" t="s">
        <v>218</v>
      </c>
      <c r="F960" s="956">
        <v>2</v>
      </c>
      <c r="G960" s="956">
        <v>2</v>
      </c>
      <c r="H960" s="963">
        <v>541.9</v>
      </c>
      <c r="I960" s="963">
        <v>493.7</v>
      </c>
      <c r="J960" s="963">
        <v>452.5</v>
      </c>
      <c r="K960" s="964">
        <v>21</v>
      </c>
      <c r="L960" s="965">
        <v>2145232.42</v>
      </c>
      <c r="M960" s="963">
        <v>0</v>
      </c>
      <c r="N960" s="963">
        <v>0</v>
      </c>
      <c r="O960" s="963">
        <v>2145232.42</v>
      </c>
      <c r="P960" s="963">
        <v>0</v>
      </c>
      <c r="Q960" s="963">
        <v>0</v>
      </c>
      <c r="R960" s="964">
        <v>2020</v>
      </c>
      <c r="S960" s="1006" t="s">
        <v>1387</v>
      </c>
      <c r="U960" s="967"/>
    </row>
    <row r="961" spans="1:21" ht="58.5" customHeight="1">
      <c r="A961" s="956">
        <v>416</v>
      </c>
      <c r="B961" s="986" t="s">
        <v>1145</v>
      </c>
      <c r="C961" s="956">
        <v>1962</v>
      </c>
      <c r="D961" s="956"/>
      <c r="E961" s="956" t="s">
        <v>218</v>
      </c>
      <c r="F961" s="956">
        <v>2</v>
      </c>
      <c r="G961" s="956">
        <v>2</v>
      </c>
      <c r="H961" s="963">
        <v>522.5</v>
      </c>
      <c r="I961" s="963">
        <v>458.9</v>
      </c>
      <c r="J961" s="963">
        <v>381</v>
      </c>
      <c r="K961" s="964">
        <v>21</v>
      </c>
      <c r="L961" s="965">
        <v>5109821.33</v>
      </c>
      <c r="M961" s="963">
        <v>0</v>
      </c>
      <c r="N961" s="963">
        <v>0</v>
      </c>
      <c r="O961" s="963">
        <v>5109821.33</v>
      </c>
      <c r="P961" s="963">
        <f>Q961</f>
        <v>0</v>
      </c>
      <c r="Q961" s="963">
        <v>0</v>
      </c>
      <c r="R961" s="964">
        <v>2020</v>
      </c>
      <c r="S961" s="1006" t="s">
        <v>1387</v>
      </c>
      <c r="U961" s="967"/>
    </row>
    <row r="962" spans="1:21" ht="36.6" customHeight="1">
      <c r="A962" s="956">
        <v>417</v>
      </c>
      <c r="B962" s="986" t="s">
        <v>1125</v>
      </c>
      <c r="C962" s="956" t="s">
        <v>714</v>
      </c>
      <c r="D962" s="956"/>
      <c r="E962" s="956" t="s">
        <v>218</v>
      </c>
      <c r="F962" s="956">
        <v>2</v>
      </c>
      <c r="G962" s="956">
        <v>1</v>
      </c>
      <c r="H962" s="963">
        <v>496.4</v>
      </c>
      <c r="I962" s="963">
        <v>286.2</v>
      </c>
      <c r="J962" s="963">
        <v>286.2</v>
      </c>
      <c r="K962" s="964">
        <v>10</v>
      </c>
      <c r="L962" s="965">
        <v>1462875.34</v>
      </c>
      <c r="M962" s="963">
        <v>0</v>
      </c>
      <c r="N962" s="963">
        <v>0</v>
      </c>
      <c r="O962" s="963">
        <v>1462875.34</v>
      </c>
      <c r="P962" s="963">
        <v>0</v>
      </c>
      <c r="Q962" s="963">
        <v>0</v>
      </c>
      <c r="R962" s="964">
        <v>2020</v>
      </c>
      <c r="S962" s="1006" t="s">
        <v>1387</v>
      </c>
      <c r="U962" s="967"/>
    </row>
    <row r="963" spans="1:21" ht="43.15" customHeight="1">
      <c r="A963" s="956">
        <v>418</v>
      </c>
      <c r="B963" s="986" t="s">
        <v>1398</v>
      </c>
      <c r="C963" s="956">
        <v>1978</v>
      </c>
      <c r="D963" s="986"/>
      <c r="E963" s="956" t="s">
        <v>219</v>
      </c>
      <c r="F963" s="956">
        <v>5</v>
      </c>
      <c r="G963" s="956">
        <v>4</v>
      </c>
      <c r="H963" s="968">
        <v>3049.3</v>
      </c>
      <c r="I963" s="968">
        <v>1832.9</v>
      </c>
      <c r="J963" s="968">
        <v>1682.3</v>
      </c>
      <c r="K963" s="959">
        <v>122</v>
      </c>
      <c r="L963" s="971">
        <v>6250068.7599999998</v>
      </c>
      <c r="M963" s="985">
        <v>0</v>
      </c>
      <c r="N963" s="985">
        <v>0</v>
      </c>
      <c r="O963" s="985">
        <v>6250068.7599999998</v>
      </c>
      <c r="P963" s="963">
        <v>0</v>
      </c>
      <c r="Q963" s="985">
        <v>0</v>
      </c>
      <c r="R963" s="964">
        <v>2020</v>
      </c>
      <c r="S963" s="964">
        <v>2023</v>
      </c>
      <c r="U963" s="967"/>
    </row>
    <row r="964" spans="1:21" ht="42.6" customHeight="1">
      <c r="A964" s="956">
        <v>419</v>
      </c>
      <c r="B964" s="986" t="s">
        <v>1046</v>
      </c>
      <c r="C964" s="956">
        <v>1980</v>
      </c>
      <c r="D964" s="986"/>
      <c r="E964" s="956" t="s">
        <v>219</v>
      </c>
      <c r="F964" s="956">
        <v>3</v>
      </c>
      <c r="G964" s="956">
        <v>3</v>
      </c>
      <c r="H964" s="968">
        <v>1386.7</v>
      </c>
      <c r="I964" s="968">
        <v>1386.7</v>
      </c>
      <c r="J964" s="968">
        <v>798.4</v>
      </c>
      <c r="K964" s="959">
        <v>73</v>
      </c>
      <c r="L964" s="971">
        <v>1014866.08</v>
      </c>
      <c r="M964" s="985">
        <v>0</v>
      </c>
      <c r="N964" s="985">
        <v>0</v>
      </c>
      <c r="O964" s="985">
        <v>1014866.08</v>
      </c>
      <c r="P964" s="963">
        <v>0</v>
      </c>
      <c r="Q964" s="985">
        <v>0</v>
      </c>
      <c r="R964" s="964">
        <v>2020</v>
      </c>
      <c r="S964" s="1006" t="s">
        <v>1387</v>
      </c>
      <c r="U964" s="967"/>
    </row>
    <row r="965" spans="1:21" ht="42.6" customHeight="1">
      <c r="A965" s="956">
        <v>420</v>
      </c>
      <c r="B965" s="986" t="s">
        <v>1199</v>
      </c>
      <c r="C965" s="956">
        <v>1965</v>
      </c>
      <c r="D965" s="986"/>
      <c r="E965" s="956" t="s">
        <v>218</v>
      </c>
      <c r="F965" s="956">
        <v>5</v>
      </c>
      <c r="G965" s="956">
        <v>2</v>
      </c>
      <c r="H965" s="968" t="s">
        <v>1399</v>
      </c>
      <c r="I965" s="968" t="s">
        <v>1400</v>
      </c>
      <c r="J965" s="968" t="s">
        <v>1400</v>
      </c>
      <c r="K965" s="959">
        <v>56</v>
      </c>
      <c r="L965" s="971">
        <v>6788652.3799999999</v>
      </c>
      <c r="M965" s="985">
        <v>0</v>
      </c>
      <c r="N965" s="985">
        <v>0</v>
      </c>
      <c r="O965" s="985">
        <v>6788652.3799999999</v>
      </c>
      <c r="P965" s="963">
        <v>0</v>
      </c>
      <c r="Q965" s="985">
        <v>0</v>
      </c>
      <c r="R965" s="964">
        <v>2021</v>
      </c>
      <c r="S965" s="964">
        <v>2023</v>
      </c>
      <c r="U965" s="967"/>
    </row>
    <row r="966" spans="1:21" ht="43.15" customHeight="1">
      <c r="A966" s="956">
        <v>421</v>
      </c>
      <c r="B966" s="986" t="s">
        <v>1200</v>
      </c>
      <c r="C966" s="956">
        <v>1965</v>
      </c>
      <c r="D966" s="986"/>
      <c r="E966" s="956" t="s">
        <v>222</v>
      </c>
      <c r="F966" s="956">
        <v>1</v>
      </c>
      <c r="G966" s="956">
        <v>4</v>
      </c>
      <c r="H966" s="968">
        <v>235.5</v>
      </c>
      <c r="I966" s="968">
        <v>212.5</v>
      </c>
      <c r="J966" s="968">
        <v>212.5</v>
      </c>
      <c r="K966" s="959">
        <v>10</v>
      </c>
      <c r="L966" s="971">
        <v>199642.52</v>
      </c>
      <c r="M966" s="985">
        <v>0</v>
      </c>
      <c r="N966" s="985">
        <v>0</v>
      </c>
      <c r="O966" s="985">
        <v>199642.52</v>
      </c>
      <c r="P966" s="963">
        <v>0</v>
      </c>
      <c r="Q966" s="985">
        <v>0</v>
      </c>
      <c r="R966" s="964">
        <v>2021</v>
      </c>
      <c r="S966" s="964">
        <v>2023</v>
      </c>
      <c r="U966" s="967"/>
    </row>
    <row r="967" spans="1:21" ht="42.6" customHeight="1">
      <c r="A967" s="956">
        <v>422</v>
      </c>
      <c r="B967" s="986" t="s">
        <v>1218</v>
      </c>
      <c r="C967" s="956">
        <v>1974</v>
      </c>
      <c r="D967" s="986"/>
      <c r="E967" s="956" t="s">
        <v>219</v>
      </c>
      <c r="F967" s="956">
        <v>5</v>
      </c>
      <c r="G967" s="956">
        <v>6</v>
      </c>
      <c r="H967" s="968">
        <v>4189.5</v>
      </c>
      <c r="I967" s="968">
        <v>2919.4</v>
      </c>
      <c r="J967" s="968">
        <v>2665.7</v>
      </c>
      <c r="K967" s="959">
        <v>160</v>
      </c>
      <c r="L967" s="971">
        <v>8465841.5099999998</v>
      </c>
      <c r="M967" s="985">
        <v>0</v>
      </c>
      <c r="N967" s="985">
        <v>0</v>
      </c>
      <c r="O967" s="985">
        <v>8465841.5099999998</v>
      </c>
      <c r="P967" s="963">
        <v>0</v>
      </c>
      <c r="Q967" s="985">
        <v>0</v>
      </c>
      <c r="R967" s="964">
        <v>2022</v>
      </c>
      <c r="S967" s="964">
        <v>2023</v>
      </c>
      <c r="U967" s="967"/>
    </row>
    <row r="968" spans="1:21" ht="41.45" customHeight="1">
      <c r="A968" s="956">
        <v>423</v>
      </c>
      <c r="B968" s="986" t="s">
        <v>1073</v>
      </c>
      <c r="C968" s="956">
        <v>1983</v>
      </c>
      <c r="D968" s="986"/>
      <c r="E968" s="956" t="s">
        <v>219</v>
      </c>
      <c r="F968" s="956">
        <v>3</v>
      </c>
      <c r="G968" s="956">
        <v>3</v>
      </c>
      <c r="H968" s="968">
        <v>1529.5</v>
      </c>
      <c r="I968" s="968">
        <v>1356.4</v>
      </c>
      <c r="J968" s="968">
        <v>1356.4</v>
      </c>
      <c r="K968" s="959">
        <v>61</v>
      </c>
      <c r="L968" s="971">
        <v>2034509</v>
      </c>
      <c r="M968" s="985">
        <v>0</v>
      </c>
      <c r="N968" s="985">
        <v>0</v>
      </c>
      <c r="O968" s="985">
        <v>2034509</v>
      </c>
      <c r="P968" s="963">
        <v>0</v>
      </c>
      <c r="Q968" s="985">
        <v>0</v>
      </c>
      <c r="R968" s="964">
        <v>2022</v>
      </c>
      <c r="S968" s="964">
        <v>2023</v>
      </c>
      <c r="U968" s="967"/>
    </row>
    <row r="969" spans="1:21" ht="39.6" customHeight="1">
      <c r="A969" s="956">
        <v>424</v>
      </c>
      <c r="B969" s="986" t="s">
        <v>1047</v>
      </c>
      <c r="C969" s="956">
        <v>1985</v>
      </c>
      <c r="D969" s="986"/>
      <c r="E969" s="956" t="s">
        <v>219</v>
      </c>
      <c r="F969" s="956">
        <v>3</v>
      </c>
      <c r="G969" s="956">
        <v>3</v>
      </c>
      <c r="H969" s="968">
        <v>1389.3</v>
      </c>
      <c r="I969" s="968">
        <v>1389.3</v>
      </c>
      <c r="J969" s="968">
        <v>729.3</v>
      </c>
      <c r="K969" s="959">
        <v>62</v>
      </c>
      <c r="L969" s="971">
        <v>1016036.22</v>
      </c>
      <c r="M969" s="985">
        <v>0</v>
      </c>
      <c r="N969" s="985">
        <v>0</v>
      </c>
      <c r="O969" s="985">
        <v>1016036.22</v>
      </c>
      <c r="P969" s="963">
        <v>0</v>
      </c>
      <c r="Q969" s="985">
        <v>0</v>
      </c>
      <c r="R969" s="964">
        <v>2022</v>
      </c>
      <c r="S969" s="1006" t="s">
        <v>1387</v>
      </c>
      <c r="U969" s="967"/>
    </row>
    <row r="970" spans="1:21" ht="39.6" customHeight="1">
      <c r="A970" s="1163" t="s">
        <v>1824</v>
      </c>
      <c r="B970" s="1164"/>
      <c r="C970" s="1164"/>
      <c r="D970" s="1164"/>
      <c r="E970" s="1164"/>
      <c r="F970" s="1164"/>
      <c r="G970" s="1165"/>
      <c r="H970" s="968">
        <f>H971</f>
        <v>808</v>
      </c>
      <c r="I970" s="968">
        <f t="shared" ref="I970:Q970" si="151">I971</f>
        <v>471</v>
      </c>
      <c r="J970" s="968">
        <f t="shared" si="151"/>
        <v>471</v>
      </c>
      <c r="K970" s="959">
        <f t="shared" si="151"/>
        <v>25</v>
      </c>
      <c r="L970" s="971">
        <f t="shared" si="151"/>
        <v>4862609.08</v>
      </c>
      <c r="M970" s="968">
        <f t="shared" si="151"/>
        <v>0</v>
      </c>
      <c r="N970" s="968">
        <f t="shared" si="151"/>
        <v>0</v>
      </c>
      <c r="O970" s="968">
        <f t="shared" si="151"/>
        <v>4862609.08</v>
      </c>
      <c r="P970" s="968">
        <f t="shared" si="151"/>
        <v>0</v>
      </c>
      <c r="Q970" s="968">
        <f t="shared" si="151"/>
        <v>0</v>
      </c>
      <c r="R970" s="968" t="s">
        <v>40</v>
      </c>
      <c r="S970" s="968" t="s">
        <v>40</v>
      </c>
      <c r="U970" s="967"/>
    </row>
    <row r="971" spans="1:21" ht="39.6" customHeight="1">
      <c r="A971" s="956">
        <v>425</v>
      </c>
      <c r="B971" s="986" t="s">
        <v>1825</v>
      </c>
      <c r="C971" s="956">
        <v>1978</v>
      </c>
      <c r="D971" s="957"/>
      <c r="E971" s="956" t="s">
        <v>218</v>
      </c>
      <c r="F971" s="957">
        <v>2</v>
      </c>
      <c r="G971" s="957">
        <v>2</v>
      </c>
      <c r="H971" s="968">
        <v>808</v>
      </c>
      <c r="I971" s="968">
        <v>471</v>
      </c>
      <c r="J971" s="968">
        <v>471</v>
      </c>
      <c r="K971" s="959">
        <v>25</v>
      </c>
      <c r="L971" s="971">
        <v>4862609.08</v>
      </c>
      <c r="M971" s="985">
        <v>0</v>
      </c>
      <c r="N971" s="985">
        <v>0</v>
      </c>
      <c r="O971" s="985">
        <f>L971</f>
        <v>4862609.08</v>
      </c>
      <c r="P971" s="963">
        <v>0</v>
      </c>
      <c r="Q971" s="985">
        <v>0</v>
      </c>
      <c r="R971" s="964">
        <v>2022</v>
      </c>
      <c r="S971" s="964">
        <v>2023</v>
      </c>
      <c r="U971" s="967"/>
    </row>
    <row r="972" spans="1:21" ht="45" customHeight="1">
      <c r="A972" s="1163" t="s">
        <v>1249</v>
      </c>
      <c r="B972" s="1164"/>
      <c r="C972" s="1164"/>
      <c r="D972" s="1164"/>
      <c r="E972" s="1164"/>
      <c r="F972" s="1164"/>
      <c r="G972" s="1165"/>
      <c r="H972" s="968">
        <f>SUM(H973:H980)</f>
        <v>6992.2</v>
      </c>
      <c r="I972" s="968">
        <f t="shared" ref="I972:Q972" si="152">SUM(I973:I980)</f>
        <v>6441.1</v>
      </c>
      <c r="J972" s="968">
        <f t="shared" si="152"/>
        <v>5373.7</v>
      </c>
      <c r="K972" s="958">
        <f t="shared" si="152"/>
        <v>215</v>
      </c>
      <c r="L972" s="971">
        <f t="shared" si="152"/>
        <v>23221166.859999999</v>
      </c>
      <c r="M972" s="968">
        <f t="shared" si="152"/>
        <v>0</v>
      </c>
      <c r="N972" s="968">
        <f t="shared" si="152"/>
        <v>0</v>
      </c>
      <c r="O972" s="968">
        <f t="shared" si="152"/>
        <v>23221166.859999999</v>
      </c>
      <c r="P972" s="968">
        <f t="shared" si="152"/>
        <v>0</v>
      </c>
      <c r="Q972" s="968">
        <f t="shared" si="152"/>
        <v>0</v>
      </c>
      <c r="R972" s="968" t="s">
        <v>40</v>
      </c>
      <c r="S972" s="968" t="s">
        <v>40</v>
      </c>
      <c r="U972" s="967"/>
    </row>
    <row r="973" spans="1:21" ht="39" customHeight="1">
      <c r="A973" s="956">
        <v>426</v>
      </c>
      <c r="B973" s="976" t="s">
        <v>1089</v>
      </c>
      <c r="C973" s="957">
        <v>1959</v>
      </c>
      <c r="D973" s="956"/>
      <c r="E973" s="956" t="s">
        <v>218</v>
      </c>
      <c r="F973" s="957">
        <v>2</v>
      </c>
      <c r="G973" s="957">
        <v>2</v>
      </c>
      <c r="H973" s="968">
        <v>686.6</v>
      </c>
      <c r="I973" s="968">
        <v>637.5</v>
      </c>
      <c r="J973" s="968">
        <v>594.29999999999995</v>
      </c>
      <c r="K973" s="957">
        <v>32</v>
      </c>
      <c r="L973" s="971">
        <v>505008</v>
      </c>
      <c r="M973" s="968">
        <v>0</v>
      </c>
      <c r="N973" s="968">
        <v>0</v>
      </c>
      <c r="O973" s="968">
        <v>505008</v>
      </c>
      <c r="P973" s="968">
        <v>0</v>
      </c>
      <c r="Q973" s="968">
        <v>0</v>
      </c>
      <c r="R973" s="964">
        <v>2022</v>
      </c>
      <c r="S973" s="1006" t="s">
        <v>1387</v>
      </c>
      <c r="U973" s="967"/>
    </row>
    <row r="974" spans="1:21" ht="39" customHeight="1">
      <c r="A974" s="956">
        <v>427</v>
      </c>
      <c r="B974" s="986" t="s">
        <v>1090</v>
      </c>
      <c r="C974" s="956">
        <v>1953</v>
      </c>
      <c r="D974" s="986"/>
      <c r="E974" s="956" t="s">
        <v>218</v>
      </c>
      <c r="F974" s="956">
        <v>4</v>
      </c>
      <c r="G974" s="956">
        <v>2</v>
      </c>
      <c r="H974" s="963">
        <v>1396.5</v>
      </c>
      <c r="I974" s="963">
        <v>1298.0999999999999</v>
      </c>
      <c r="J974" s="963">
        <v>1178.5999999999999</v>
      </c>
      <c r="K974" s="977">
        <v>39</v>
      </c>
      <c r="L974" s="965">
        <v>2089124.51</v>
      </c>
      <c r="M974" s="1052">
        <v>0</v>
      </c>
      <c r="N974" s="1052">
        <v>0</v>
      </c>
      <c r="O974" s="1052">
        <v>2089124.51</v>
      </c>
      <c r="P974" s="963">
        <v>0</v>
      </c>
      <c r="Q974" s="1052">
        <v>0</v>
      </c>
      <c r="R974" s="964">
        <v>2022</v>
      </c>
      <c r="S974" s="1006" t="s">
        <v>1387</v>
      </c>
      <c r="U974" s="967"/>
    </row>
    <row r="975" spans="1:21" ht="39" customHeight="1">
      <c r="A975" s="956">
        <v>428</v>
      </c>
      <c r="B975" s="970" t="s">
        <v>1092</v>
      </c>
      <c r="C975" s="957">
        <v>1953</v>
      </c>
      <c r="D975" s="956"/>
      <c r="E975" s="956" t="s">
        <v>218</v>
      </c>
      <c r="F975" s="957">
        <v>2</v>
      </c>
      <c r="G975" s="957">
        <v>2</v>
      </c>
      <c r="H975" s="968">
        <v>412.1</v>
      </c>
      <c r="I975" s="968">
        <v>371.5</v>
      </c>
      <c r="J975" s="968">
        <v>330.6</v>
      </c>
      <c r="K975" s="957">
        <v>12</v>
      </c>
      <c r="L975" s="971">
        <v>2196085.86</v>
      </c>
      <c r="M975" s="968">
        <v>0</v>
      </c>
      <c r="N975" s="968">
        <v>0</v>
      </c>
      <c r="O975" s="968">
        <v>2196085.86</v>
      </c>
      <c r="P975" s="968">
        <v>0</v>
      </c>
      <c r="Q975" s="968">
        <v>0</v>
      </c>
      <c r="R975" s="964">
        <v>2022</v>
      </c>
      <c r="S975" s="1006" t="s">
        <v>1387</v>
      </c>
      <c r="U975" s="967"/>
    </row>
    <row r="976" spans="1:21" ht="39" customHeight="1">
      <c r="A976" s="956">
        <v>429</v>
      </c>
      <c r="B976" s="970" t="s">
        <v>1103</v>
      </c>
      <c r="C976" s="957">
        <v>1979</v>
      </c>
      <c r="D976" s="956"/>
      <c r="E976" s="956" t="s">
        <v>218</v>
      </c>
      <c r="F976" s="957">
        <v>2</v>
      </c>
      <c r="G976" s="957">
        <v>3</v>
      </c>
      <c r="H976" s="968">
        <v>1347</v>
      </c>
      <c r="I976" s="968">
        <v>1228.0999999999999</v>
      </c>
      <c r="J976" s="968">
        <v>1112.7</v>
      </c>
      <c r="K976" s="957">
        <v>33</v>
      </c>
      <c r="L976" s="971">
        <v>3623991.49</v>
      </c>
      <c r="M976" s="968">
        <v>0</v>
      </c>
      <c r="N976" s="968">
        <v>0</v>
      </c>
      <c r="O976" s="968">
        <v>3623991.49</v>
      </c>
      <c r="P976" s="968">
        <v>0</v>
      </c>
      <c r="Q976" s="968">
        <v>0</v>
      </c>
      <c r="R976" s="964">
        <v>2022</v>
      </c>
      <c r="S976" s="1006" t="s">
        <v>1387</v>
      </c>
      <c r="U976" s="967"/>
    </row>
    <row r="977" spans="1:21" ht="40.9" customHeight="1">
      <c r="A977" s="956">
        <v>430</v>
      </c>
      <c r="B977" s="976" t="s">
        <v>1104</v>
      </c>
      <c r="C977" s="957">
        <v>1959</v>
      </c>
      <c r="D977" s="956"/>
      <c r="E977" s="956" t="s">
        <v>218</v>
      </c>
      <c r="F977" s="956">
        <v>3</v>
      </c>
      <c r="G977" s="956">
        <v>3</v>
      </c>
      <c r="H977" s="963">
        <v>1158.5</v>
      </c>
      <c r="I977" s="963">
        <v>1067.3</v>
      </c>
      <c r="J977" s="963">
        <v>703.3</v>
      </c>
      <c r="K977" s="956">
        <v>25</v>
      </c>
      <c r="L977" s="965">
        <v>6039747.1799999997</v>
      </c>
      <c r="M977" s="963">
        <v>0</v>
      </c>
      <c r="N977" s="963">
        <v>0</v>
      </c>
      <c r="O977" s="963">
        <v>6039747.1799999997</v>
      </c>
      <c r="P977" s="963">
        <v>0</v>
      </c>
      <c r="Q977" s="963">
        <v>0</v>
      </c>
      <c r="R977" s="964">
        <v>2022</v>
      </c>
      <c r="S977" s="1006" t="s">
        <v>1387</v>
      </c>
      <c r="U977" s="967"/>
    </row>
    <row r="978" spans="1:21" ht="40.9" customHeight="1">
      <c r="A978" s="956">
        <v>431</v>
      </c>
      <c r="B978" s="986" t="s">
        <v>1020</v>
      </c>
      <c r="C978" s="956">
        <v>1979</v>
      </c>
      <c r="D978" s="986"/>
      <c r="E978" s="956" t="s">
        <v>218</v>
      </c>
      <c r="F978" s="957">
        <v>2</v>
      </c>
      <c r="G978" s="957">
        <v>1</v>
      </c>
      <c r="H978" s="968">
        <v>398.3</v>
      </c>
      <c r="I978" s="968">
        <v>366.3</v>
      </c>
      <c r="J978" s="968">
        <v>322.8</v>
      </c>
      <c r="K978" s="958">
        <v>20</v>
      </c>
      <c r="L978" s="971">
        <v>2538046.25</v>
      </c>
      <c r="M978" s="985">
        <v>0</v>
      </c>
      <c r="N978" s="985">
        <v>0</v>
      </c>
      <c r="O978" s="985">
        <v>2538046.25</v>
      </c>
      <c r="P978" s="963">
        <v>0</v>
      </c>
      <c r="Q978" s="985">
        <v>0</v>
      </c>
      <c r="R978" s="964">
        <v>2022</v>
      </c>
      <c r="S978" s="1006" t="s">
        <v>1387</v>
      </c>
      <c r="U978" s="967"/>
    </row>
    <row r="979" spans="1:21" ht="40.9" customHeight="1">
      <c r="A979" s="956">
        <v>432</v>
      </c>
      <c r="B979" s="986" t="s">
        <v>1129</v>
      </c>
      <c r="C979" s="956">
        <v>1953</v>
      </c>
      <c r="D979" s="986"/>
      <c r="E979" s="956" t="s">
        <v>220</v>
      </c>
      <c r="F979" s="956">
        <v>2</v>
      </c>
      <c r="G979" s="956">
        <v>2</v>
      </c>
      <c r="H979" s="963">
        <v>790.9</v>
      </c>
      <c r="I979" s="963">
        <v>723.2</v>
      </c>
      <c r="J979" s="963">
        <v>416.9</v>
      </c>
      <c r="K979" s="977">
        <v>31</v>
      </c>
      <c r="L979" s="971">
        <v>1927617.46</v>
      </c>
      <c r="M979" s="1052">
        <v>0</v>
      </c>
      <c r="N979" s="1052">
        <v>0</v>
      </c>
      <c r="O979" s="985">
        <v>1927617.46</v>
      </c>
      <c r="P979" s="963">
        <v>0</v>
      </c>
      <c r="Q979" s="1052">
        <v>0</v>
      </c>
      <c r="R979" s="964">
        <v>2022</v>
      </c>
      <c r="S979" s="1006" t="s">
        <v>1387</v>
      </c>
      <c r="U979" s="967"/>
    </row>
    <row r="980" spans="1:21" ht="40.9" customHeight="1">
      <c r="A980" s="956">
        <v>433</v>
      </c>
      <c r="B980" s="986" t="s">
        <v>1035</v>
      </c>
      <c r="C980" s="956">
        <v>1974</v>
      </c>
      <c r="D980" s="986"/>
      <c r="E980" s="956" t="s">
        <v>218</v>
      </c>
      <c r="F980" s="956">
        <v>2</v>
      </c>
      <c r="G980" s="956">
        <v>2</v>
      </c>
      <c r="H980" s="963">
        <v>802.3</v>
      </c>
      <c r="I980" s="963">
        <v>749.1</v>
      </c>
      <c r="J980" s="963">
        <v>714.5</v>
      </c>
      <c r="K980" s="977">
        <v>23</v>
      </c>
      <c r="L980" s="971">
        <v>4301546.1100000003</v>
      </c>
      <c r="M980" s="1052">
        <v>0</v>
      </c>
      <c r="N980" s="1052">
        <v>0</v>
      </c>
      <c r="O980" s="985">
        <v>4301546.1100000003</v>
      </c>
      <c r="P980" s="963">
        <v>0</v>
      </c>
      <c r="Q980" s="1052">
        <v>0</v>
      </c>
      <c r="R980" s="964">
        <v>2022</v>
      </c>
      <c r="S980" s="1006" t="s">
        <v>1387</v>
      </c>
      <c r="U980" s="967"/>
    </row>
    <row r="981" spans="1:21" ht="43.15" customHeight="1">
      <c r="A981" s="1163" t="s">
        <v>1250</v>
      </c>
      <c r="B981" s="1164"/>
      <c r="C981" s="1164"/>
      <c r="D981" s="1164"/>
      <c r="E981" s="1164"/>
      <c r="F981" s="1164"/>
      <c r="G981" s="1165"/>
      <c r="H981" s="968">
        <f>SUM(H982:H994)</f>
        <v>22650.899999999998</v>
      </c>
      <c r="I981" s="968">
        <f t="shared" ref="I981:Q981" si="153">SUM(I982:I994)</f>
        <v>21678.9</v>
      </c>
      <c r="J981" s="968">
        <f t="shared" si="153"/>
        <v>17779.5</v>
      </c>
      <c r="K981" s="958">
        <f t="shared" si="153"/>
        <v>756</v>
      </c>
      <c r="L981" s="971">
        <f t="shared" si="153"/>
        <v>38151538.240000002</v>
      </c>
      <c r="M981" s="968">
        <f t="shared" si="153"/>
        <v>0</v>
      </c>
      <c r="N981" s="968">
        <f t="shared" si="153"/>
        <v>0</v>
      </c>
      <c r="O981" s="968">
        <f t="shared" si="153"/>
        <v>38151538.240000002</v>
      </c>
      <c r="P981" s="968">
        <f t="shared" si="153"/>
        <v>0</v>
      </c>
      <c r="Q981" s="968">
        <f t="shared" si="153"/>
        <v>0</v>
      </c>
      <c r="R981" s="968" t="s">
        <v>40</v>
      </c>
      <c r="S981" s="968" t="s">
        <v>40</v>
      </c>
      <c r="U981" s="967"/>
    </row>
    <row r="982" spans="1:21" ht="36" customHeight="1">
      <c r="A982" s="956">
        <v>434</v>
      </c>
      <c r="B982" s="986" t="s">
        <v>1105</v>
      </c>
      <c r="C982" s="957">
        <v>1968</v>
      </c>
      <c r="D982" s="957"/>
      <c r="E982" s="956" t="s">
        <v>218</v>
      </c>
      <c r="F982" s="957">
        <v>2</v>
      </c>
      <c r="G982" s="957">
        <v>1</v>
      </c>
      <c r="H982" s="956">
        <v>452.6</v>
      </c>
      <c r="I982" s="956">
        <v>452.6</v>
      </c>
      <c r="J982" s="956">
        <v>250.7</v>
      </c>
      <c r="K982" s="956">
        <v>12</v>
      </c>
      <c r="L982" s="1053">
        <v>1399901.99</v>
      </c>
      <c r="M982" s="985">
        <v>0</v>
      </c>
      <c r="N982" s="985">
        <v>0</v>
      </c>
      <c r="O982" s="985">
        <f>L982</f>
        <v>1399901.99</v>
      </c>
      <c r="P982" s="963">
        <f>Q982</f>
        <v>0</v>
      </c>
      <c r="Q982" s="985">
        <v>0</v>
      </c>
      <c r="R982" s="964">
        <v>2022</v>
      </c>
      <c r="S982" s="1006" t="s">
        <v>1387</v>
      </c>
      <c r="U982" s="967"/>
    </row>
    <row r="983" spans="1:21" ht="36" customHeight="1">
      <c r="A983" s="956">
        <v>435</v>
      </c>
      <c r="B983" s="976" t="s">
        <v>2097</v>
      </c>
      <c r="C983" s="957">
        <v>1967</v>
      </c>
      <c r="D983" s="957"/>
      <c r="E983" s="956" t="s">
        <v>218</v>
      </c>
      <c r="F983" s="957">
        <v>2</v>
      </c>
      <c r="G983" s="957">
        <v>2</v>
      </c>
      <c r="H983" s="993">
        <v>388.9</v>
      </c>
      <c r="I983" s="993">
        <v>388.9</v>
      </c>
      <c r="J983" s="993">
        <v>340.7</v>
      </c>
      <c r="K983" s="993">
        <v>14</v>
      </c>
      <c r="L983" s="1054">
        <v>268565.7</v>
      </c>
      <c r="M983" s="985">
        <v>0</v>
      </c>
      <c r="N983" s="985">
        <v>0</v>
      </c>
      <c r="O983" s="985">
        <f>L983</f>
        <v>268565.7</v>
      </c>
      <c r="P983" s="963">
        <f t="shared" ref="P983" si="154">Q983</f>
        <v>0</v>
      </c>
      <c r="Q983" s="985">
        <v>0</v>
      </c>
      <c r="R983" s="964">
        <v>2022</v>
      </c>
      <c r="S983" s="1006" t="s">
        <v>1387</v>
      </c>
      <c r="U983" s="967"/>
    </row>
    <row r="984" spans="1:21" ht="39.6" customHeight="1">
      <c r="A984" s="956">
        <v>436</v>
      </c>
      <c r="B984" s="986" t="s">
        <v>1106</v>
      </c>
      <c r="C984" s="957">
        <v>1937</v>
      </c>
      <c r="D984" s="957"/>
      <c r="E984" s="956" t="s">
        <v>218</v>
      </c>
      <c r="F984" s="957">
        <v>4</v>
      </c>
      <c r="G984" s="957">
        <v>5</v>
      </c>
      <c r="H984" s="956">
        <v>2238.6</v>
      </c>
      <c r="I984" s="956">
        <v>2238.6</v>
      </c>
      <c r="J984" s="956">
        <v>1525.7</v>
      </c>
      <c r="K984" s="956">
        <v>77</v>
      </c>
      <c r="L984" s="1053">
        <v>3984399.97</v>
      </c>
      <c r="M984" s="985">
        <v>0</v>
      </c>
      <c r="N984" s="985">
        <v>0</v>
      </c>
      <c r="O984" s="985">
        <v>3984399.97</v>
      </c>
      <c r="P984" s="963">
        <v>0</v>
      </c>
      <c r="Q984" s="985">
        <v>0</v>
      </c>
      <c r="R984" s="964">
        <v>2022</v>
      </c>
      <c r="S984" s="964">
        <v>2024</v>
      </c>
      <c r="U984" s="967"/>
    </row>
    <row r="985" spans="1:21" ht="39.6" customHeight="1">
      <c r="A985" s="956">
        <v>437</v>
      </c>
      <c r="B985" s="986" t="s">
        <v>1188</v>
      </c>
      <c r="C985" s="957">
        <v>1963</v>
      </c>
      <c r="D985" s="957"/>
      <c r="E985" s="956" t="s">
        <v>218</v>
      </c>
      <c r="F985" s="957">
        <v>2</v>
      </c>
      <c r="G985" s="957">
        <v>2</v>
      </c>
      <c r="H985" s="956">
        <v>523.79999999999995</v>
      </c>
      <c r="I985" s="956">
        <v>523.79999999999995</v>
      </c>
      <c r="J985" s="956">
        <v>460.5</v>
      </c>
      <c r="K985" s="956">
        <v>19</v>
      </c>
      <c r="L985" s="1053">
        <v>1901987.8</v>
      </c>
      <c r="M985" s="985">
        <v>0</v>
      </c>
      <c r="N985" s="985">
        <v>0</v>
      </c>
      <c r="O985" s="985">
        <f t="shared" ref="O985:O994" si="155">L985</f>
        <v>1901987.8</v>
      </c>
      <c r="P985" s="963">
        <f>Q985</f>
        <v>0</v>
      </c>
      <c r="Q985" s="985">
        <v>0</v>
      </c>
      <c r="R985" s="964">
        <v>2022</v>
      </c>
      <c r="S985" s="1006" t="s">
        <v>1387</v>
      </c>
      <c r="U985" s="967"/>
    </row>
    <row r="986" spans="1:21" ht="39.6" customHeight="1">
      <c r="A986" s="956">
        <v>438</v>
      </c>
      <c r="B986" s="986" t="s">
        <v>1107</v>
      </c>
      <c r="C986" s="957">
        <v>1957</v>
      </c>
      <c r="D986" s="957">
        <v>2016</v>
      </c>
      <c r="E986" s="956" t="s">
        <v>218</v>
      </c>
      <c r="F986" s="957">
        <v>3</v>
      </c>
      <c r="G986" s="957">
        <v>2</v>
      </c>
      <c r="H986" s="956">
        <v>1414</v>
      </c>
      <c r="I986" s="956">
        <v>1414</v>
      </c>
      <c r="J986" s="956">
        <v>1243</v>
      </c>
      <c r="K986" s="956">
        <v>51</v>
      </c>
      <c r="L986" s="1053">
        <v>2521397.5699999998</v>
      </c>
      <c r="M986" s="985">
        <v>0</v>
      </c>
      <c r="N986" s="985">
        <v>0</v>
      </c>
      <c r="O986" s="985">
        <f t="shared" si="155"/>
        <v>2521397.5699999998</v>
      </c>
      <c r="P986" s="963">
        <v>0</v>
      </c>
      <c r="Q986" s="985">
        <v>0</v>
      </c>
      <c r="R986" s="964">
        <v>2022</v>
      </c>
      <c r="S986" s="964">
        <v>2023</v>
      </c>
      <c r="U986" s="967"/>
    </row>
    <row r="987" spans="1:21" ht="39.6" customHeight="1">
      <c r="A987" s="956">
        <v>439</v>
      </c>
      <c r="B987" s="986" t="s">
        <v>1108</v>
      </c>
      <c r="C987" s="957">
        <v>1957</v>
      </c>
      <c r="D987" s="957">
        <v>2016</v>
      </c>
      <c r="E987" s="956" t="s">
        <v>218</v>
      </c>
      <c r="F987" s="957">
        <v>3</v>
      </c>
      <c r="G987" s="957">
        <v>2</v>
      </c>
      <c r="H987" s="956">
        <v>958</v>
      </c>
      <c r="I987" s="956">
        <v>958</v>
      </c>
      <c r="J987" s="956">
        <v>105</v>
      </c>
      <c r="K987" s="956">
        <v>29</v>
      </c>
      <c r="L987" s="1053">
        <v>1046699.87</v>
      </c>
      <c r="M987" s="985">
        <v>0</v>
      </c>
      <c r="N987" s="985">
        <v>0</v>
      </c>
      <c r="O987" s="985">
        <f t="shared" si="155"/>
        <v>1046699.87</v>
      </c>
      <c r="P987" s="963">
        <f>Q987</f>
        <v>0</v>
      </c>
      <c r="Q987" s="985">
        <v>0</v>
      </c>
      <c r="R987" s="964">
        <v>2022</v>
      </c>
      <c r="S987" s="1006" t="s">
        <v>1387</v>
      </c>
      <c r="U987" s="967"/>
    </row>
    <row r="988" spans="1:21" ht="52.5" customHeight="1">
      <c r="A988" s="956">
        <v>440</v>
      </c>
      <c r="B988" s="986" t="s">
        <v>1959</v>
      </c>
      <c r="C988" s="957">
        <v>1994</v>
      </c>
      <c r="D988" s="957"/>
      <c r="E988" s="956" t="s">
        <v>218</v>
      </c>
      <c r="F988" s="957">
        <v>4</v>
      </c>
      <c r="G988" s="957">
        <v>3</v>
      </c>
      <c r="H988" s="956">
        <v>2605.6999999999998</v>
      </c>
      <c r="I988" s="956">
        <v>2605.6999999999998</v>
      </c>
      <c r="J988" s="956">
        <v>2386.1999999999998</v>
      </c>
      <c r="K988" s="956">
        <v>91</v>
      </c>
      <c r="L988" s="1053">
        <v>2398221.9</v>
      </c>
      <c r="M988" s="985">
        <v>0</v>
      </c>
      <c r="N988" s="985">
        <v>0</v>
      </c>
      <c r="O988" s="985">
        <f t="shared" si="155"/>
        <v>2398221.9</v>
      </c>
      <c r="P988" s="963">
        <v>0</v>
      </c>
      <c r="Q988" s="985">
        <v>0</v>
      </c>
      <c r="R988" s="964">
        <v>2022</v>
      </c>
      <c r="S988" s="1006" t="s">
        <v>1387</v>
      </c>
      <c r="U988" s="967"/>
    </row>
    <row r="989" spans="1:21" ht="39.6" customHeight="1">
      <c r="A989" s="956">
        <v>441</v>
      </c>
      <c r="B989" s="986" t="s">
        <v>1094</v>
      </c>
      <c r="C989" s="957">
        <v>1959</v>
      </c>
      <c r="D989" s="957"/>
      <c r="E989" s="956" t="s">
        <v>218</v>
      </c>
      <c r="F989" s="957">
        <v>2</v>
      </c>
      <c r="G989" s="957">
        <v>2</v>
      </c>
      <c r="H989" s="968">
        <v>306.60000000000002</v>
      </c>
      <c r="I989" s="968">
        <v>306.60000000000002</v>
      </c>
      <c r="J989" s="968">
        <v>273.60000000000002</v>
      </c>
      <c r="K989" s="959">
        <v>22</v>
      </c>
      <c r="L989" s="971">
        <v>460270.38</v>
      </c>
      <c r="M989" s="985">
        <v>0</v>
      </c>
      <c r="N989" s="985">
        <v>0</v>
      </c>
      <c r="O989" s="985">
        <f t="shared" si="155"/>
        <v>460270.38</v>
      </c>
      <c r="P989" s="963">
        <v>0</v>
      </c>
      <c r="Q989" s="985">
        <v>0</v>
      </c>
      <c r="R989" s="964">
        <v>2022</v>
      </c>
      <c r="S989" s="1006" t="s">
        <v>1387</v>
      </c>
      <c r="U989" s="967"/>
    </row>
    <row r="990" spans="1:21" ht="39.6" customHeight="1">
      <c r="A990" s="956">
        <v>442</v>
      </c>
      <c r="B990" s="986" t="s">
        <v>1093</v>
      </c>
      <c r="C990" s="957">
        <v>1981</v>
      </c>
      <c r="D990" s="957"/>
      <c r="E990" s="956" t="s">
        <v>218</v>
      </c>
      <c r="F990" s="957">
        <v>5</v>
      </c>
      <c r="G990" s="957">
        <v>4</v>
      </c>
      <c r="H990" s="968">
        <v>2903.6</v>
      </c>
      <c r="I990" s="968">
        <v>2903.6</v>
      </c>
      <c r="J990" s="968">
        <v>2603.5</v>
      </c>
      <c r="K990" s="959">
        <v>106</v>
      </c>
      <c r="L990" s="971">
        <v>2801696.49</v>
      </c>
      <c r="M990" s="985">
        <v>0</v>
      </c>
      <c r="N990" s="985">
        <v>0</v>
      </c>
      <c r="O990" s="985">
        <f t="shared" si="155"/>
        <v>2801696.49</v>
      </c>
      <c r="P990" s="963">
        <v>0</v>
      </c>
      <c r="Q990" s="985">
        <v>0</v>
      </c>
      <c r="R990" s="964">
        <v>2022</v>
      </c>
      <c r="S990" s="964">
        <v>2023</v>
      </c>
      <c r="U990" s="967"/>
    </row>
    <row r="991" spans="1:21" ht="39.6" customHeight="1">
      <c r="A991" s="956">
        <v>443</v>
      </c>
      <c r="B991" s="986" t="s">
        <v>1077</v>
      </c>
      <c r="C991" s="957">
        <v>1937</v>
      </c>
      <c r="D991" s="957"/>
      <c r="E991" s="956" t="s">
        <v>218</v>
      </c>
      <c r="F991" s="957">
        <v>4</v>
      </c>
      <c r="G991" s="957">
        <v>3</v>
      </c>
      <c r="H991" s="968">
        <v>1985.8</v>
      </c>
      <c r="I991" s="968">
        <v>1985.8</v>
      </c>
      <c r="J991" s="968">
        <v>1327.8</v>
      </c>
      <c r="K991" s="959">
        <v>42</v>
      </c>
      <c r="L991" s="971">
        <v>4007708.24</v>
      </c>
      <c r="M991" s="985">
        <v>0</v>
      </c>
      <c r="N991" s="985">
        <v>0</v>
      </c>
      <c r="O991" s="985">
        <f t="shared" si="155"/>
        <v>4007708.24</v>
      </c>
      <c r="P991" s="963">
        <v>0</v>
      </c>
      <c r="Q991" s="985">
        <v>0</v>
      </c>
      <c r="R991" s="964">
        <v>2022</v>
      </c>
      <c r="S991" s="964">
        <v>2023</v>
      </c>
      <c r="U991" s="967"/>
    </row>
    <row r="992" spans="1:21" ht="45.6" customHeight="1">
      <c r="A992" s="956">
        <v>444</v>
      </c>
      <c r="B992" s="986" t="s">
        <v>1295</v>
      </c>
      <c r="C992" s="957">
        <v>1917</v>
      </c>
      <c r="D992" s="957"/>
      <c r="E992" s="956" t="s">
        <v>218</v>
      </c>
      <c r="F992" s="957">
        <v>2</v>
      </c>
      <c r="G992" s="957">
        <v>1</v>
      </c>
      <c r="H992" s="968">
        <v>392</v>
      </c>
      <c r="I992" s="968">
        <v>392</v>
      </c>
      <c r="J992" s="968">
        <v>320.8</v>
      </c>
      <c r="K992" s="959">
        <v>9</v>
      </c>
      <c r="L992" s="971">
        <v>1671299.6</v>
      </c>
      <c r="M992" s="985">
        <v>0</v>
      </c>
      <c r="N992" s="985">
        <v>0</v>
      </c>
      <c r="O992" s="985">
        <f t="shared" si="155"/>
        <v>1671299.6</v>
      </c>
      <c r="P992" s="963">
        <v>0</v>
      </c>
      <c r="Q992" s="985">
        <v>0</v>
      </c>
      <c r="R992" s="964">
        <v>2022</v>
      </c>
      <c r="S992" s="964">
        <v>2023</v>
      </c>
      <c r="U992" s="967"/>
    </row>
    <row r="993" spans="1:21" ht="42" customHeight="1">
      <c r="A993" s="956">
        <v>445</v>
      </c>
      <c r="B993" s="986" t="s">
        <v>1213</v>
      </c>
      <c r="C993" s="957">
        <v>1983</v>
      </c>
      <c r="D993" s="957"/>
      <c r="E993" s="956" t="s">
        <v>218</v>
      </c>
      <c r="F993" s="957">
        <v>5</v>
      </c>
      <c r="G993" s="957">
        <v>7</v>
      </c>
      <c r="H993" s="968">
        <v>5053.5</v>
      </c>
      <c r="I993" s="968">
        <v>4573.3999999999996</v>
      </c>
      <c r="J993" s="968">
        <v>4190.6000000000004</v>
      </c>
      <c r="K993" s="959">
        <v>182</v>
      </c>
      <c r="L993" s="971">
        <v>11397253.15</v>
      </c>
      <c r="M993" s="985">
        <v>0</v>
      </c>
      <c r="N993" s="985">
        <v>0</v>
      </c>
      <c r="O993" s="985">
        <f t="shared" si="155"/>
        <v>11397253.15</v>
      </c>
      <c r="P993" s="963">
        <v>0</v>
      </c>
      <c r="Q993" s="985">
        <v>0</v>
      </c>
      <c r="R993" s="964">
        <v>2022</v>
      </c>
      <c r="S993" s="1006" t="s">
        <v>1387</v>
      </c>
      <c r="U993" s="967"/>
    </row>
    <row r="994" spans="1:21" ht="42.6" customHeight="1">
      <c r="A994" s="956">
        <v>446</v>
      </c>
      <c r="B994" s="986" t="s">
        <v>1130</v>
      </c>
      <c r="C994" s="957">
        <v>1979</v>
      </c>
      <c r="D994" s="957"/>
      <c r="E994" s="956" t="s">
        <v>219</v>
      </c>
      <c r="F994" s="957">
        <v>5</v>
      </c>
      <c r="G994" s="957">
        <v>4</v>
      </c>
      <c r="H994" s="968">
        <v>3427.8</v>
      </c>
      <c r="I994" s="968">
        <v>2935.9</v>
      </c>
      <c r="J994" s="968">
        <v>2751.4</v>
      </c>
      <c r="K994" s="959">
        <v>102</v>
      </c>
      <c r="L994" s="971">
        <v>4292135.58</v>
      </c>
      <c r="M994" s="985">
        <v>0</v>
      </c>
      <c r="N994" s="985">
        <v>0</v>
      </c>
      <c r="O994" s="985">
        <f t="shared" si="155"/>
        <v>4292135.58</v>
      </c>
      <c r="P994" s="963">
        <v>0</v>
      </c>
      <c r="Q994" s="985">
        <v>0</v>
      </c>
      <c r="R994" s="964">
        <v>2022</v>
      </c>
      <c r="S994" s="1006" t="s">
        <v>1387</v>
      </c>
      <c r="U994" s="967"/>
    </row>
    <row r="995" spans="1:21" ht="42.6" customHeight="1">
      <c r="A995" s="1172" t="s">
        <v>1817</v>
      </c>
      <c r="B995" s="1173"/>
      <c r="C995" s="1173"/>
      <c r="D995" s="1173"/>
      <c r="E995" s="1173"/>
      <c r="F995" s="1173"/>
      <c r="G995" s="1174"/>
      <c r="H995" s="968">
        <f>SUM(H996:H997)</f>
        <v>1647</v>
      </c>
      <c r="I995" s="968">
        <f t="shared" ref="I995:O995" si="156">SUM(I996:I997)</f>
        <v>1518.5</v>
      </c>
      <c r="J995" s="968">
        <f t="shared" si="156"/>
        <v>1307.5999999999999</v>
      </c>
      <c r="K995" s="958">
        <f t="shared" si="156"/>
        <v>45</v>
      </c>
      <c r="L995" s="971">
        <f t="shared" si="156"/>
        <v>12337443.82</v>
      </c>
      <c r="M995" s="968">
        <f t="shared" si="156"/>
        <v>0</v>
      </c>
      <c r="N995" s="968">
        <f t="shared" si="156"/>
        <v>66475.100000000006</v>
      </c>
      <c r="O995" s="968">
        <f t="shared" si="156"/>
        <v>12270968.719999999</v>
      </c>
      <c r="P995" s="968">
        <f t="shared" ref="P995:Q995" si="157">P996+P997</f>
        <v>0</v>
      </c>
      <c r="Q995" s="968">
        <f t="shared" si="157"/>
        <v>0</v>
      </c>
      <c r="R995" s="968" t="s">
        <v>40</v>
      </c>
      <c r="S995" s="968" t="s">
        <v>40</v>
      </c>
      <c r="U995" s="967"/>
    </row>
    <row r="996" spans="1:21" ht="42.6" customHeight="1">
      <c r="A996" s="956">
        <v>447</v>
      </c>
      <c r="B996" s="972" t="s">
        <v>1818</v>
      </c>
      <c r="C996" s="957">
        <v>1974</v>
      </c>
      <c r="D996" s="963"/>
      <c r="E996" s="956" t="s">
        <v>218</v>
      </c>
      <c r="F996" s="957">
        <v>2</v>
      </c>
      <c r="G996" s="957">
        <v>2</v>
      </c>
      <c r="H996" s="968">
        <v>830.8</v>
      </c>
      <c r="I996" s="968">
        <v>764.7</v>
      </c>
      <c r="J996" s="968">
        <v>764.7</v>
      </c>
      <c r="K996" s="959">
        <v>23</v>
      </c>
      <c r="L996" s="965">
        <v>4381187.51</v>
      </c>
      <c r="M996" s="968">
        <v>0</v>
      </c>
      <c r="N996" s="968">
        <v>0</v>
      </c>
      <c r="O996" s="963">
        <v>4381187.51</v>
      </c>
      <c r="P996" s="968">
        <v>0</v>
      </c>
      <c r="Q996" s="968">
        <v>0</v>
      </c>
      <c r="R996" s="957">
        <v>2021</v>
      </c>
      <c r="S996" s="1006" t="s">
        <v>1387</v>
      </c>
      <c r="U996" s="967"/>
    </row>
    <row r="997" spans="1:21" ht="42.6" customHeight="1">
      <c r="A997" s="956">
        <v>448</v>
      </c>
      <c r="B997" s="986" t="s">
        <v>1827</v>
      </c>
      <c r="C997" s="957">
        <v>1980</v>
      </c>
      <c r="D997" s="957"/>
      <c r="E997" s="956" t="s">
        <v>218</v>
      </c>
      <c r="F997" s="957">
        <v>2</v>
      </c>
      <c r="G997" s="957">
        <v>2</v>
      </c>
      <c r="H997" s="968">
        <v>816.2</v>
      </c>
      <c r="I997" s="968">
        <v>753.8</v>
      </c>
      <c r="J997" s="968">
        <v>542.9</v>
      </c>
      <c r="K997" s="959">
        <v>22</v>
      </c>
      <c r="L997" s="971">
        <v>7956256.3099999996</v>
      </c>
      <c r="M997" s="985">
        <v>0</v>
      </c>
      <c r="N997" s="985">
        <v>66475.100000000006</v>
      </c>
      <c r="O997" s="985">
        <v>7889781.21</v>
      </c>
      <c r="P997" s="963">
        <v>0</v>
      </c>
      <c r="Q997" s="985">
        <v>0</v>
      </c>
      <c r="R997" s="964">
        <v>2022</v>
      </c>
      <c r="S997" s="964">
        <v>2023</v>
      </c>
      <c r="U997" s="967"/>
    </row>
    <row r="998" spans="1:21" ht="34.15" customHeight="1">
      <c r="A998" s="1163" t="s">
        <v>1069</v>
      </c>
      <c r="B998" s="1164"/>
      <c r="C998" s="1164"/>
      <c r="D998" s="1164"/>
      <c r="E998" s="1164"/>
      <c r="F998" s="1164"/>
      <c r="G998" s="1165"/>
      <c r="H998" s="968">
        <f>SUM(H999:H1001)</f>
        <v>2532.3000000000002</v>
      </c>
      <c r="I998" s="968">
        <f t="shared" ref="I998:Q998" si="158">SUM(I999:I1001)</f>
        <v>2408.6999999999998</v>
      </c>
      <c r="J998" s="968">
        <f t="shared" si="158"/>
        <v>2109.3999999999996</v>
      </c>
      <c r="K998" s="958">
        <f t="shared" si="158"/>
        <v>126</v>
      </c>
      <c r="L998" s="971">
        <f t="shared" si="158"/>
        <v>7002836.7800000003</v>
      </c>
      <c r="M998" s="968">
        <f t="shared" si="158"/>
        <v>0</v>
      </c>
      <c r="N998" s="968">
        <f t="shared" si="158"/>
        <v>0</v>
      </c>
      <c r="O998" s="968">
        <f t="shared" si="158"/>
        <v>7002836.7800000003</v>
      </c>
      <c r="P998" s="968">
        <f t="shared" si="158"/>
        <v>0</v>
      </c>
      <c r="Q998" s="968">
        <f t="shared" si="158"/>
        <v>0</v>
      </c>
      <c r="R998" s="968" t="s">
        <v>40</v>
      </c>
      <c r="S998" s="968" t="s">
        <v>40</v>
      </c>
      <c r="U998" s="967"/>
    </row>
    <row r="999" spans="1:21" ht="36.6" customHeight="1">
      <c r="A999" s="956">
        <v>449</v>
      </c>
      <c r="B999" s="984" t="s">
        <v>1079</v>
      </c>
      <c r="C999" s="957">
        <v>1990</v>
      </c>
      <c r="D999" s="984"/>
      <c r="E999" s="956" t="s">
        <v>219</v>
      </c>
      <c r="F999" s="957">
        <v>3</v>
      </c>
      <c r="G999" s="957">
        <v>3</v>
      </c>
      <c r="H999" s="968">
        <v>1344.1</v>
      </c>
      <c r="I999" s="968">
        <v>1284.0999999999999</v>
      </c>
      <c r="J999" s="968">
        <v>1284.0999999999999</v>
      </c>
      <c r="K999" s="959">
        <v>61</v>
      </c>
      <c r="L999" s="971">
        <v>3003203.02</v>
      </c>
      <c r="M999" s="985">
        <v>0</v>
      </c>
      <c r="N999" s="985">
        <v>0</v>
      </c>
      <c r="O999" s="985">
        <v>3003203.02</v>
      </c>
      <c r="P999" s="963">
        <v>0</v>
      </c>
      <c r="Q999" s="985">
        <v>0</v>
      </c>
      <c r="R999" s="964">
        <v>2022</v>
      </c>
      <c r="S999" s="964">
        <v>2023</v>
      </c>
      <c r="U999" s="967"/>
    </row>
    <row r="1000" spans="1:21" ht="43.15" customHeight="1">
      <c r="A1000" s="956">
        <v>450</v>
      </c>
      <c r="B1000" s="984" t="s">
        <v>1131</v>
      </c>
      <c r="C1000" s="957">
        <v>1961</v>
      </c>
      <c r="D1000" s="984"/>
      <c r="E1000" s="956" t="s">
        <v>218</v>
      </c>
      <c r="F1000" s="957">
        <v>2</v>
      </c>
      <c r="G1000" s="957">
        <v>2</v>
      </c>
      <c r="H1000" s="968">
        <v>411.7</v>
      </c>
      <c r="I1000" s="968">
        <v>380</v>
      </c>
      <c r="J1000" s="968">
        <v>188.1</v>
      </c>
      <c r="K1000" s="959">
        <v>33</v>
      </c>
      <c r="L1000" s="971">
        <v>2689563.73</v>
      </c>
      <c r="M1000" s="985">
        <v>0</v>
      </c>
      <c r="N1000" s="985">
        <v>0</v>
      </c>
      <c r="O1000" s="985">
        <v>2689563.73</v>
      </c>
      <c r="P1000" s="963">
        <v>0</v>
      </c>
      <c r="Q1000" s="985">
        <v>0</v>
      </c>
      <c r="R1000" s="964">
        <v>2022</v>
      </c>
      <c r="S1000" s="1006" t="s">
        <v>1387</v>
      </c>
      <c r="U1000" s="967"/>
    </row>
    <row r="1001" spans="1:21" ht="37.15" customHeight="1">
      <c r="A1001" s="956">
        <v>451</v>
      </c>
      <c r="B1001" s="984" t="s">
        <v>1137</v>
      </c>
      <c r="C1001" s="957">
        <v>1980</v>
      </c>
      <c r="D1001" s="957">
        <v>2008</v>
      </c>
      <c r="E1001" s="956" t="s">
        <v>218</v>
      </c>
      <c r="F1001" s="957">
        <v>2</v>
      </c>
      <c r="G1001" s="957">
        <v>2</v>
      </c>
      <c r="H1001" s="968">
        <v>776.5</v>
      </c>
      <c r="I1001" s="968">
        <v>744.6</v>
      </c>
      <c r="J1001" s="968">
        <v>637.20000000000005</v>
      </c>
      <c r="K1001" s="959">
        <v>32</v>
      </c>
      <c r="L1001" s="971">
        <v>1310070.03</v>
      </c>
      <c r="M1001" s="985">
        <v>0</v>
      </c>
      <c r="N1001" s="985">
        <v>0</v>
      </c>
      <c r="O1001" s="985">
        <v>1310070.03</v>
      </c>
      <c r="P1001" s="963">
        <v>0</v>
      </c>
      <c r="Q1001" s="985">
        <v>0</v>
      </c>
      <c r="R1001" s="964">
        <v>2022</v>
      </c>
      <c r="S1001" s="964">
        <v>2023</v>
      </c>
      <c r="U1001" s="967"/>
    </row>
    <row r="1002" spans="1:21" ht="41.45" customHeight="1">
      <c r="A1002" s="1163" t="s">
        <v>1794</v>
      </c>
      <c r="B1002" s="1164"/>
      <c r="C1002" s="1164"/>
      <c r="D1002" s="1164"/>
      <c r="E1002" s="1164"/>
      <c r="F1002" s="1164"/>
      <c r="G1002" s="1165"/>
      <c r="H1002" s="968">
        <f>SUM(H1003:H1004)</f>
        <v>975.3</v>
      </c>
      <c r="I1002" s="968">
        <f t="shared" ref="I1002:Q1002" si="159">SUM(I1003:I1004)</f>
        <v>888.1</v>
      </c>
      <c r="J1002" s="968">
        <f t="shared" si="159"/>
        <v>888.1</v>
      </c>
      <c r="K1002" s="958">
        <f t="shared" si="159"/>
        <v>27</v>
      </c>
      <c r="L1002" s="971">
        <f t="shared" si="159"/>
        <v>3611200.94</v>
      </c>
      <c r="M1002" s="968">
        <f t="shared" si="159"/>
        <v>0</v>
      </c>
      <c r="N1002" s="968">
        <f t="shared" si="159"/>
        <v>0</v>
      </c>
      <c r="O1002" s="968">
        <f t="shared" si="159"/>
        <v>3611200.94</v>
      </c>
      <c r="P1002" s="968">
        <f t="shared" si="159"/>
        <v>0</v>
      </c>
      <c r="Q1002" s="968">
        <f t="shared" si="159"/>
        <v>0</v>
      </c>
      <c r="R1002" s="968" t="s">
        <v>40</v>
      </c>
      <c r="S1002" s="968" t="s">
        <v>40</v>
      </c>
      <c r="U1002" s="967"/>
    </row>
    <row r="1003" spans="1:21" ht="69.75" customHeight="1">
      <c r="A1003" s="956">
        <v>452</v>
      </c>
      <c r="B1003" s="984" t="s">
        <v>1797</v>
      </c>
      <c r="C1003" s="957">
        <v>1967</v>
      </c>
      <c r="D1003" s="957"/>
      <c r="E1003" s="956" t="s">
        <v>218</v>
      </c>
      <c r="F1003" s="957">
        <v>2</v>
      </c>
      <c r="G1003" s="957">
        <v>2</v>
      </c>
      <c r="H1003" s="968">
        <v>561.1</v>
      </c>
      <c r="I1003" s="968">
        <v>514.1</v>
      </c>
      <c r="J1003" s="968">
        <v>514.1</v>
      </c>
      <c r="K1003" s="959">
        <v>12</v>
      </c>
      <c r="L1003" s="971">
        <v>2020908.2</v>
      </c>
      <c r="M1003" s="985">
        <v>0</v>
      </c>
      <c r="N1003" s="985">
        <v>0</v>
      </c>
      <c r="O1003" s="985">
        <v>2020908.2</v>
      </c>
      <c r="P1003" s="963">
        <v>0</v>
      </c>
      <c r="Q1003" s="985">
        <v>0</v>
      </c>
      <c r="R1003" s="964">
        <v>2022</v>
      </c>
      <c r="S1003" s="964">
        <v>2023</v>
      </c>
      <c r="U1003" s="967"/>
    </row>
    <row r="1004" spans="1:21" ht="54" customHeight="1">
      <c r="A1004" s="956">
        <v>453</v>
      </c>
      <c r="B1004" s="984" t="s">
        <v>1798</v>
      </c>
      <c r="C1004" s="957">
        <v>1967</v>
      </c>
      <c r="D1004" s="957"/>
      <c r="E1004" s="956" t="s">
        <v>218</v>
      </c>
      <c r="F1004" s="957">
        <v>2</v>
      </c>
      <c r="G1004" s="957">
        <v>2</v>
      </c>
      <c r="H1004" s="968">
        <v>414.2</v>
      </c>
      <c r="I1004" s="968">
        <v>374</v>
      </c>
      <c r="J1004" s="968">
        <v>374</v>
      </c>
      <c r="K1004" s="959">
        <v>15</v>
      </c>
      <c r="L1004" s="971">
        <v>1590292.74</v>
      </c>
      <c r="M1004" s="985">
        <v>0</v>
      </c>
      <c r="N1004" s="985">
        <v>0</v>
      </c>
      <c r="O1004" s="985">
        <v>1590292.74</v>
      </c>
      <c r="P1004" s="963">
        <v>0</v>
      </c>
      <c r="Q1004" s="985">
        <v>0</v>
      </c>
      <c r="R1004" s="964">
        <v>2022</v>
      </c>
      <c r="S1004" s="964">
        <v>2023</v>
      </c>
      <c r="U1004" s="967"/>
    </row>
    <row r="1005" spans="1:21" ht="33" customHeight="1">
      <c r="A1005" s="1163" t="s">
        <v>1058</v>
      </c>
      <c r="B1005" s="1164"/>
      <c r="C1005" s="1164"/>
      <c r="D1005" s="1164"/>
      <c r="E1005" s="1164"/>
      <c r="F1005" s="1164"/>
      <c r="G1005" s="1165"/>
      <c r="H1005" s="968">
        <f t="shared" ref="H1005:Q1005" si="160">SUM(H1006:H1010)</f>
        <v>7034.2</v>
      </c>
      <c r="I1005" s="968">
        <f t="shared" si="160"/>
        <v>6399</v>
      </c>
      <c r="J1005" s="968">
        <f t="shared" si="160"/>
        <v>6345.3</v>
      </c>
      <c r="K1005" s="958">
        <f t="shared" si="160"/>
        <v>267</v>
      </c>
      <c r="L1005" s="971">
        <f>SUM(L1006:L1010)</f>
        <v>21394908.216608003</v>
      </c>
      <c r="M1005" s="968">
        <f t="shared" si="160"/>
        <v>0</v>
      </c>
      <c r="N1005" s="968">
        <f t="shared" si="160"/>
        <v>0</v>
      </c>
      <c r="O1005" s="968">
        <f t="shared" si="160"/>
        <v>21394908.216608003</v>
      </c>
      <c r="P1005" s="968">
        <f t="shared" si="160"/>
        <v>0</v>
      </c>
      <c r="Q1005" s="968">
        <f t="shared" si="160"/>
        <v>0</v>
      </c>
      <c r="R1005" s="968" t="s">
        <v>40</v>
      </c>
      <c r="S1005" s="968" t="s">
        <v>40</v>
      </c>
      <c r="U1005" s="967"/>
    </row>
    <row r="1006" spans="1:21" ht="41.45" customHeight="1">
      <c r="A1006" s="956">
        <v>454</v>
      </c>
      <c r="B1006" s="995" t="s">
        <v>1214</v>
      </c>
      <c r="C1006" s="964">
        <v>1992</v>
      </c>
      <c r="D1006" s="959"/>
      <c r="E1006" s="956" t="s">
        <v>219</v>
      </c>
      <c r="F1006" s="964">
        <v>5</v>
      </c>
      <c r="G1006" s="964">
        <v>4</v>
      </c>
      <c r="H1006" s="963">
        <v>3349.7</v>
      </c>
      <c r="I1006" s="963">
        <v>3054.1</v>
      </c>
      <c r="J1006" s="963">
        <v>3000.4</v>
      </c>
      <c r="K1006" s="964">
        <v>125</v>
      </c>
      <c r="L1006" s="971">
        <v>6207927.9223480001</v>
      </c>
      <c r="M1006" s="985">
        <v>0</v>
      </c>
      <c r="N1006" s="985">
        <v>0</v>
      </c>
      <c r="O1006" s="985">
        <v>6207927.9223480001</v>
      </c>
      <c r="P1006" s="963">
        <f>Q1006</f>
        <v>0</v>
      </c>
      <c r="Q1006" s="985">
        <v>0</v>
      </c>
      <c r="R1006" s="964">
        <v>2019</v>
      </c>
      <c r="S1006" s="1006" t="s">
        <v>1387</v>
      </c>
      <c r="U1006" s="967"/>
    </row>
    <row r="1007" spans="1:21" ht="41.45" customHeight="1">
      <c r="A1007" s="956">
        <v>455</v>
      </c>
      <c r="B1007" s="995" t="s">
        <v>1132</v>
      </c>
      <c r="C1007" s="959">
        <v>1983</v>
      </c>
      <c r="D1007" s="996"/>
      <c r="E1007" s="956" t="s">
        <v>219</v>
      </c>
      <c r="F1007" s="964">
        <v>5</v>
      </c>
      <c r="G1007" s="964">
        <v>2</v>
      </c>
      <c r="H1007" s="963">
        <v>1649.5</v>
      </c>
      <c r="I1007" s="963">
        <v>1512.2</v>
      </c>
      <c r="J1007" s="963">
        <v>1512.2</v>
      </c>
      <c r="K1007" s="964">
        <v>65</v>
      </c>
      <c r="L1007" s="971">
        <v>3126371.66176</v>
      </c>
      <c r="M1007" s="985">
        <v>0</v>
      </c>
      <c r="N1007" s="985">
        <v>0</v>
      </c>
      <c r="O1007" s="985">
        <v>3126371.66176</v>
      </c>
      <c r="P1007" s="963">
        <f>Q1007</f>
        <v>0</v>
      </c>
      <c r="Q1007" s="985">
        <v>0</v>
      </c>
      <c r="R1007" s="964">
        <v>2019</v>
      </c>
      <c r="S1007" s="1006" t="s">
        <v>1387</v>
      </c>
      <c r="U1007" s="967"/>
    </row>
    <row r="1008" spans="1:21" ht="41.45" customHeight="1">
      <c r="A1008" s="956">
        <v>456</v>
      </c>
      <c r="B1008" s="995" t="s">
        <v>1215</v>
      </c>
      <c r="C1008" s="964">
        <v>1977</v>
      </c>
      <c r="D1008" s="959"/>
      <c r="E1008" s="956" t="s">
        <v>218</v>
      </c>
      <c r="F1008" s="964">
        <v>2</v>
      </c>
      <c r="G1008" s="964">
        <v>2</v>
      </c>
      <c r="H1008" s="963">
        <v>829.3</v>
      </c>
      <c r="I1008" s="963">
        <v>753</v>
      </c>
      <c r="J1008" s="963">
        <v>753</v>
      </c>
      <c r="K1008" s="964">
        <v>27</v>
      </c>
      <c r="L1008" s="971">
        <v>6433203.4983999999</v>
      </c>
      <c r="M1008" s="985">
        <v>0</v>
      </c>
      <c r="N1008" s="985">
        <v>0</v>
      </c>
      <c r="O1008" s="985">
        <f>L1008</f>
        <v>6433203.4983999999</v>
      </c>
      <c r="P1008" s="963">
        <v>0</v>
      </c>
      <c r="Q1008" s="985">
        <v>0</v>
      </c>
      <c r="R1008" s="964">
        <v>2019</v>
      </c>
      <c r="S1008" s="1006" t="s">
        <v>1387</v>
      </c>
      <c r="U1008" s="967"/>
    </row>
    <row r="1009" spans="1:21" ht="41.45" customHeight="1">
      <c r="A1009" s="956">
        <v>457</v>
      </c>
      <c r="B1009" s="995" t="s">
        <v>1095</v>
      </c>
      <c r="C1009" s="959">
        <v>1965</v>
      </c>
      <c r="D1009" s="996"/>
      <c r="E1009" s="956" t="s">
        <v>218</v>
      </c>
      <c r="F1009" s="964">
        <v>2</v>
      </c>
      <c r="G1009" s="964">
        <v>3</v>
      </c>
      <c r="H1009" s="963">
        <v>577.5</v>
      </c>
      <c r="I1009" s="963">
        <v>501.3</v>
      </c>
      <c r="J1009" s="963">
        <v>501.3</v>
      </c>
      <c r="K1009" s="964">
        <v>26</v>
      </c>
      <c r="L1009" s="971">
        <v>3323689.62</v>
      </c>
      <c r="M1009" s="985">
        <v>0</v>
      </c>
      <c r="N1009" s="985">
        <v>0</v>
      </c>
      <c r="O1009" s="985">
        <v>3323689.62</v>
      </c>
      <c r="P1009" s="963">
        <v>0</v>
      </c>
      <c r="Q1009" s="985">
        <v>0</v>
      </c>
      <c r="R1009" s="964">
        <v>2021</v>
      </c>
      <c r="S1009" s="964">
        <v>2023</v>
      </c>
      <c r="U1009" s="967"/>
    </row>
    <row r="1010" spans="1:21" ht="41.45" customHeight="1">
      <c r="A1010" s="956">
        <v>458</v>
      </c>
      <c r="B1010" s="995" t="s">
        <v>1201</v>
      </c>
      <c r="C1010" s="959">
        <v>1980</v>
      </c>
      <c r="D1010" s="996"/>
      <c r="E1010" s="956" t="s">
        <v>218</v>
      </c>
      <c r="F1010" s="964">
        <v>2</v>
      </c>
      <c r="G1010" s="964">
        <v>2</v>
      </c>
      <c r="H1010" s="963">
        <v>628.20000000000005</v>
      </c>
      <c r="I1010" s="963">
        <v>578.4</v>
      </c>
      <c r="J1010" s="963">
        <v>578.4</v>
      </c>
      <c r="K1010" s="964">
        <v>24</v>
      </c>
      <c r="L1010" s="971">
        <v>2303715.5140999998</v>
      </c>
      <c r="M1010" s="985">
        <v>0</v>
      </c>
      <c r="N1010" s="985">
        <v>0</v>
      </c>
      <c r="O1010" s="985">
        <v>2303715.5140999998</v>
      </c>
      <c r="P1010" s="963">
        <v>0</v>
      </c>
      <c r="Q1010" s="985">
        <v>0</v>
      </c>
      <c r="R1010" s="964">
        <v>2021</v>
      </c>
      <c r="S1010" s="1006" t="s">
        <v>1387</v>
      </c>
      <c r="U1010" s="967"/>
    </row>
    <row r="1011" spans="1:21" ht="42" customHeight="1">
      <c r="A1011" s="1166" t="s">
        <v>1176</v>
      </c>
      <c r="B1011" s="1167"/>
      <c r="C1011" s="1167"/>
      <c r="D1011" s="1167"/>
      <c r="E1011" s="1167"/>
      <c r="F1011" s="1167"/>
      <c r="G1011" s="1168"/>
      <c r="H1011" s="963">
        <f>SUM(H1012:H1013)</f>
        <v>1366.5</v>
      </c>
      <c r="I1011" s="963">
        <f t="shared" ref="I1011:Q1011" si="161">SUM(I1012:I1013)</f>
        <v>1269.5</v>
      </c>
      <c r="J1011" s="963">
        <f t="shared" si="161"/>
        <v>1087.5</v>
      </c>
      <c r="K1011" s="977">
        <f t="shared" si="161"/>
        <v>56</v>
      </c>
      <c r="L1011" s="965">
        <f t="shared" si="161"/>
        <v>4992786.5399999991</v>
      </c>
      <c r="M1011" s="963">
        <f t="shared" si="161"/>
        <v>0</v>
      </c>
      <c r="N1011" s="963">
        <f t="shared" si="161"/>
        <v>0</v>
      </c>
      <c r="O1011" s="963">
        <f t="shared" si="161"/>
        <v>4992786.5399999991</v>
      </c>
      <c r="P1011" s="963">
        <f t="shared" si="161"/>
        <v>0</v>
      </c>
      <c r="Q1011" s="963">
        <f t="shared" si="161"/>
        <v>0</v>
      </c>
      <c r="R1011" s="968" t="s">
        <v>40</v>
      </c>
      <c r="S1011" s="968" t="s">
        <v>40</v>
      </c>
      <c r="U1011" s="967"/>
    </row>
    <row r="1012" spans="1:21" ht="42" customHeight="1">
      <c r="A1012" s="956">
        <v>459</v>
      </c>
      <c r="B1012" s="1055" t="s">
        <v>1080</v>
      </c>
      <c r="C1012" s="957">
        <v>1973</v>
      </c>
      <c r="D1012" s="1056"/>
      <c r="E1012" s="956" t="s">
        <v>219</v>
      </c>
      <c r="F1012" s="957">
        <v>2</v>
      </c>
      <c r="G1012" s="957">
        <v>2</v>
      </c>
      <c r="H1012" s="963">
        <v>583.29999999999995</v>
      </c>
      <c r="I1012" s="963">
        <v>534.70000000000005</v>
      </c>
      <c r="J1012" s="963">
        <v>534.70000000000005</v>
      </c>
      <c r="K1012" s="964">
        <v>24</v>
      </c>
      <c r="L1012" s="965">
        <v>2881052.53</v>
      </c>
      <c r="M1012" s="963"/>
      <c r="N1012" s="963"/>
      <c r="O1012" s="963">
        <v>2881052.53</v>
      </c>
      <c r="P1012" s="963">
        <v>0</v>
      </c>
      <c r="Q1012" s="963">
        <v>0</v>
      </c>
      <c r="R1012" s="964">
        <v>2022</v>
      </c>
      <c r="S1012" s="964">
        <v>2023</v>
      </c>
      <c r="U1012" s="967"/>
    </row>
    <row r="1013" spans="1:21" ht="39.6" customHeight="1">
      <c r="A1013" s="956">
        <v>460</v>
      </c>
      <c r="B1013" s="995" t="s">
        <v>1216</v>
      </c>
      <c r="C1013" s="959">
        <v>1978</v>
      </c>
      <c r="D1013" s="996"/>
      <c r="E1013" s="956" t="s">
        <v>218</v>
      </c>
      <c r="F1013" s="964">
        <v>2</v>
      </c>
      <c r="G1013" s="964">
        <v>2</v>
      </c>
      <c r="H1013" s="963">
        <v>783.2</v>
      </c>
      <c r="I1013" s="963">
        <v>734.8</v>
      </c>
      <c r="J1013" s="963">
        <v>552.79999999999995</v>
      </c>
      <c r="K1013" s="964">
        <v>32</v>
      </c>
      <c r="L1013" s="971">
        <v>2111734.0099999998</v>
      </c>
      <c r="M1013" s="985">
        <v>0</v>
      </c>
      <c r="N1013" s="985">
        <v>0</v>
      </c>
      <c r="O1013" s="985">
        <v>2111734.0099999998</v>
      </c>
      <c r="P1013" s="963">
        <f>Q1013</f>
        <v>0</v>
      </c>
      <c r="Q1013" s="985">
        <v>0</v>
      </c>
      <c r="R1013" s="964">
        <v>2019</v>
      </c>
      <c r="S1013" s="1006" t="s">
        <v>1387</v>
      </c>
      <c r="U1013" s="967"/>
    </row>
    <row r="1014" spans="1:21" ht="46.5" customHeight="1">
      <c r="A1014" s="1166" t="s">
        <v>1068</v>
      </c>
      <c r="B1014" s="1167"/>
      <c r="C1014" s="1167"/>
      <c r="D1014" s="1167"/>
      <c r="E1014" s="1167"/>
      <c r="F1014" s="1167"/>
      <c r="G1014" s="1168"/>
      <c r="H1014" s="963">
        <f>SUM(H1015:H1016)</f>
        <v>1827.8000000000002</v>
      </c>
      <c r="I1014" s="963">
        <f t="shared" ref="I1014:Q1014" si="162">SUM(I1015:I1016)</f>
        <v>1827.8000000000002</v>
      </c>
      <c r="J1014" s="963">
        <f t="shared" si="162"/>
        <v>1279.5999999999999</v>
      </c>
      <c r="K1014" s="963">
        <f t="shared" si="162"/>
        <v>48</v>
      </c>
      <c r="L1014" s="965">
        <f t="shared" si="162"/>
        <v>4481758.41</v>
      </c>
      <c r="M1014" s="963">
        <f t="shared" si="162"/>
        <v>0</v>
      </c>
      <c r="N1014" s="963">
        <f t="shared" si="162"/>
        <v>0</v>
      </c>
      <c r="O1014" s="963">
        <f t="shared" si="162"/>
        <v>4481758.41</v>
      </c>
      <c r="P1014" s="963">
        <f t="shared" si="162"/>
        <v>0</v>
      </c>
      <c r="Q1014" s="963">
        <f t="shared" si="162"/>
        <v>0</v>
      </c>
      <c r="R1014" s="968" t="s">
        <v>40</v>
      </c>
      <c r="S1014" s="968" t="s">
        <v>40</v>
      </c>
      <c r="U1014" s="967"/>
    </row>
    <row r="1015" spans="1:21" ht="46.5" customHeight="1">
      <c r="A1015" s="956">
        <v>461</v>
      </c>
      <c r="B1015" s="995" t="s">
        <v>1279</v>
      </c>
      <c r="C1015" s="959">
        <v>1969</v>
      </c>
      <c r="D1015" s="996"/>
      <c r="E1015" s="956" t="s">
        <v>218</v>
      </c>
      <c r="F1015" s="964">
        <v>2</v>
      </c>
      <c r="G1015" s="964">
        <v>2</v>
      </c>
      <c r="H1015" s="963">
        <v>454.6</v>
      </c>
      <c r="I1015" s="963">
        <v>454.6</v>
      </c>
      <c r="J1015" s="963">
        <v>454.6</v>
      </c>
      <c r="K1015" s="964">
        <v>14</v>
      </c>
      <c r="L1015" s="971">
        <v>2037651.41</v>
      </c>
      <c r="M1015" s="985">
        <v>0</v>
      </c>
      <c r="N1015" s="985">
        <v>0</v>
      </c>
      <c r="O1015" s="985">
        <v>2037651.41</v>
      </c>
      <c r="P1015" s="963">
        <v>0</v>
      </c>
      <c r="Q1015" s="985">
        <v>0</v>
      </c>
      <c r="R1015" s="964">
        <v>2022</v>
      </c>
      <c r="S1015" s="964">
        <v>2023</v>
      </c>
      <c r="U1015" s="967"/>
    </row>
    <row r="1016" spans="1:21" ht="50.25" customHeight="1">
      <c r="A1016" s="956">
        <v>462</v>
      </c>
      <c r="B1016" s="995" t="s">
        <v>1253</v>
      </c>
      <c r="C1016" s="959">
        <v>1982</v>
      </c>
      <c r="D1016" s="996"/>
      <c r="E1016" s="956" t="s">
        <v>220</v>
      </c>
      <c r="F1016" s="964">
        <v>3</v>
      </c>
      <c r="G1016" s="964">
        <v>3</v>
      </c>
      <c r="H1016" s="963">
        <v>1373.2</v>
      </c>
      <c r="I1016" s="963">
        <v>1373.2</v>
      </c>
      <c r="J1016" s="963">
        <v>825</v>
      </c>
      <c r="K1016" s="964">
        <v>34</v>
      </c>
      <c r="L1016" s="971">
        <v>2444107</v>
      </c>
      <c r="M1016" s="985">
        <v>0</v>
      </c>
      <c r="N1016" s="985">
        <v>0</v>
      </c>
      <c r="O1016" s="985">
        <v>2444107</v>
      </c>
      <c r="P1016" s="963">
        <v>0</v>
      </c>
      <c r="Q1016" s="985">
        <v>0</v>
      </c>
      <c r="R1016" s="964">
        <v>2022</v>
      </c>
      <c r="S1016" s="964">
        <v>2023</v>
      </c>
      <c r="U1016" s="967"/>
    </row>
    <row r="1017" spans="1:21" ht="45" customHeight="1">
      <c r="A1017" s="1166" t="s">
        <v>1187</v>
      </c>
      <c r="B1017" s="1167"/>
      <c r="C1017" s="1167"/>
      <c r="D1017" s="1167"/>
      <c r="E1017" s="1167"/>
      <c r="F1017" s="1167"/>
      <c r="G1017" s="1168"/>
      <c r="H1017" s="968">
        <f>SUM(H1018:H1030)</f>
        <v>10338.6</v>
      </c>
      <c r="I1017" s="968">
        <f t="shared" ref="I1017:Q1017" si="163">SUM(I1018:I1030)</f>
        <v>8048.5000000000009</v>
      </c>
      <c r="J1017" s="968">
        <f t="shared" si="163"/>
        <v>8049.5000000000009</v>
      </c>
      <c r="K1017" s="958">
        <f t="shared" si="163"/>
        <v>419</v>
      </c>
      <c r="L1017" s="971">
        <f t="shared" si="163"/>
        <v>35375596.019999996</v>
      </c>
      <c r="M1017" s="968">
        <f t="shared" si="163"/>
        <v>0</v>
      </c>
      <c r="N1017" s="968">
        <f t="shared" si="163"/>
        <v>0</v>
      </c>
      <c r="O1017" s="968">
        <f t="shared" si="163"/>
        <v>35375596.019999996</v>
      </c>
      <c r="P1017" s="968">
        <f t="shared" si="163"/>
        <v>0</v>
      </c>
      <c r="Q1017" s="968">
        <f t="shared" si="163"/>
        <v>0</v>
      </c>
      <c r="R1017" s="968" t="s">
        <v>40</v>
      </c>
      <c r="S1017" s="968" t="s">
        <v>40</v>
      </c>
      <c r="U1017" s="967"/>
    </row>
    <row r="1018" spans="1:21" ht="37.5">
      <c r="A1018" s="956">
        <v>463</v>
      </c>
      <c r="B1018" s="984" t="s">
        <v>1246</v>
      </c>
      <c r="C1018" s="957">
        <v>1917</v>
      </c>
      <c r="D1018" s="957"/>
      <c r="E1018" s="956" t="s">
        <v>218</v>
      </c>
      <c r="F1018" s="957">
        <v>1</v>
      </c>
      <c r="G1018" s="957">
        <v>3</v>
      </c>
      <c r="H1018" s="968">
        <v>657.7</v>
      </c>
      <c r="I1018" s="968">
        <v>438.5</v>
      </c>
      <c r="J1018" s="968">
        <v>439</v>
      </c>
      <c r="K1018" s="959">
        <v>38</v>
      </c>
      <c r="L1018" s="971">
        <v>3257328.82</v>
      </c>
      <c r="M1018" s="985">
        <v>0</v>
      </c>
      <c r="N1018" s="985">
        <v>0</v>
      </c>
      <c r="O1018" s="985">
        <f>L1018</f>
        <v>3257328.82</v>
      </c>
      <c r="P1018" s="963">
        <f>Q1018</f>
        <v>0</v>
      </c>
      <c r="Q1018" s="985">
        <v>0</v>
      </c>
      <c r="R1018" s="964">
        <v>2019</v>
      </c>
      <c r="S1018" s="1006" t="s">
        <v>1387</v>
      </c>
      <c r="U1018" s="967"/>
    </row>
    <row r="1019" spans="1:21" ht="37.5">
      <c r="A1019" s="956">
        <v>464</v>
      </c>
      <c r="B1019" s="984" t="s">
        <v>1247</v>
      </c>
      <c r="C1019" s="957" t="s">
        <v>190</v>
      </c>
      <c r="D1019" s="957"/>
      <c r="E1019" s="956" t="s">
        <v>218</v>
      </c>
      <c r="F1019" s="957">
        <v>2</v>
      </c>
      <c r="G1019" s="957">
        <v>1</v>
      </c>
      <c r="H1019" s="968">
        <v>241</v>
      </c>
      <c r="I1019" s="968">
        <v>214.8</v>
      </c>
      <c r="J1019" s="968">
        <v>214.8</v>
      </c>
      <c r="K1019" s="959">
        <v>15</v>
      </c>
      <c r="L1019" s="971">
        <v>1206575.99</v>
      </c>
      <c r="M1019" s="985">
        <v>0</v>
      </c>
      <c r="N1019" s="985">
        <v>0</v>
      </c>
      <c r="O1019" s="985">
        <f>L1019</f>
        <v>1206575.99</v>
      </c>
      <c r="P1019" s="963">
        <v>0</v>
      </c>
      <c r="Q1019" s="985">
        <v>0</v>
      </c>
      <c r="R1019" s="964">
        <v>2019</v>
      </c>
      <c r="S1019" s="1006" t="s">
        <v>1387</v>
      </c>
      <c r="U1019" s="967"/>
    </row>
    <row r="1020" spans="1:21" ht="29.25" customHeight="1">
      <c r="A1020" s="956">
        <v>465</v>
      </c>
      <c r="B1020" s="984" t="s">
        <v>1246</v>
      </c>
      <c r="C1020" s="957">
        <v>1917</v>
      </c>
      <c r="D1020" s="957"/>
      <c r="E1020" s="956" t="s">
        <v>218</v>
      </c>
      <c r="F1020" s="957">
        <v>1</v>
      </c>
      <c r="G1020" s="957">
        <v>3</v>
      </c>
      <c r="H1020" s="968">
        <v>657.7</v>
      </c>
      <c r="I1020" s="968">
        <v>438.5</v>
      </c>
      <c r="J1020" s="968">
        <v>439</v>
      </c>
      <c r="K1020" s="959">
        <v>38</v>
      </c>
      <c r="L1020" s="971">
        <v>2226132.06</v>
      </c>
      <c r="M1020" s="985">
        <v>0</v>
      </c>
      <c r="N1020" s="985">
        <v>0</v>
      </c>
      <c r="O1020" s="985">
        <f>L1020</f>
        <v>2226132.06</v>
      </c>
      <c r="P1020" s="963">
        <v>0</v>
      </c>
      <c r="Q1020" s="985">
        <v>0</v>
      </c>
      <c r="R1020" s="964">
        <v>2020</v>
      </c>
      <c r="S1020" s="1006" t="s">
        <v>1387</v>
      </c>
      <c r="U1020" s="967"/>
    </row>
    <row r="1021" spans="1:21" ht="37.5">
      <c r="A1021" s="956">
        <v>466</v>
      </c>
      <c r="B1021" s="984" t="s">
        <v>1408</v>
      </c>
      <c r="C1021" s="957">
        <v>1964</v>
      </c>
      <c r="D1021" s="957"/>
      <c r="E1021" s="956" t="s">
        <v>218</v>
      </c>
      <c r="F1021" s="957">
        <v>2</v>
      </c>
      <c r="G1021" s="957">
        <v>2</v>
      </c>
      <c r="H1021" s="968">
        <v>671.7</v>
      </c>
      <c r="I1021" s="968">
        <v>620.5</v>
      </c>
      <c r="J1021" s="968">
        <v>620.5</v>
      </c>
      <c r="K1021" s="959">
        <v>22</v>
      </c>
      <c r="L1021" s="971">
        <v>2520600.35</v>
      </c>
      <c r="M1021" s="985">
        <v>0</v>
      </c>
      <c r="N1021" s="985">
        <v>0</v>
      </c>
      <c r="O1021" s="985">
        <v>2520600.35</v>
      </c>
      <c r="P1021" s="963">
        <v>0</v>
      </c>
      <c r="Q1021" s="985">
        <v>0</v>
      </c>
      <c r="R1021" s="964">
        <v>2021</v>
      </c>
      <c r="S1021" s="964">
        <v>2023</v>
      </c>
      <c r="U1021" s="967"/>
    </row>
    <row r="1022" spans="1:21" ht="37.5">
      <c r="A1022" s="956">
        <v>467</v>
      </c>
      <c r="B1022" s="984" t="s">
        <v>1409</v>
      </c>
      <c r="C1022" s="957">
        <v>1958</v>
      </c>
      <c r="D1022" s="957"/>
      <c r="E1022" s="956" t="s">
        <v>218</v>
      </c>
      <c r="F1022" s="957">
        <v>2</v>
      </c>
      <c r="G1022" s="957">
        <v>2</v>
      </c>
      <c r="H1022" s="968">
        <v>732.2</v>
      </c>
      <c r="I1022" s="968">
        <v>673</v>
      </c>
      <c r="J1022" s="968">
        <v>673</v>
      </c>
      <c r="K1022" s="959">
        <v>28</v>
      </c>
      <c r="L1022" s="971">
        <v>3921488.08</v>
      </c>
      <c r="M1022" s="985">
        <v>0</v>
      </c>
      <c r="N1022" s="985">
        <v>0</v>
      </c>
      <c r="O1022" s="985">
        <v>3921488.08</v>
      </c>
      <c r="P1022" s="963">
        <v>0</v>
      </c>
      <c r="Q1022" s="985">
        <v>0</v>
      </c>
      <c r="R1022" s="964">
        <v>2021</v>
      </c>
      <c r="S1022" s="964">
        <v>2023</v>
      </c>
      <c r="U1022" s="967"/>
    </row>
    <row r="1023" spans="1:21" ht="37.5">
      <c r="A1023" s="956">
        <v>468</v>
      </c>
      <c r="B1023" s="984" t="s">
        <v>1251</v>
      </c>
      <c r="C1023" s="957">
        <v>1964</v>
      </c>
      <c r="D1023" s="957"/>
      <c r="E1023" s="956" t="s">
        <v>218</v>
      </c>
      <c r="F1023" s="957">
        <v>2</v>
      </c>
      <c r="G1023" s="957">
        <v>1</v>
      </c>
      <c r="H1023" s="968">
        <v>504.2</v>
      </c>
      <c r="I1023" s="968">
        <v>445.8</v>
      </c>
      <c r="J1023" s="968">
        <v>445.8</v>
      </c>
      <c r="K1023" s="959">
        <v>17</v>
      </c>
      <c r="L1023" s="971">
        <v>1499379</v>
      </c>
      <c r="M1023" s="985">
        <v>0</v>
      </c>
      <c r="N1023" s="985">
        <v>0</v>
      </c>
      <c r="O1023" s="985">
        <v>1499379</v>
      </c>
      <c r="P1023" s="963">
        <v>0</v>
      </c>
      <c r="Q1023" s="985">
        <v>0</v>
      </c>
      <c r="R1023" s="964">
        <v>2021</v>
      </c>
      <c r="S1023" s="1006" t="s">
        <v>1387</v>
      </c>
      <c r="U1023" s="967"/>
    </row>
    <row r="1024" spans="1:21" ht="37.5">
      <c r="A1024" s="956">
        <v>469</v>
      </c>
      <c r="B1024" s="984" t="s">
        <v>1410</v>
      </c>
      <c r="C1024" s="957">
        <v>1968</v>
      </c>
      <c r="D1024" s="957"/>
      <c r="E1024" s="956" t="s">
        <v>218</v>
      </c>
      <c r="F1024" s="957">
        <v>2</v>
      </c>
      <c r="G1024" s="957">
        <v>2</v>
      </c>
      <c r="H1024" s="968">
        <v>790.3</v>
      </c>
      <c r="I1024" s="968">
        <v>690.6</v>
      </c>
      <c r="J1024" s="968">
        <v>690.6</v>
      </c>
      <c r="K1024" s="959">
        <v>21</v>
      </c>
      <c r="L1024" s="971">
        <v>2451843.83</v>
      </c>
      <c r="M1024" s="985">
        <v>0</v>
      </c>
      <c r="N1024" s="985">
        <v>0</v>
      </c>
      <c r="O1024" s="985">
        <v>2451843.83</v>
      </c>
      <c r="P1024" s="963">
        <v>0</v>
      </c>
      <c r="Q1024" s="985">
        <v>0</v>
      </c>
      <c r="R1024" s="964">
        <v>2021</v>
      </c>
      <c r="S1024" s="964">
        <v>2023</v>
      </c>
      <c r="U1024" s="967"/>
    </row>
    <row r="1025" spans="1:21" ht="37.5">
      <c r="A1025" s="956">
        <v>470</v>
      </c>
      <c r="B1025" s="984" t="s">
        <v>1411</v>
      </c>
      <c r="C1025" s="957">
        <v>1972</v>
      </c>
      <c r="D1025" s="957"/>
      <c r="E1025" s="956" t="s">
        <v>218</v>
      </c>
      <c r="F1025" s="957">
        <v>2</v>
      </c>
      <c r="G1025" s="957">
        <v>1</v>
      </c>
      <c r="H1025" s="968">
        <v>926</v>
      </c>
      <c r="I1025" s="968">
        <v>788.4</v>
      </c>
      <c r="J1025" s="968">
        <v>788.4</v>
      </c>
      <c r="K1025" s="959">
        <v>41</v>
      </c>
      <c r="L1025" s="971">
        <v>1774387.33</v>
      </c>
      <c r="M1025" s="985">
        <v>0</v>
      </c>
      <c r="N1025" s="985">
        <v>0</v>
      </c>
      <c r="O1025" s="985">
        <v>1774387.33</v>
      </c>
      <c r="P1025" s="963">
        <v>0</v>
      </c>
      <c r="Q1025" s="985">
        <v>0</v>
      </c>
      <c r="R1025" s="964">
        <v>2021</v>
      </c>
      <c r="S1025" s="964">
        <v>2023</v>
      </c>
      <c r="U1025" s="967"/>
    </row>
    <row r="1026" spans="1:21" ht="37.5">
      <c r="A1026" s="956">
        <v>471</v>
      </c>
      <c r="B1026" s="984" t="s">
        <v>1243</v>
      </c>
      <c r="C1026" s="957">
        <v>1917</v>
      </c>
      <c r="D1026" s="957"/>
      <c r="E1026" s="956" t="s">
        <v>218</v>
      </c>
      <c r="F1026" s="957">
        <v>1</v>
      </c>
      <c r="G1026" s="957">
        <v>3</v>
      </c>
      <c r="H1026" s="968">
        <v>657.7</v>
      </c>
      <c r="I1026" s="968">
        <v>438.5</v>
      </c>
      <c r="J1026" s="968">
        <v>438.5</v>
      </c>
      <c r="K1026" s="959">
        <v>38</v>
      </c>
      <c r="L1026" s="971">
        <v>5947609.5599999996</v>
      </c>
      <c r="M1026" s="985">
        <v>0</v>
      </c>
      <c r="N1026" s="985">
        <v>0</v>
      </c>
      <c r="O1026" s="985">
        <v>5947609.5599999996</v>
      </c>
      <c r="P1026" s="963">
        <v>0</v>
      </c>
      <c r="Q1026" s="985">
        <v>0</v>
      </c>
      <c r="R1026" s="964">
        <v>2022</v>
      </c>
      <c r="S1026" s="964">
        <v>2023</v>
      </c>
      <c r="U1026" s="967"/>
    </row>
    <row r="1027" spans="1:21" ht="37.5">
      <c r="A1027" s="956">
        <v>472</v>
      </c>
      <c r="B1027" s="986" t="s">
        <v>1811</v>
      </c>
      <c r="C1027" s="957">
        <v>1984</v>
      </c>
      <c r="D1027" s="984"/>
      <c r="E1027" s="956" t="s">
        <v>218</v>
      </c>
      <c r="F1027" s="957">
        <v>3</v>
      </c>
      <c r="G1027" s="957">
        <v>2</v>
      </c>
      <c r="H1027" s="963">
        <v>1292.3</v>
      </c>
      <c r="I1027" s="968">
        <v>788.8</v>
      </c>
      <c r="J1027" s="968">
        <v>788.8</v>
      </c>
      <c r="K1027" s="959">
        <v>39</v>
      </c>
      <c r="L1027" s="971">
        <v>4124758</v>
      </c>
      <c r="M1027" s="968">
        <v>0</v>
      </c>
      <c r="N1027" s="968">
        <v>0</v>
      </c>
      <c r="O1027" s="968">
        <v>4124758</v>
      </c>
      <c r="P1027" s="968">
        <v>0</v>
      </c>
      <c r="Q1027" s="968">
        <v>0</v>
      </c>
      <c r="R1027" s="957">
        <v>2020</v>
      </c>
      <c r="S1027" s="1006" t="s">
        <v>1387</v>
      </c>
      <c r="U1027" s="967"/>
    </row>
    <row r="1028" spans="1:21" ht="37.5">
      <c r="A1028" s="956">
        <v>473</v>
      </c>
      <c r="B1028" s="986" t="s">
        <v>1812</v>
      </c>
      <c r="C1028" s="957">
        <v>1984</v>
      </c>
      <c r="D1028" s="984"/>
      <c r="E1028" s="956" t="s">
        <v>218</v>
      </c>
      <c r="F1028" s="957">
        <v>3</v>
      </c>
      <c r="G1028" s="957">
        <v>2</v>
      </c>
      <c r="H1028" s="963">
        <v>1292.3</v>
      </c>
      <c r="I1028" s="968">
        <v>759</v>
      </c>
      <c r="J1028" s="968">
        <v>759</v>
      </c>
      <c r="K1028" s="959">
        <v>30</v>
      </c>
      <c r="L1028" s="971">
        <v>4124758</v>
      </c>
      <c r="M1028" s="968">
        <v>0</v>
      </c>
      <c r="N1028" s="968">
        <v>0</v>
      </c>
      <c r="O1028" s="968">
        <v>4124758</v>
      </c>
      <c r="P1028" s="968">
        <v>0</v>
      </c>
      <c r="Q1028" s="968">
        <v>0</v>
      </c>
      <c r="R1028" s="957">
        <v>2020</v>
      </c>
      <c r="S1028" s="1006" t="s">
        <v>1387</v>
      </c>
      <c r="U1028" s="967"/>
    </row>
    <row r="1029" spans="1:21" ht="36.75" customHeight="1">
      <c r="A1029" s="956">
        <v>474</v>
      </c>
      <c r="B1029" s="986" t="s">
        <v>1813</v>
      </c>
      <c r="C1029" s="957">
        <v>1986</v>
      </c>
      <c r="D1029" s="984"/>
      <c r="E1029" s="956" t="s">
        <v>219</v>
      </c>
      <c r="F1029" s="957">
        <v>2</v>
      </c>
      <c r="G1029" s="957">
        <v>3</v>
      </c>
      <c r="H1029" s="963">
        <v>955.3</v>
      </c>
      <c r="I1029" s="968">
        <v>870.5</v>
      </c>
      <c r="J1029" s="968">
        <v>870.5</v>
      </c>
      <c r="K1029" s="959">
        <v>51</v>
      </c>
      <c r="L1029" s="971">
        <v>1157140</v>
      </c>
      <c r="M1029" s="968">
        <v>0</v>
      </c>
      <c r="N1029" s="968">
        <v>0</v>
      </c>
      <c r="O1029" s="968">
        <v>1157140</v>
      </c>
      <c r="P1029" s="968">
        <v>0</v>
      </c>
      <c r="Q1029" s="968">
        <v>0</v>
      </c>
      <c r="R1029" s="957">
        <v>2020</v>
      </c>
      <c r="S1029" s="1006" t="s">
        <v>1387</v>
      </c>
      <c r="U1029" s="967"/>
    </row>
    <row r="1030" spans="1:21" ht="33.75" customHeight="1">
      <c r="A1030" s="956">
        <v>475</v>
      </c>
      <c r="B1030" s="986" t="s">
        <v>1814</v>
      </c>
      <c r="C1030" s="957">
        <v>1983</v>
      </c>
      <c r="D1030" s="984"/>
      <c r="E1030" s="956" t="s">
        <v>219</v>
      </c>
      <c r="F1030" s="957">
        <v>2</v>
      </c>
      <c r="G1030" s="957">
        <v>3</v>
      </c>
      <c r="H1030" s="963">
        <v>960.2</v>
      </c>
      <c r="I1030" s="968">
        <v>881.6</v>
      </c>
      <c r="J1030" s="968">
        <v>881.6</v>
      </c>
      <c r="K1030" s="959">
        <v>41</v>
      </c>
      <c r="L1030" s="971">
        <v>1163595</v>
      </c>
      <c r="M1030" s="968">
        <v>0</v>
      </c>
      <c r="N1030" s="968">
        <v>0</v>
      </c>
      <c r="O1030" s="968">
        <v>1163595</v>
      </c>
      <c r="P1030" s="968">
        <v>0</v>
      </c>
      <c r="Q1030" s="968">
        <v>0</v>
      </c>
      <c r="R1030" s="957">
        <v>2020</v>
      </c>
      <c r="S1030" s="1006" t="s">
        <v>1387</v>
      </c>
      <c r="U1030" s="967"/>
    </row>
    <row r="1031" spans="1:21" ht="38.25" customHeight="1">
      <c r="A1031" s="1163" t="s">
        <v>1975</v>
      </c>
      <c r="B1031" s="1164"/>
      <c r="C1031" s="1164"/>
      <c r="D1031" s="1164"/>
      <c r="E1031" s="1164"/>
      <c r="F1031" s="1164"/>
      <c r="G1031" s="1165"/>
      <c r="H1031" s="968">
        <f>SUM(H1032:H1034)</f>
        <v>1417.1</v>
      </c>
      <c r="I1031" s="968">
        <f t="shared" ref="I1031:Q1031" si="164">SUM(I1032:I1034)</f>
        <v>1202</v>
      </c>
      <c r="J1031" s="968">
        <f t="shared" si="164"/>
        <v>1015.7</v>
      </c>
      <c r="K1031" s="958">
        <f t="shared" si="164"/>
        <v>58</v>
      </c>
      <c r="L1031" s="971">
        <f t="shared" si="164"/>
        <v>3395440.0700000003</v>
      </c>
      <c r="M1031" s="968">
        <f t="shared" si="164"/>
        <v>0</v>
      </c>
      <c r="N1031" s="968">
        <f t="shared" si="164"/>
        <v>0</v>
      </c>
      <c r="O1031" s="968">
        <f t="shared" si="164"/>
        <v>3395440.0700000003</v>
      </c>
      <c r="P1031" s="968">
        <f t="shared" si="164"/>
        <v>0</v>
      </c>
      <c r="Q1031" s="968">
        <f t="shared" si="164"/>
        <v>0</v>
      </c>
      <c r="R1031" s="968" t="s">
        <v>40</v>
      </c>
      <c r="S1031" s="968" t="s">
        <v>40</v>
      </c>
      <c r="U1031" s="967"/>
    </row>
    <row r="1032" spans="1:21" ht="41.25" customHeight="1">
      <c r="A1032" s="956">
        <v>476</v>
      </c>
      <c r="B1032" s="984" t="s">
        <v>1402</v>
      </c>
      <c r="C1032" s="957">
        <v>1890</v>
      </c>
      <c r="D1032" s="957">
        <v>1968</v>
      </c>
      <c r="E1032" s="956" t="s">
        <v>221</v>
      </c>
      <c r="F1032" s="957">
        <v>1</v>
      </c>
      <c r="G1032" s="957">
        <v>4</v>
      </c>
      <c r="H1032" s="968">
        <v>145.1</v>
      </c>
      <c r="I1032" s="968">
        <v>145.1</v>
      </c>
      <c r="J1032" s="968">
        <v>145.1</v>
      </c>
      <c r="K1032" s="959">
        <v>5</v>
      </c>
      <c r="L1032" s="971">
        <v>1558743</v>
      </c>
      <c r="M1032" s="985">
        <v>0</v>
      </c>
      <c r="N1032" s="985">
        <v>0</v>
      </c>
      <c r="O1032" s="985">
        <v>1558743</v>
      </c>
      <c r="P1032" s="963">
        <v>0</v>
      </c>
      <c r="Q1032" s="985">
        <v>0</v>
      </c>
      <c r="R1032" s="964">
        <v>2022</v>
      </c>
      <c r="S1032" s="1006" t="s">
        <v>1387</v>
      </c>
      <c r="U1032" s="967"/>
    </row>
    <row r="1033" spans="1:21" ht="48" customHeight="1">
      <c r="A1033" s="956">
        <v>477</v>
      </c>
      <c r="B1033" s="984" t="s">
        <v>1403</v>
      </c>
      <c r="C1033" s="957">
        <v>1978</v>
      </c>
      <c r="D1033" s="957"/>
      <c r="E1033" s="956" t="s">
        <v>218</v>
      </c>
      <c r="F1033" s="957">
        <v>2</v>
      </c>
      <c r="G1033" s="957">
        <v>1</v>
      </c>
      <c r="H1033" s="968">
        <v>596.1</v>
      </c>
      <c r="I1033" s="968">
        <v>430.5</v>
      </c>
      <c r="J1033" s="968">
        <v>326.39999999999998</v>
      </c>
      <c r="K1033" s="959">
        <v>30</v>
      </c>
      <c r="L1033" s="971">
        <v>1355135.03</v>
      </c>
      <c r="M1033" s="985">
        <v>0</v>
      </c>
      <c r="N1033" s="985">
        <v>0</v>
      </c>
      <c r="O1033" s="985">
        <v>1355135.03</v>
      </c>
      <c r="P1033" s="963">
        <v>0</v>
      </c>
      <c r="Q1033" s="985">
        <v>0</v>
      </c>
      <c r="R1033" s="964">
        <v>2022</v>
      </c>
      <c r="S1033" s="964">
        <v>2023</v>
      </c>
      <c r="U1033" s="967"/>
    </row>
    <row r="1034" spans="1:21" ht="48" customHeight="1">
      <c r="A1034" s="956">
        <v>478</v>
      </c>
      <c r="B1034" s="984" t="s">
        <v>642</v>
      </c>
      <c r="C1034" s="957">
        <v>1969</v>
      </c>
      <c r="D1034" s="957"/>
      <c r="E1034" s="956" t="s">
        <v>218</v>
      </c>
      <c r="F1034" s="957">
        <v>2</v>
      </c>
      <c r="G1034" s="957">
        <v>2</v>
      </c>
      <c r="H1034" s="968">
        <v>675.9</v>
      </c>
      <c r="I1034" s="968">
        <v>626.4</v>
      </c>
      <c r="J1034" s="968">
        <v>544.20000000000005</v>
      </c>
      <c r="K1034" s="959">
        <v>23</v>
      </c>
      <c r="L1034" s="971">
        <v>481562.04</v>
      </c>
      <c r="M1034" s="985">
        <v>0</v>
      </c>
      <c r="N1034" s="985">
        <v>0</v>
      </c>
      <c r="O1034" s="985">
        <v>481562.04</v>
      </c>
      <c r="P1034" s="963">
        <v>0</v>
      </c>
      <c r="Q1034" s="985">
        <v>0</v>
      </c>
      <c r="R1034" s="964">
        <v>2022</v>
      </c>
      <c r="S1034" s="1006" t="s">
        <v>1387</v>
      </c>
      <c r="U1034" s="967"/>
    </row>
    <row r="1035" spans="1:21" ht="41.25" customHeight="1">
      <c r="A1035" s="1163" t="s">
        <v>207</v>
      </c>
      <c r="B1035" s="1164"/>
      <c r="C1035" s="1164"/>
      <c r="D1035" s="1164"/>
      <c r="E1035" s="1164"/>
      <c r="F1035" s="1164"/>
      <c r="G1035" s="1165"/>
      <c r="H1035" s="968">
        <f>SUM(H1036:H1042)</f>
        <v>35876.15</v>
      </c>
      <c r="I1035" s="968">
        <f t="shared" ref="I1035:Q1035" si="165">SUM(I1036:I1042)</f>
        <v>29415.83</v>
      </c>
      <c r="J1035" s="968">
        <f t="shared" si="165"/>
        <v>29415.83</v>
      </c>
      <c r="K1035" s="958">
        <f t="shared" si="165"/>
        <v>1364</v>
      </c>
      <c r="L1035" s="971">
        <f t="shared" si="165"/>
        <v>37279404.839999996</v>
      </c>
      <c r="M1035" s="968">
        <f t="shared" si="165"/>
        <v>0</v>
      </c>
      <c r="N1035" s="968">
        <f t="shared" si="165"/>
        <v>0</v>
      </c>
      <c r="O1035" s="968">
        <f t="shared" si="165"/>
        <v>37279404.839999996</v>
      </c>
      <c r="P1035" s="968">
        <f t="shared" si="165"/>
        <v>0</v>
      </c>
      <c r="Q1035" s="968">
        <f t="shared" si="165"/>
        <v>0</v>
      </c>
      <c r="R1035" s="968" t="s">
        <v>40</v>
      </c>
      <c r="S1035" s="968" t="s">
        <v>40</v>
      </c>
      <c r="U1035" s="967"/>
    </row>
    <row r="1036" spans="1:21" ht="33.75" customHeight="1">
      <c r="A1036" s="957">
        <v>479</v>
      </c>
      <c r="B1036" s="984" t="s">
        <v>1109</v>
      </c>
      <c r="C1036" s="957">
        <v>1983</v>
      </c>
      <c r="D1036" s="1057"/>
      <c r="E1036" s="956" t="s">
        <v>219</v>
      </c>
      <c r="F1036" s="957">
        <v>9</v>
      </c>
      <c r="G1036" s="957">
        <v>3</v>
      </c>
      <c r="H1036" s="968">
        <v>7720.75</v>
      </c>
      <c r="I1036" s="968">
        <v>6603.43</v>
      </c>
      <c r="J1036" s="968">
        <v>6603.43</v>
      </c>
      <c r="K1036" s="959">
        <v>320</v>
      </c>
      <c r="L1036" s="971">
        <v>8669520.3100000005</v>
      </c>
      <c r="M1036" s="963">
        <v>0</v>
      </c>
      <c r="N1036" s="968">
        <v>0</v>
      </c>
      <c r="O1036" s="968">
        <v>8669520.3100000005</v>
      </c>
      <c r="P1036" s="963">
        <v>0</v>
      </c>
      <c r="Q1036" s="963">
        <v>0</v>
      </c>
      <c r="R1036" s="964">
        <v>2022</v>
      </c>
      <c r="S1036" s="964">
        <v>2023</v>
      </c>
      <c r="U1036" s="967"/>
    </row>
    <row r="1037" spans="1:21" ht="49.5" customHeight="1">
      <c r="A1037" s="957">
        <v>480</v>
      </c>
      <c r="B1037" s="984" t="s">
        <v>1168</v>
      </c>
      <c r="C1037" s="957">
        <v>1979</v>
      </c>
      <c r="D1037" s="1058">
        <v>0</v>
      </c>
      <c r="E1037" s="956" t="s">
        <v>218</v>
      </c>
      <c r="F1037" s="957">
        <v>9</v>
      </c>
      <c r="G1037" s="957">
        <v>1</v>
      </c>
      <c r="H1037" s="1059">
        <v>5662</v>
      </c>
      <c r="I1037" s="1059">
        <v>4617</v>
      </c>
      <c r="J1037" s="1059">
        <v>4617</v>
      </c>
      <c r="K1037" s="956">
        <v>249</v>
      </c>
      <c r="L1037" s="971">
        <v>2889840.1</v>
      </c>
      <c r="M1037" s="963">
        <v>0</v>
      </c>
      <c r="N1037" s="968">
        <v>0</v>
      </c>
      <c r="O1037" s="1059">
        <v>2889840.1</v>
      </c>
      <c r="P1037" s="963">
        <v>0</v>
      </c>
      <c r="Q1037" s="963">
        <v>0</v>
      </c>
      <c r="R1037" s="964">
        <v>2022</v>
      </c>
      <c r="S1037" s="964">
        <v>2023</v>
      </c>
      <c r="U1037" s="967"/>
    </row>
    <row r="1038" spans="1:21" ht="47.25" customHeight="1">
      <c r="A1038" s="957">
        <v>481</v>
      </c>
      <c r="B1038" s="984" t="s">
        <v>1169</v>
      </c>
      <c r="C1038" s="957">
        <v>1981</v>
      </c>
      <c r="D1038" s="1058">
        <v>0</v>
      </c>
      <c r="E1038" s="956" t="s">
        <v>219</v>
      </c>
      <c r="F1038" s="957">
        <v>9</v>
      </c>
      <c r="G1038" s="957">
        <v>1</v>
      </c>
      <c r="H1038" s="1059">
        <v>2573.6</v>
      </c>
      <c r="I1038" s="1059">
        <v>2206.8000000000002</v>
      </c>
      <c r="J1038" s="1059">
        <v>2206.8000000000002</v>
      </c>
      <c r="K1038" s="956">
        <v>90</v>
      </c>
      <c r="L1038" s="971">
        <v>2889840.1</v>
      </c>
      <c r="M1038" s="963">
        <v>0</v>
      </c>
      <c r="N1038" s="968">
        <v>0</v>
      </c>
      <c r="O1038" s="1059">
        <v>2889840.1</v>
      </c>
      <c r="P1038" s="963">
        <v>0</v>
      </c>
      <c r="Q1038" s="963">
        <v>0</v>
      </c>
      <c r="R1038" s="964">
        <v>2022</v>
      </c>
      <c r="S1038" s="964">
        <v>2023</v>
      </c>
      <c r="U1038" s="967"/>
    </row>
    <row r="1039" spans="1:21" ht="44.25" customHeight="1">
      <c r="A1039" s="957">
        <v>482</v>
      </c>
      <c r="B1039" s="984" t="s">
        <v>517</v>
      </c>
      <c r="C1039" s="957">
        <v>1983</v>
      </c>
      <c r="D1039" s="1058">
        <v>0</v>
      </c>
      <c r="E1039" s="956" t="s">
        <v>219</v>
      </c>
      <c r="F1039" s="957">
        <v>9</v>
      </c>
      <c r="G1039" s="957">
        <v>1</v>
      </c>
      <c r="H1039" s="1059">
        <v>2504.8000000000002</v>
      </c>
      <c r="I1039" s="1059">
        <v>2193.3000000000002</v>
      </c>
      <c r="J1039" s="1059">
        <v>2193.3000000000002</v>
      </c>
      <c r="K1039" s="956">
        <v>105</v>
      </c>
      <c r="L1039" s="971">
        <v>2889840.1</v>
      </c>
      <c r="M1039" s="963">
        <v>0</v>
      </c>
      <c r="N1039" s="968">
        <v>0</v>
      </c>
      <c r="O1039" s="1059">
        <v>2889840.1</v>
      </c>
      <c r="P1039" s="963">
        <v>0</v>
      </c>
      <c r="Q1039" s="963">
        <v>0</v>
      </c>
      <c r="R1039" s="964">
        <v>2022</v>
      </c>
      <c r="S1039" s="964">
        <v>2023</v>
      </c>
      <c r="U1039" s="967"/>
    </row>
    <row r="1040" spans="1:21" ht="52.5" customHeight="1">
      <c r="A1040" s="957">
        <v>483</v>
      </c>
      <c r="B1040" s="984" t="s">
        <v>1170</v>
      </c>
      <c r="C1040" s="957">
        <v>1976</v>
      </c>
      <c r="D1040" s="1058">
        <v>0</v>
      </c>
      <c r="E1040" s="956" t="s">
        <v>218</v>
      </c>
      <c r="F1040" s="957">
        <v>5</v>
      </c>
      <c r="G1040" s="957">
        <v>4</v>
      </c>
      <c r="H1040" s="1059">
        <v>3622.4</v>
      </c>
      <c r="I1040" s="1059">
        <v>2301.9</v>
      </c>
      <c r="J1040" s="1059">
        <v>2301.9</v>
      </c>
      <c r="K1040" s="956">
        <v>134</v>
      </c>
      <c r="L1040" s="971">
        <v>4747568.4000000004</v>
      </c>
      <c r="M1040" s="963">
        <v>0</v>
      </c>
      <c r="N1040" s="968">
        <v>0</v>
      </c>
      <c r="O1040" s="1059">
        <v>4747568.4000000004</v>
      </c>
      <c r="P1040" s="963">
        <v>0</v>
      </c>
      <c r="Q1040" s="963">
        <v>0</v>
      </c>
      <c r="R1040" s="964">
        <v>2022</v>
      </c>
      <c r="S1040" s="964">
        <v>2023</v>
      </c>
      <c r="U1040" s="967"/>
    </row>
    <row r="1041" spans="1:21" ht="36.75" customHeight="1">
      <c r="A1041" s="957">
        <v>484</v>
      </c>
      <c r="B1041" s="984" t="s">
        <v>1171</v>
      </c>
      <c r="C1041" s="957">
        <v>1989</v>
      </c>
      <c r="D1041" s="1058">
        <v>0</v>
      </c>
      <c r="E1041" s="956" t="s">
        <v>219</v>
      </c>
      <c r="F1041" s="957">
        <v>5</v>
      </c>
      <c r="G1041" s="957">
        <v>10</v>
      </c>
      <c r="H1041" s="1059">
        <v>13162.6</v>
      </c>
      <c r="I1041" s="1059">
        <v>11082</v>
      </c>
      <c r="J1041" s="1059">
        <v>11082</v>
      </c>
      <c r="K1041" s="956">
        <v>445</v>
      </c>
      <c r="L1041" s="971">
        <v>12282943.84</v>
      </c>
      <c r="M1041" s="963">
        <v>0</v>
      </c>
      <c r="N1041" s="968">
        <v>0</v>
      </c>
      <c r="O1041" s="1059">
        <v>12282943.84</v>
      </c>
      <c r="P1041" s="963">
        <v>0</v>
      </c>
      <c r="Q1041" s="963">
        <v>0</v>
      </c>
      <c r="R1041" s="964">
        <v>2022</v>
      </c>
      <c r="S1041" s="964">
        <v>2023</v>
      </c>
      <c r="U1041" s="967"/>
    </row>
    <row r="1042" spans="1:21" ht="45" customHeight="1">
      <c r="A1042" s="957">
        <v>485</v>
      </c>
      <c r="B1042" s="986" t="s">
        <v>1172</v>
      </c>
      <c r="C1042" s="957">
        <v>1964</v>
      </c>
      <c r="D1042" s="1058">
        <v>0</v>
      </c>
      <c r="E1042" s="956" t="s">
        <v>218</v>
      </c>
      <c r="F1042" s="957">
        <v>2</v>
      </c>
      <c r="G1042" s="957">
        <v>2</v>
      </c>
      <c r="H1042" s="1059">
        <v>630</v>
      </c>
      <c r="I1042" s="1059">
        <v>411.4</v>
      </c>
      <c r="J1042" s="1059">
        <v>411.4</v>
      </c>
      <c r="K1042" s="956">
        <v>21</v>
      </c>
      <c r="L1042" s="971">
        <v>2909851.99</v>
      </c>
      <c r="M1042" s="963">
        <v>0</v>
      </c>
      <c r="N1042" s="968">
        <v>0</v>
      </c>
      <c r="O1042" s="1059">
        <v>2909851.99</v>
      </c>
      <c r="P1042" s="963">
        <v>0</v>
      </c>
      <c r="Q1042" s="963">
        <v>0</v>
      </c>
      <c r="R1042" s="964">
        <v>2022</v>
      </c>
      <c r="S1042" s="964">
        <v>2023</v>
      </c>
      <c r="U1042" s="967"/>
    </row>
    <row r="1043" spans="1:21" ht="39.75" customHeight="1">
      <c r="A1043" s="1163" t="s">
        <v>2056</v>
      </c>
      <c r="B1043" s="1164"/>
      <c r="C1043" s="1164"/>
      <c r="D1043" s="1164"/>
      <c r="E1043" s="1164"/>
      <c r="F1043" s="1164"/>
      <c r="G1043" s="1165"/>
      <c r="H1043" s="968">
        <f>SUM(H1044:H1048)</f>
        <v>2929.8999999999996</v>
      </c>
      <c r="I1043" s="968">
        <f t="shared" ref="I1043:Q1043" si="166">SUM(I1044:I1048)</f>
        <v>2929.8999999999996</v>
      </c>
      <c r="J1043" s="968">
        <f t="shared" si="166"/>
        <v>2146.2999999999997</v>
      </c>
      <c r="K1043" s="958">
        <f t="shared" si="166"/>
        <v>132</v>
      </c>
      <c r="L1043" s="971">
        <f t="shared" si="166"/>
        <v>8147343.54</v>
      </c>
      <c r="M1043" s="968">
        <f t="shared" si="166"/>
        <v>0</v>
      </c>
      <c r="N1043" s="968">
        <f t="shared" si="166"/>
        <v>0</v>
      </c>
      <c r="O1043" s="968">
        <f t="shared" si="166"/>
        <v>8147343.54</v>
      </c>
      <c r="P1043" s="968">
        <f t="shared" si="166"/>
        <v>0</v>
      </c>
      <c r="Q1043" s="968">
        <f t="shared" si="166"/>
        <v>0</v>
      </c>
      <c r="R1043" s="968" t="s">
        <v>40</v>
      </c>
      <c r="S1043" s="968" t="s">
        <v>40</v>
      </c>
      <c r="U1043" s="967"/>
    </row>
    <row r="1044" spans="1:21" ht="64.5" customHeight="1">
      <c r="A1044" s="956">
        <v>486</v>
      </c>
      <c r="B1044" s="986" t="s">
        <v>1270</v>
      </c>
      <c r="C1044" s="956">
        <v>2002</v>
      </c>
      <c r="D1044" s="956"/>
      <c r="E1044" s="956" t="s">
        <v>218</v>
      </c>
      <c r="F1044" s="956">
        <v>3</v>
      </c>
      <c r="G1044" s="956">
        <v>2</v>
      </c>
      <c r="H1044" s="968">
        <v>1017</v>
      </c>
      <c r="I1044" s="968">
        <v>1017</v>
      </c>
      <c r="J1044" s="968">
        <v>927</v>
      </c>
      <c r="K1044" s="959">
        <v>50</v>
      </c>
      <c r="L1044" s="971">
        <v>2616565.59</v>
      </c>
      <c r="M1044" s="985">
        <v>0</v>
      </c>
      <c r="N1044" s="985">
        <v>0</v>
      </c>
      <c r="O1044" s="985">
        <v>2616565.59</v>
      </c>
      <c r="P1044" s="963">
        <v>0</v>
      </c>
      <c r="Q1044" s="985">
        <v>0</v>
      </c>
      <c r="R1044" s="964">
        <v>2022</v>
      </c>
      <c r="S1044" s="1006" t="s">
        <v>1387</v>
      </c>
      <c r="U1044" s="967"/>
    </row>
    <row r="1045" spans="1:21" ht="45.75" customHeight="1">
      <c r="A1045" s="956">
        <v>487</v>
      </c>
      <c r="B1045" s="986" t="s">
        <v>1271</v>
      </c>
      <c r="C1045" s="956">
        <v>1954</v>
      </c>
      <c r="D1045" s="956"/>
      <c r="E1045" s="956" t="s">
        <v>218</v>
      </c>
      <c r="F1045" s="956">
        <v>2</v>
      </c>
      <c r="G1045" s="956">
        <v>2</v>
      </c>
      <c r="H1045" s="968">
        <v>413</v>
      </c>
      <c r="I1045" s="968">
        <v>413</v>
      </c>
      <c r="J1045" s="968">
        <v>375</v>
      </c>
      <c r="K1045" s="959">
        <v>23</v>
      </c>
      <c r="L1045" s="971">
        <v>1719903</v>
      </c>
      <c r="M1045" s="985">
        <v>0</v>
      </c>
      <c r="N1045" s="985">
        <v>0</v>
      </c>
      <c r="O1045" s="985">
        <v>1719903</v>
      </c>
      <c r="P1045" s="963">
        <v>0</v>
      </c>
      <c r="Q1045" s="985">
        <v>0</v>
      </c>
      <c r="R1045" s="964">
        <v>2022</v>
      </c>
      <c r="S1045" s="964">
        <v>2023</v>
      </c>
      <c r="U1045" s="967"/>
    </row>
    <row r="1046" spans="1:21" ht="54" customHeight="1">
      <c r="A1046" s="956">
        <v>488</v>
      </c>
      <c r="B1046" s="986" t="s">
        <v>1232</v>
      </c>
      <c r="C1046" s="956">
        <v>1957</v>
      </c>
      <c r="D1046" s="956"/>
      <c r="E1046" s="956" t="s">
        <v>218</v>
      </c>
      <c r="F1046" s="956">
        <v>2</v>
      </c>
      <c r="G1046" s="956">
        <v>2</v>
      </c>
      <c r="H1046" s="963">
        <v>414</v>
      </c>
      <c r="I1046" s="963">
        <v>414</v>
      </c>
      <c r="J1046" s="963">
        <v>375</v>
      </c>
      <c r="K1046" s="964">
        <v>23</v>
      </c>
      <c r="L1046" s="971">
        <v>2790678.2</v>
      </c>
      <c r="M1046" s="985">
        <v>0</v>
      </c>
      <c r="N1046" s="985">
        <v>0</v>
      </c>
      <c r="O1046" s="985">
        <f>L1046</f>
        <v>2790678.2</v>
      </c>
      <c r="P1046" s="963">
        <f>Q1046</f>
        <v>0</v>
      </c>
      <c r="Q1046" s="985">
        <v>0</v>
      </c>
      <c r="R1046" s="964">
        <v>2020</v>
      </c>
      <c r="S1046" s="1006" t="s">
        <v>1387</v>
      </c>
      <c r="U1046" s="967"/>
    </row>
    <row r="1047" spans="1:21" ht="46.5" customHeight="1">
      <c r="A1047" s="956">
        <v>489</v>
      </c>
      <c r="B1047" s="986" t="s">
        <v>1048</v>
      </c>
      <c r="C1047" s="956">
        <v>1972</v>
      </c>
      <c r="D1047" s="956"/>
      <c r="E1047" s="956" t="s">
        <v>218</v>
      </c>
      <c r="F1047" s="956">
        <v>2</v>
      </c>
      <c r="G1047" s="956">
        <v>2</v>
      </c>
      <c r="H1047" s="963">
        <v>520.20000000000005</v>
      </c>
      <c r="I1047" s="963">
        <v>520.20000000000005</v>
      </c>
      <c r="J1047" s="963">
        <v>37.1</v>
      </c>
      <c r="K1047" s="964">
        <v>18</v>
      </c>
      <c r="L1047" s="971">
        <v>488724.88</v>
      </c>
      <c r="M1047" s="985">
        <v>0</v>
      </c>
      <c r="N1047" s="985">
        <v>0</v>
      </c>
      <c r="O1047" s="985">
        <v>488724.88</v>
      </c>
      <c r="P1047" s="963">
        <v>0</v>
      </c>
      <c r="Q1047" s="985">
        <v>0</v>
      </c>
      <c r="R1047" s="964">
        <v>2020</v>
      </c>
      <c r="S1047" s="964">
        <v>2023</v>
      </c>
      <c r="U1047" s="967"/>
    </row>
    <row r="1048" spans="1:21" ht="45" customHeight="1">
      <c r="A1048" s="956">
        <v>490</v>
      </c>
      <c r="B1048" s="986" t="s">
        <v>1049</v>
      </c>
      <c r="C1048" s="956">
        <v>1974</v>
      </c>
      <c r="D1048" s="956"/>
      <c r="E1048" s="956" t="s">
        <v>218</v>
      </c>
      <c r="F1048" s="956">
        <v>2</v>
      </c>
      <c r="G1048" s="956">
        <v>2</v>
      </c>
      <c r="H1048" s="963">
        <v>565.70000000000005</v>
      </c>
      <c r="I1048" s="963">
        <v>565.70000000000005</v>
      </c>
      <c r="J1048" s="963">
        <v>432.2</v>
      </c>
      <c r="K1048" s="964">
        <v>18</v>
      </c>
      <c r="L1048" s="971">
        <v>531471.87</v>
      </c>
      <c r="M1048" s="985">
        <v>0</v>
      </c>
      <c r="N1048" s="985">
        <v>0</v>
      </c>
      <c r="O1048" s="985">
        <v>531471.87</v>
      </c>
      <c r="P1048" s="963">
        <v>0</v>
      </c>
      <c r="Q1048" s="985">
        <v>0</v>
      </c>
      <c r="R1048" s="964">
        <v>2020</v>
      </c>
      <c r="S1048" s="964">
        <v>2023</v>
      </c>
      <c r="U1048" s="967"/>
    </row>
    <row r="1049" spans="1:21" ht="32.25" customHeight="1">
      <c r="A1049" s="1190" t="s">
        <v>35</v>
      </c>
      <c r="B1049" s="1190"/>
      <c r="C1049" s="1190"/>
      <c r="D1049" s="1190"/>
      <c r="E1049" s="1190"/>
      <c r="F1049" s="1190"/>
      <c r="G1049" s="1190"/>
      <c r="H1049" s="1190"/>
      <c r="I1049" s="1190"/>
      <c r="J1049" s="1190"/>
      <c r="K1049" s="1190"/>
      <c r="L1049" s="1190"/>
      <c r="M1049" s="1190"/>
      <c r="N1049" s="1190"/>
      <c r="O1049" s="1190"/>
      <c r="P1049" s="1190"/>
      <c r="Q1049" s="1190"/>
      <c r="R1049" s="1190"/>
      <c r="S1049" s="1190"/>
      <c r="U1049" s="967"/>
    </row>
    <row r="1050" spans="1:21" ht="27.75" customHeight="1">
      <c r="A1050" s="1169" t="s">
        <v>205</v>
      </c>
      <c r="B1050" s="1170"/>
      <c r="C1050" s="1170"/>
      <c r="D1050" s="1170"/>
      <c r="E1050" s="1170"/>
      <c r="F1050" s="1170"/>
      <c r="G1050" s="1171"/>
      <c r="H1050" s="968">
        <v>0</v>
      </c>
      <c r="I1050" s="968">
        <v>0</v>
      </c>
      <c r="J1050" s="968">
        <v>0</v>
      </c>
      <c r="K1050" s="959">
        <v>0</v>
      </c>
      <c r="L1050" s="971">
        <v>0</v>
      </c>
      <c r="M1050" s="985">
        <v>0</v>
      </c>
      <c r="N1050" s="985">
        <v>0</v>
      </c>
      <c r="O1050" s="985">
        <v>0</v>
      </c>
      <c r="P1050" s="985">
        <v>0</v>
      </c>
      <c r="Q1050" s="985">
        <v>0</v>
      </c>
      <c r="R1050" s="968" t="s">
        <v>40</v>
      </c>
      <c r="S1050" s="968" t="s">
        <v>40</v>
      </c>
      <c r="U1050" s="967"/>
    </row>
    <row r="1051" spans="1:21" ht="42.75" customHeight="1">
      <c r="A1051" s="1190" t="s">
        <v>1029</v>
      </c>
      <c r="B1051" s="1190"/>
      <c r="C1051" s="1190"/>
      <c r="D1051" s="1190"/>
      <c r="E1051" s="1190"/>
      <c r="F1051" s="1190"/>
      <c r="G1051" s="1190"/>
      <c r="H1051" s="1190"/>
      <c r="I1051" s="1190"/>
      <c r="J1051" s="1190"/>
      <c r="K1051" s="1190"/>
      <c r="L1051" s="1190"/>
      <c r="M1051" s="1190"/>
      <c r="N1051" s="1190"/>
      <c r="O1051" s="1190"/>
      <c r="P1051" s="1190"/>
      <c r="Q1051" s="1190"/>
      <c r="R1051" s="1190"/>
      <c r="S1051" s="1190"/>
      <c r="U1051" s="967"/>
    </row>
    <row r="1052" spans="1:21" ht="27.75" customHeight="1">
      <c r="A1052" s="1169" t="s">
        <v>205</v>
      </c>
      <c r="B1052" s="1170"/>
      <c r="C1052" s="1170"/>
      <c r="D1052" s="1170"/>
      <c r="E1052" s="1170"/>
      <c r="F1052" s="1170"/>
      <c r="G1052" s="1171"/>
      <c r="H1052" s="968">
        <v>0</v>
      </c>
      <c r="I1052" s="968">
        <v>0</v>
      </c>
      <c r="J1052" s="968">
        <v>0</v>
      </c>
      <c r="K1052" s="959">
        <v>0</v>
      </c>
      <c r="L1052" s="971">
        <v>0</v>
      </c>
      <c r="M1052" s="968">
        <v>0</v>
      </c>
      <c r="N1052" s="968">
        <v>0</v>
      </c>
      <c r="O1052" s="968">
        <v>0</v>
      </c>
      <c r="P1052" s="968">
        <v>0</v>
      </c>
      <c r="Q1052" s="968">
        <v>0</v>
      </c>
      <c r="R1052" s="968" t="s">
        <v>40</v>
      </c>
      <c r="S1052" s="968" t="s">
        <v>40</v>
      </c>
      <c r="U1052" s="967"/>
    </row>
    <row r="1053" spans="1:21" ht="18.75" customHeight="1">
      <c r="A1053" s="1162" t="s">
        <v>1138</v>
      </c>
      <c r="B1053" s="1162"/>
      <c r="C1053" s="1162"/>
      <c r="D1053" s="1162"/>
      <c r="E1053" s="1162"/>
      <c r="F1053" s="1162"/>
      <c r="G1053" s="1162"/>
      <c r="H1053" s="1162"/>
      <c r="I1053" s="1162"/>
      <c r="J1053" s="1162"/>
      <c r="K1053" s="1162"/>
      <c r="L1053" s="1162"/>
      <c r="M1053" s="1162"/>
      <c r="N1053" s="1162"/>
      <c r="O1053" s="1162"/>
      <c r="P1053" s="1162"/>
      <c r="Q1053" s="1162"/>
      <c r="R1053" s="1162"/>
      <c r="S1053" s="1162"/>
      <c r="U1053" s="967"/>
    </row>
  </sheetData>
  <autoFilter ref="A12:S1053"/>
  <sortState ref="B104:S115">
    <sortCondition ref="B104:B115"/>
  </sortState>
  <customSheetViews>
    <customSheetView guid="{971AA6D5-B469-4A54-816C-1252CCB6D265}" scale="72" showPageBreaks="1" fitToPage="1" printArea="1" showAutoFilter="1" view="pageBreakPreview" topLeftCell="A1466">
      <selection activeCell="I1485" sqref="I1485"/>
      <pageMargins left="0.39370078740157483" right="0.39370078740157483" top="0.78740157480314965" bottom="0.43307086614173229" header="0.31496062992125984" footer="0.31496062992125984"/>
      <printOptions horizontalCentered="1"/>
      <pageSetup paperSize="9" scale="50" firstPageNumber="2" fitToHeight="0" orientation="landscape" useFirstPageNumber="1" r:id="rId1"/>
      <headerFooter>
        <oddHeader>&amp;C&amp;"Times New Roman,обычный"&amp;18&amp;P</oddHeader>
      </headerFooter>
      <autoFilter ref="A12:T1475"/>
    </customSheetView>
    <customSheetView guid="{DFE5B545-478C-4B86-847C-1FEE882C6F69}" scale="90" showPageBreaks="1" printArea="1" showAutoFilter="1" view="pageBreakPreview" topLeftCell="A4">
      <pane ySplit="7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2"/>
      <headerFooter>
        <oddHeader>&amp;C&amp;"Times New Roman,обычный"&amp;18&amp;P</oddHeader>
      </headerFooter>
      <autoFilter ref="A12:T1620"/>
    </customSheetView>
    <customSheetView guid="{4C44C113-DA02-468D-99C5-83FA6693F42F}" scale="90" showPageBreaks="1" printArea="1" showAutoFilter="1" view="pageBreakPreview" topLeftCell="A4">
      <pane ySplit="9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3"/>
      <headerFooter>
        <oddHeader>&amp;C&amp;"Times New Roman,обычный"&amp;18&amp;P</oddHeader>
      </headerFooter>
      <autoFilter ref="A12:T1620"/>
    </customSheetView>
    <customSheetView guid="{570403C4-1D93-4175-B4D8-BD47D46CE99C}" scale="90" showPageBreaks="1" printArea="1" showAutoFilter="1" view="pageBreakPreview" topLeftCell="A4">
      <pane ySplit="9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4"/>
      <headerFooter>
        <oddHeader>&amp;C&amp;"Times New Roman,обычный"&amp;18&amp;P</oddHeader>
      </headerFooter>
      <autoFilter ref="A12:T1620"/>
    </customSheetView>
    <customSheetView guid="{B1841E62-04AF-4786-8B2B-B1F42C88E6D1}" scale="90" showPageBreaks="1" printArea="1" showAutoFilter="1" view="pageBreakPreview" topLeftCell="A4">
      <pane ySplit="8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5"/>
      <headerFooter>
        <oddHeader>&amp;C&amp;"Times New Roman,обычный"&amp;18&amp;P</oddHeader>
      </headerFooter>
      <autoFilter ref="A12:T1620"/>
    </customSheetView>
    <customSheetView guid="{A28C0ADC-4E0C-4A0A-ACB1-DA409183476D}" scale="90" showPageBreaks="1" printArea="1" showAutoFilter="1" view="pageBreakPreview" topLeftCell="A4">
      <pane ySplit="9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6"/>
      <headerFooter>
        <oddHeader>&amp;C&amp;"Times New Roman,обычный"&amp;18&amp;P</oddHeader>
      </headerFooter>
      <autoFilter ref="A12:T1620"/>
    </customSheetView>
    <customSheetView guid="{144E5A37-1CF2-41F0-BEF8-CB5D4D392E2A}" scale="90" showPageBreaks="1" printArea="1" showAutoFilter="1" view="pageBreakPreview" topLeftCell="A4">
      <pane ySplit="8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7"/>
      <headerFooter>
        <oddHeader>&amp;C&amp;"Times New Roman,обычный"&amp;18&amp;P</oddHeader>
      </headerFooter>
      <autoFilter ref="A12:T1620"/>
    </customSheetView>
    <customSheetView guid="{7A75CCE7-0E84-47E6-A162-5AC0354F2967}" scale="90" showPageBreaks="1" printArea="1" showAutoFilter="1" view="pageBreakPreview" topLeftCell="A4">
      <pane ySplit="9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8"/>
      <headerFooter>
        <oddHeader>&amp;C&amp;"Times New Roman,обычный"&amp;18&amp;P</oddHeader>
      </headerFooter>
      <autoFilter ref="A12:T1620"/>
    </customSheetView>
    <customSheetView guid="{A6187BD3-0BA4-497C-8924-4FA3D77530F0}" scale="90" showPageBreaks="1" printArea="1" showAutoFilter="1" view="pageBreakPreview" topLeftCell="A4">
      <pane ySplit="9" topLeftCell="A13" activePane="bottomLeft" state="frozen"/>
      <selection pane="bottomLeft" activeCell="V74" sqref="V74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9"/>
      <headerFooter>
        <oddHeader>&amp;C&amp;"Times New Roman,обычный"&amp;18&amp;P</oddHeader>
      </headerFooter>
      <autoFilter ref="A12:T1620"/>
    </customSheetView>
    <customSheetView guid="{DC88C499-913F-4D15-846E-E5B9D5E047D7}" scale="90" showPageBreaks="1" printArea="1" showAutoFilter="1" view="pageBreakPreview" topLeftCell="A4">
      <pane ySplit="9" topLeftCell="A31" activePane="bottomLeft" state="frozen"/>
      <selection pane="bottomLeft" activeCell="L39" sqref="L39"/>
      <rowBreaks count="1" manualBreakCount="1">
        <brk id="1279" max="22" man="1"/>
      </rowBreaks>
      <pageMargins left="0.51181102362204722" right="0.23622047244094491" top="1.1811023622047245" bottom="0.59055118110236227" header="0.31496062992125984" footer="0.31496062992125984"/>
      <printOptions horizontalCentered="1"/>
      <pageSetup paperSize="9" scale="47" firstPageNumber="2" fitToHeight="50" orientation="landscape" useFirstPageNumber="1" r:id="rId10"/>
      <headerFooter>
        <oddHeader>&amp;C&amp;"Times New Roman,обычный"&amp;18&amp;P</oddHeader>
      </headerFooter>
      <autoFilter ref="A12:T1620"/>
    </customSheetView>
  </customSheetViews>
  <mergeCells count="188">
    <mergeCell ref="A315:G315"/>
    <mergeCell ref="A265:G265"/>
    <mergeCell ref="A268:G268"/>
    <mergeCell ref="A167:S167"/>
    <mergeCell ref="A195:S195"/>
    <mergeCell ref="A270:G270"/>
    <mergeCell ref="A272:G272"/>
    <mergeCell ref="A282:G282"/>
    <mergeCell ref="A287:G287"/>
    <mergeCell ref="A232:G232"/>
    <mergeCell ref="A241:G241"/>
    <mergeCell ref="A245:G245"/>
    <mergeCell ref="A248:G248"/>
    <mergeCell ref="A251:G251"/>
    <mergeCell ref="A254:G254"/>
    <mergeCell ref="A260:G260"/>
    <mergeCell ref="A193:S193"/>
    <mergeCell ref="A293:G293"/>
    <mergeCell ref="A295:G295"/>
    <mergeCell ref="A304:G304"/>
    <mergeCell ref="A196:G196"/>
    <mergeCell ref="A197:G197"/>
    <mergeCell ref="A220:G220"/>
    <mergeCell ref="A171:G171"/>
    <mergeCell ref="A1051:S1051"/>
    <mergeCell ref="A514:S514"/>
    <mergeCell ref="A516:S516"/>
    <mergeCell ref="A1049:S1049"/>
    <mergeCell ref="A362:S362"/>
    <mergeCell ref="A520:S520"/>
    <mergeCell ref="A364:S364"/>
    <mergeCell ref="A381:S381"/>
    <mergeCell ref="A383:S383"/>
    <mergeCell ref="A522:S522"/>
    <mergeCell ref="A382:G382"/>
    <mergeCell ref="A384:G384"/>
    <mergeCell ref="A385:G385"/>
    <mergeCell ref="A403:G403"/>
    <mergeCell ref="A409:G409"/>
    <mergeCell ref="A416:G416"/>
    <mergeCell ref="A421:G421"/>
    <mergeCell ref="A425:G425"/>
    <mergeCell ref="A443:G443"/>
    <mergeCell ref="A451:G451"/>
    <mergeCell ref="A454:G454"/>
    <mergeCell ref="A523:G523"/>
    <mergeCell ref="A459:G459"/>
    <mergeCell ref="A464:G464"/>
    <mergeCell ref="A16:G16"/>
    <mergeCell ref="A14:G14"/>
    <mergeCell ref="A136:G136"/>
    <mergeCell ref="A149:G149"/>
    <mergeCell ref="A151:G151"/>
    <mergeCell ref="A154:G154"/>
    <mergeCell ref="A156:G156"/>
    <mergeCell ref="A158:G158"/>
    <mergeCell ref="A161:G161"/>
    <mergeCell ref="A48:G48"/>
    <mergeCell ref="A53:G53"/>
    <mergeCell ref="A56:G56"/>
    <mergeCell ref="A61:G61"/>
    <mergeCell ref="A163:G163"/>
    <mergeCell ref="A168:G168"/>
    <mergeCell ref="L9:L10"/>
    <mergeCell ref="G8:G11"/>
    <mergeCell ref="J9:J10"/>
    <mergeCell ref="A13:S13"/>
    <mergeCell ref="A15:S15"/>
    <mergeCell ref="A169:S169"/>
    <mergeCell ref="A170:G170"/>
    <mergeCell ref="M9:Q9"/>
    <mergeCell ref="A65:G65"/>
    <mergeCell ref="A67:G67"/>
    <mergeCell ref="A69:G69"/>
    <mergeCell ref="A79:G79"/>
    <mergeCell ref="A86:G86"/>
    <mergeCell ref="A94:G94"/>
    <mergeCell ref="A96:G96"/>
    <mergeCell ref="A103:G103"/>
    <mergeCell ref="A115:G115"/>
    <mergeCell ref="A17:G17"/>
    <mergeCell ref="A28:G28"/>
    <mergeCell ref="A38:G38"/>
    <mergeCell ref="A44:G44"/>
    <mergeCell ref="A46:G46"/>
    <mergeCell ref="A194:G194"/>
    <mergeCell ref="A119:G119"/>
    <mergeCell ref="A123:G123"/>
    <mergeCell ref="A126:G126"/>
    <mergeCell ref="O1:Q2"/>
    <mergeCell ref="A4:S4"/>
    <mergeCell ref="A5:S5"/>
    <mergeCell ref="A6:S6"/>
    <mergeCell ref="C9:C11"/>
    <mergeCell ref="R10:R11"/>
    <mergeCell ref="S10:S11"/>
    <mergeCell ref="A7:S7"/>
    <mergeCell ref="A8:A11"/>
    <mergeCell ref="B8:B11"/>
    <mergeCell ref="C8:D8"/>
    <mergeCell ref="E8:E11"/>
    <mergeCell ref="F8:F11"/>
    <mergeCell ref="I9:I10"/>
    <mergeCell ref="K8:K10"/>
    <mergeCell ref="L8:Q8"/>
    <mergeCell ref="H8:H10"/>
    <mergeCell ref="R8:S9"/>
    <mergeCell ref="I8:J8"/>
    <mergeCell ref="D9:D11"/>
    <mergeCell ref="A317:G317"/>
    <mergeCell ref="A325:G325"/>
    <mergeCell ref="A331:G331"/>
    <mergeCell ref="A428:G428"/>
    <mergeCell ref="A431:G431"/>
    <mergeCell ref="A433:G433"/>
    <mergeCell ref="A437:G437"/>
    <mergeCell ref="A439:G439"/>
    <mergeCell ref="A441:G441"/>
    <mergeCell ref="A343:G343"/>
    <mergeCell ref="A345:G345"/>
    <mergeCell ref="A347:G347"/>
    <mergeCell ref="A351:G351"/>
    <mergeCell ref="A354:G354"/>
    <mergeCell ref="A356:G356"/>
    <mergeCell ref="A365:G365"/>
    <mergeCell ref="A366:G366"/>
    <mergeCell ref="A363:G363"/>
    <mergeCell ref="A333:G333"/>
    <mergeCell ref="A336:G336"/>
    <mergeCell ref="A341:G341"/>
    <mergeCell ref="A686:G686"/>
    <mergeCell ref="A475:G475"/>
    <mergeCell ref="A479:G479"/>
    <mergeCell ref="A483:G483"/>
    <mergeCell ref="A486:G486"/>
    <mergeCell ref="A489:G489"/>
    <mergeCell ref="A495:G495"/>
    <mergeCell ref="A497:G497"/>
    <mergeCell ref="A499:G499"/>
    <mergeCell ref="A501:G501"/>
    <mergeCell ref="A848:G848"/>
    <mergeCell ref="A859:G859"/>
    <mergeCell ref="A862:G862"/>
    <mergeCell ref="A890:G890"/>
    <mergeCell ref="A1052:G1052"/>
    <mergeCell ref="A40:G40"/>
    <mergeCell ref="A477:G477"/>
    <mergeCell ref="A728:G728"/>
    <mergeCell ref="A746:G746"/>
    <mergeCell ref="A757:G757"/>
    <mergeCell ref="A772:G772"/>
    <mergeCell ref="A774:G774"/>
    <mergeCell ref="A783:G783"/>
    <mergeCell ref="A795:G795"/>
    <mergeCell ref="A806:G806"/>
    <mergeCell ref="A829:G829"/>
    <mergeCell ref="A503:G503"/>
    <mergeCell ref="A505:G505"/>
    <mergeCell ref="A511:G511"/>
    <mergeCell ref="A515:G515"/>
    <mergeCell ref="A517:G517"/>
    <mergeCell ref="A518:G518"/>
    <mergeCell ref="A521:G521"/>
    <mergeCell ref="A524:G524"/>
    <mergeCell ref="A1053:S1053"/>
    <mergeCell ref="A423:G423"/>
    <mergeCell ref="A117:G117"/>
    <mergeCell ref="A1002:G1002"/>
    <mergeCell ref="A1005:G1005"/>
    <mergeCell ref="A1011:G1011"/>
    <mergeCell ref="A1014:G1014"/>
    <mergeCell ref="A1017:G1017"/>
    <mergeCell ref="A1031:G1031"/>
    <mergeCell ref="A1035:G1035"/>
    <mergeCell ref="A1043:G1043"/>
    <mergeCell ref="A1050:G1050"/>
    <mergeCell ref="A897:G897"/>
    <mergeCell ref="A929:G929"/>
    <mergeCell ref="A936:G936"/>
    <mergeCell ref="A945:G945"/>
    <mergeCell ref="A970:G970"/>
    <mergeCell ref="A972:G972"/>
    <mergeCell ref="A981:G981"/>
    <mergeCell ref="A995:G995"/>
    <mergeCell ref="A998:G998"/>
    <mergeCell ref="A833:G833"/>
    <mergeCell ref="A837:G837"/>
    <mergeCell ref="A844:G844"/>
  </mergeCells>
  <phoneticPr fontId="66" type="noConversion"/>
  <printOptions horizontalCentered="1"/>
  <pageMargins left="0.59055118110236227" right="0.59055118110236227" top="1.1811023622047245" bottom="0.78740157480314965" header="0.70866141732283472" footer="0.51181102362204722"/>
  <pageSetup paperSize="9" scale="40" firstPageNumber="2" fitToHeight="0" orientation="landscape" useFirstPageNumber="1" r:id="rId11"/>
  <headerFooter>
    <oddHeader>&amp;C&amp;"Times New Roman,обычный"&amp;18&amp;P</oddHeader>
  </headerFooter>
  <rowBreaks count="3" manualBreakCount="3">
    <brk id="19" max="18" man="1"/>
    <brk id="485" max="18" man="1"/>
    <brk id="1012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066"/>
  <sheetViews>
    <sheetView view="pageBreakPreview" topLeftCell="HYK1" zoomScale="20" zoomScaleNormal="30" zoomScaleSheetLayoutView="20" zoomScalePageLayoutView="50" workbookViewId="0">
      <selection activeCell="B875" sqref="B875"/>
    </sheetView>
  </sheetViews>
  <sheetFormatPr defaultColWidth="8.85546875" defaultRowHeight="38.25"/>
  <cols>
    <col min="1" max="1" width="18.85546875" style="906" customWidth="1"/>
    <col min="2" max="2" width="89.85546875" style="930" customWidth="1"/>
    <col min="3" max="3" width="52" style="859" customWidth="1"/>
    <col min="4" max="4" width="45.28515625" style="859" customWidth="1"/>
    <col min="5" max="5" width="42.5703125" style="859" customWidth="1"/>
    <col min="6" max="6" width="44.7109375" style="859" customWidth="1"/>
    <col min="7" max="7" width="44.28515625" style="859" customWidth="1"/>
    <col min="8" max="8" width="46.28515625" style="859" customWidth="1"/>
    <col min="9" max="9" width="43.140625" style="859" customWidth="1"/>
    <col min="10" max="10" width="45.5703125" style="859" customWidth="1"/>
    <col min="11" max="11" width="21.28515625" style="866" customWidth="1"/>
    <col min="12" max="12" width="39" style="926" customWidth="1"/>
    <col min="13" max="13" width="23.5703125" style="859" customWidth="1"/>
    <col min="14" max="14" width="42.7109375" style="859" customWidth="1"/>
    <col min="15" max="15" width="32.42578125" style="859" customWidth="1"/>
    <col min="16" max="16" width="45.5703125" style="859" customWidth="1"/>
    <col min="17" max="17" width="27.85546875" style="859" customWidth="1"/>
    <col min="18" max="18" width="40" style="859" customWidth="1"/>
    <col min="19" max="19" width="35.42578125" style="859" customWidth="1"/>
    <col min="20" max="20" width="48" style="859" customWidth="1"/>
    <col min="21" max="21" width="29.7109375" style="859" customWidth="1"/>
    <col min="22" max="22" width="43.28515625" style="859" customWidth="1"/>
    <col min="23" max="23" width="24.5703125" style="859" customWidth="1"/>
    <col min="24" max="24" width="43.7109375" style="859" customWidth="1"/>
    <col min="25" max="25" width="20.85546875" style="859" customWidth="1"/>
    <col min="26" max="26" width="44.42578125" style="859" customWidth="1"/>
    <col min="27" max="27" width="38.140625" style="860" customWidth="1"/>
    <col min="28" max="30" width="8.85546875" style="930"/>
    <col min="31" max="31" width="35.42578125" style="930" bestFit="1" customWidth="1"/>
    <col min="32" max="38" width="8.85546875" style="930"/>
    <col min="39" max="39" width="77" style="930" customWidth="1"/>
    <col min="40" max="16384" width="8.85546875" style="930"/>
  </cols>
  <sheetData>
    <row r="1" spans="1:28" ht="64.150000000000006" customHeight="1">
      <c r="A1" s="1206" t="s">
        <v>39</v>
      </c>
      <c r="B1" s="1206"/>
      <c r="C1" s="1206"/>
      <c r="D1" s="1206"/>
      <c r="E1" s="1206"/>
      <c r="F1" s="1206"/>
      <c r="G1" s="1206"/>
      <c r="H1" s="1206"/>
      <c r="I1" s="1206"/>
      <c r="J1" s="1206"/>
      <c r="K1" s="1206"/>
      <c r="L1" s="1206"/>
      <c r="M1" s="1206"/>
      <c r="N1" s="1206"/>
      <c r="O1" s="1206"/>
      <c r="P1" s="1206"/>
      <c r="Q1" s="1206"/>
      <c r="R1" s="1206"/>
      <c r="S1" s="1206"/>
      <c r="T1" s="1206"/>
      <c r="U1" s="1206"/>
      <c r="V1" s="1206"/>
      <c r="W1" s="1206"/>
      <c r="X1" s="1206"/>
      <c r="Y1" s="926"/>
      <c r="Z1" s="1064"/>
      <c r="AA1" s="1064"/>
      <c r="AB1" s="1065"/>
    </row>
    <row r="2" spans="1:28" ht="59.45" customHeight="1">
      <c r="A2" s="1207" t="s">
        <v>1025</v>
      </c>
      <c r="B2" s="1209" t="s">
        <v>22</v>
      </c>
      <c r="C2" s="1204" t="s">
        <v>459</v>
      </c>
      <c r="D2" s="1209" t="s">
        <v>1030</v>
      </c>
      <c r="E2" s="1209"/>
      <c r="F2" s="1209"/>
      <c r="G2" s="1209"/>
      <c r="H2" s="1209"/>
      <c r="I2" s="1209"/>
      <c r="J2" s="1209"/>
      <c r="K2" s="1209"/>
      <c r="L2" s="1209"/>
      <c r="M2" s="1209"/>
      <c r="N2" s="1209"/>
      <c r="O2" s="1209"/>
      <c r="P2" s="1209"/>
      <c r="Q2" s="1209"/>
      <c r="R2" s="1209"/>
      <c r="S2" s="1209"/>
      <c r="T2" s="1209"/>
      <c r="U2" s="1209"/>
      <c r="V2" s="1209"/>
      <c r="W2" s="1209"/>
      <c r="X2" s="1209"/>
      <c r="Y2" s="1209"/>
      <c r="Z2" s="1209"/>
      <c r="AA2" s="1209"/>
    </row>
    <row r="3" spans="1:28" ht="59.45" customHeight="1">
      <c r="A3" s="1208"/>
      <c r="B3" s="1209"/>
      <c r="C3" s="1204"/>
      <c r="D3" s="1209" t="s">
        <v>559</v>
      </c>
      <c r="E3" s="1209"/>
      <c r="F3" s="1209"/>
      <c r="G3" s="1209"/>
      <c r="H3" s="1209"/>
      <c r="I3" s="1209"/>
      <c r="J3" s="1209"/>
      <c r="K3" s="1210" t="s">
        <v>1061</v>
      </c>
      <c r="L3" s="1210"/>
      <c r="M3" s="1204" t="s">
        <v>1060</v>
      </c>
      <c r="N3" s="1204"/>
      <c r="O3" s="1204" t="s">
        <v>1139</v>
      </c>
      <c r="P3" s="1204"/>
      <c r="Q3" s="1204" t="s">
        <v>217</v>
      </c>
      <c r="R3" s="1204"/>
      <c r="S3" s="1204" t="s">
        <v>1034</v>
      </c>
      <c r="T3" s="1204"/>
      <c r="U3" s="1204"/>
      <c r="V3" s="1204"/>
      <c r="W3" s="1204" t="s">
        <v>557</v>
      </c>
      <c r="X3" s="1204"/>
      <c r="Y3" s="1210" t="s">
        <v>1189</v>
      </c>
      <c r="Z3" s="1210" t="s">
        <v>1231</v>
      </c>
      <c r="AA3" s="1204" t="s">
        <v>1163</v>
      </c>
    </row>
    <row r="4" spans="1:28" ht="56.45" customHeight="1">
      <c r="A4" s="1208"/>
      <c r="B4" s="1209"/>
      <c r="C4" s="1204"/>
      <c r="D4" s="1209" t="s">
        <v>2130</v>
      </c>
      <c r="E4" s="1203" t="s">
        <v>549</v>
      </c>
      <c r="F4" s="1202" t="s">
        <v>1062</v>
      </c>
      <c r="G4" s="1203" t="s">
        <v>551</v>
      </c>
      <c r="H4" s="1203" t="s">
        <v>552</v>
      </c>
      <c r="I4" s="1203" t="s">
        <v>553</v>
      </c>
      <c r="J4" s="1203" t="s">
        <v>554</v>
      </c>
      <c r="K4" s="1210"/>
      <c r="L4" s="1210"/>
      <c r="M4" s="1204"/>
      <c r="N4" s="1204"/>
      <c r="O4" s="1204"/>
      <c r="P4" s="1204"/>
      <c r="Q4" s="1204"/>
      <c r="R4" s="1204"/>
      <c r="S4" s="939"/>
      <c r="T4" s="939"/>
      <c r="U4" s="939"/>
      <c r="V4" s="939"/>
      <c r="W4" s="1204"/>
      <c r="X4" s="1204"/>
      <c r="Y4" s="1210"/>
      <c r="Z4" s="1210"/>
      <c r="AA4" s="1204"/>
    </row>
    <row r="5" spans="1:28" ht="321" customHeight="1">
      <c r="A5" s="1208"/>
      <c r="B5" s="1209"/>
      <c r="C5" s="1204"/>
      <c r="D5" s="1209"/>
      <c r="E5" s="1203"/>
      <c r="F5" s="1202"/>
      <c r="G5" s="1203"/>
      <c r="H5" s="1203"/>
      <c r="I5" s="1203"/>
      <c r="J5" s="1203"/>
      <c r="K5" s="1210"/>
      <c r="L5" s="1210"/>
      <c r="M5" s="1204"/>
      <c r="N5" s="1204"/>
      <c r="O5" s="1204"/>
      <c r="P5" s="1204"/>
      <c r="Q5" s="1204"/>
      <c r="R5" s="1204"/>
      <c r="S5" s="1204" t="s">
        <v>1234</v>
      </c>
      <c r="T5" s="1204"/>
      <c r="U5" s="1204" t="s">
        <v>1235</v>
      </c>
      <c r="V5" s="1204"/>
      <c r="W5" s="1204"/>
      <c r="X5" s="1204"/>
      <c r="Y5" s="1210"/>
      <c r="Z5" s="1210"/>
      <c r="AA5" s="1204"/>
    </row>
    <row r="6" spans="1:28" ht="35.450000000000003" customHeight="1">
      <c r="A6" s="1208"/>
      <c r="B6" s="1209"/>
      <c r="C6" s="938" t="s">
        <v>17</v>
      </c>
      <c r="D6" s="938" t="s">
        <v>17</v>
      </c>
      <c r="E6" s="938" t="s">
        <v>17</v>
      </c>
      <c r="F6" s="938" t="s">
        <v>17</v>
      </c>
      <c r="G6" s="938" t="s">
        <v>17</v>
      </c>
      <c r="H6" s="938" t="s">
        <v>17</v>
      </c>
      <c r="I6" s="938" t="s">
        <v>17</v>
      </c>
      <c r="J6" s="938" t="s">
        <v>17</v>
      </c>
      <c r="K6" s="940" t="s">
        <v>23</v>
      </c>
      <c r="L6" s="938" t="s">
        <v>17</v>
      </c>
      <c r="M6" s="941" t="s">
        <v>23</v>
      </c>
      <c r="N6" s="938" t="s">
        <v>17</v>
      </c>
      <c r="O6" s="938" t="s">
        <v>21</v>
      </c>
      <c r="P6" s="938" t="s">
        <v>17</v>
      </c>
      <c r="Q6" s="938" t="s">
        <v>21</v>
      </c>
      <c r="R6" s="938" t="s">
        <v>17</v>
      </c>
      <c r="S6" s="938" t="s">
        <v>21</v>
      </c>
      <c r="T6" s="938" t="s">
        <v>17</v>
      </c>
      <c r="U6" s="938" t="s">
        <v>2083</v>
      </c>
      <c r="V6" s="938" t="s">
        <v>17</v>
      </c>
      <c r="W6" s="938" t="s">
        <v>24</v>
      </c>
      <c r="X6" s="938" t="s">
        <v>17</v>
      </c>
      <c r="Y6" s="938"/>
      <c r="Z6" s="942" t="s">
        <v>17</v>
      </c>
      <c r="AA6" s="938" t="s">
        <v>17</v>
      </c>
    </row>
    <row r="7" spans="1:28" s="866" customFormat="1">
      <c r="A7" s="928">
        <v>1</v>
      </c>
      <c r="B7" s="862">
        <v>2</v>
      </c>
      <c r="C7" s="862">
        <v>3</v>
      </c>
      <c r="D7" s="862">
        <v>4</v>
      </c>
      <c r="E7" s="862">
        <v>5</v>
      </c>
      <c r="F7" s="862">
        <v>6</v>
      </c>
      <c r="G7" s="862">
        <v>7</v>
      </c>
      <c r="H7" s="862">
        <v>8</v>
      </c>
      <c r="I7" s="862">
        <v>9</v>
      </c>
      <c r="J7" s="862">
        <v>10</v>
      </c>
      <c r="K7" s="862">
        <v>11</v>
      </c>
      <c r="L7" s="862">
        <v>12</v>
      </c>
      <c r="M7" s="862">
        <v>13</v>
      </c>
      <c r="N7" s="862">
        <v>14</v>
      </c>
      <c r="O7" s="862">
        <v>15</v>
      </c>
      <c r="P7" s="862">
        <v>16</v>
      </c>
      <c r="Q7" s="862">
        <v>17</v>
      </c>
      <c r="R7" s="862">
        <v>18</v>
      </c>
      <c r="S7" s="862">
        <v>19</v>
      </c>
      <c r="T7" s="862">
        <v>20</v>
      </c>
      <c r="U7" s="862">
        <v>21</v>
      </c>
      <c r="V7" s="862">
        <v>22</v>
      </c>
      <c r="W7" s="862">
        <v>23</v>
      </c>
      <c r="X7" s="862">
        <v>24</v>
      </c>
      <c r="Y7" s="862">
        <v>25</v>
      </c>
      <c r="Z7" s="865">
        <v>26</v>
      </c>
      <c r="AA7" s="862">
        <v>27</v>
      </c>
    </row>
    <row r="8" spans="1:28" ht="69.599999999999994" customHeight="1">
      <c r="A8" s="1211" t="s">
        <v>1260</v>
      </c>
      <c r="B8" s="1211"/>
      <c r="C8" s="1211"/>
      <c r="D8" s="1211"/>
      <c r="E8" s="1211"/>
      <c r="F8" s="1211"/>
      <c r="G8" s="1211"/>
      <c r="H8" s="1211"/>
      <c r="I8" s="1211"/>
      <c r="J8" s="1211"/>
      <c r="K8" s="1211"/>
      <c r="L8" s="1211"/>
      <c r="M8" s="1211"/>
      <c r="N8" s="1211"/>
      <c r="O8" s="1211"/>
      <c r="P8" s="1211"/>
      <c r="Q8" s="1211"/>
      <c r="R8" s="1211"/>
      <c r="S8" s="1211"/>
      <c r="T8" s="1211"/>
      <c r="U8" s="1211"/>
      <c r="V8" s="1211"/>
      <c r="W8" s="1211"/>
      <c r="X8" s="1211"/>
      <c r="Y8" s="1211"/>
      <c r="Z8" s="1211"/>
      <c r="AA8" s="1211"/>
    </row>
    <row r="9" spans="1:28" s="867" customFormat="1" ht="84" customHeight="1">
      <c r="A9" s="1196" t="s">
        <v>205</v>
      </c>
      <c r="B9" s="1197"/>
      <c r="C9" s="925">
        <f>C10+C21+C31+C33+C37+C39+C41+C46+C49+C54+C58+C60+C62+C72+C79+C87+C89+C96+C108+C110+C112+C116+C119+C141+C151+C164+C166+C169+C172+C174+C176+C178</f>
        <v>720910463.87199998</v>
      </c>
      <c r="D9" s="925">
        <f t="shared" ref="D9:Z9" si="0">D10+D21+D31+D33+D37+D39+D41+D46+D49+D54+D58+D60+D62+D72+D79+D87+D89+D96+D108+D110+D112+D116+D119+D141+D151+D164+D166+D169+D172+D174+D176+D178</f>
        <v>50854254.169999994</v>
      </c>
      <c r="E9" s="925">
        <f t="shared" si="0"/>
        <v>13105387.559999999</v>
      </c>
      <c r="F9" s="925">
        <f t="shared" si="0"/>
        <v>14346432.23</v>
      </c>
      <c r="G9" s="925">
        <f t="shared" si="0"/>
        <v>3367992.1399999997</v>
      </c>
      <c r="H9" s="925">
        <f t="shared" si="0"/>
        <v>9240468.7799999993</v>
      </c>
      <c r="I9" s="925">
        <f t="shared" si="0"/>
        <v>5840488.6899999995</v>
      </c>
      <c r="J9" s="925">
        <f t="shared" si="0"/>
        <v>4953484.7699999996</v>
      </c>
      <c r="K9" s="861">
        <f t="shared" si="0"/>
        <v>2</v>
      </c>
      <c r="L9" s="925">
        <f t="shared" si="0"/>
        <v>430301</v>
      </c>
      <c r="M9" s="925">
        <f t="shared" si="0"/>
        <v>14</v>
      </c>
      <c r="N9" s="925">
        <f t="shared" si="0"/>
        <v>42209146.640000001</v>
      </c>
      <c r="O9" s="925">
        <f t="shared" si="0"/>
        <v>66349.180000000008</v>
      </c>
      <c r="P9" s="925">
        <f t="shared" si="0"/>
        <v>421526147.03000009</v>
      </c>
      <c r="Q9" s="925">
        <f t="shared" si="0"/>
        <v>0</v>
      </c>
      <c r="R9" s="925">
        <f t="shared" si="0"/>
        <v>0</v>
      </c>
      <c r="S9" s="925">
        <f t="shared" si="0"/>
        <v>31325.070000000003</v>
      </c>
      <c r="T9" s="925">
        <f t="shared" si="0"/>
        <v>117551261.88999999</v>
      </c>
      <c r="U9" s="925">
        <f t="shared" si="0"/>
        <v>5036.62</v>
      </c>
      <c r="V9" s="925">
        <f t="shared" si="0"/>
        <v>22932894</v>
      </c>
      <c r="W9" s="925">
        <f t="shared" si="0"/>
        <v>397.4</v>
      </c>
      <c r="X9" s="925">
        <f t="shared" si="0"/>
        <v>576230</v>
      </c>
      <c r="Y9" s="925">
        <v>0</v>
      </c>
      <c r="Z9" s="925">
        <f t="shared" si="0"/>
        <v>64830229.142000005</v>
      </c>
      <c r="AA9" s="925">
        <v>0</v>
      </c>
    </row>
    <row r="10" spans="1:28" s="867" customFormat="1" ht="87" customHeight="1">
      <c r="A10" s="1198" t="s">
        <v>2271</v>
      </c>
      <c r="B10" s="1199"/>
      <c r="C10" s="925">
        <f t="shared" ref="C10:AA10" si="1">SUM(C11:C20)</f>
        <v>158495526.36200002</v>
      </c>
      <c r="D10" s="925">
        <f t="shared" si="1"/>
        <v>35922124.440000005</v>
      </c>
      <c r="E10" s="925">
        <f t="shared" si="1"/>
        <v>4359169.96</v>
      </c>
      <c r="F10" s="925">
        <f t="shared" si="1"/>
        <v>12596420.98</v>
      </c>
      <c r="G10" s="925">
        <f t="shared" si="1"/>
        <v>3090220.3699999996</v>
      </c>
      <c r="H10" s="925">
        <f t="shared" si="1"/>
        <v>6988826.8499999996</v>
      </c>
      <c r="I10" s="925">
        <f t="shared" si="1"/>
        <v>5840488.6899999995</v>
      </c>
      <c r="J10" s="925">
        <f t="shared" si="1"/>
        <v>3046997.59</v>
      </c>
      <c r="K10" s="861">
        <f t="shared" si="1"/>
        <v>2</v>
      </c>
      <c r="L10" s="925">
        <f t="shared" si="1"/>
        <v>430301</v>
      </c>
      <c r="M10" s="925">
        <f t="shared" si="1"/>
        <v>9</v>
      </c>
      <c r="N10" s="925">
        <f t="shared" si="1"/>
        <v>28018882.400000002</v>
      </c>
      <c r="O10" s="925">
        <f t="shared" si="1"/>
        <v>6631.9500000000007</v>
      </c>
      <c r="P10" s="925">
        <f t="shared" si="1"/>
        <v>34866759.420000002</v>
      </c>
      <c r="Q10" s="925">
        <f t="shared" si="1"/>
        <v>0</v>
      </c>
      <c r="R10" s="925">
        <f t="shared" si="1"/>
        <v>0</v>
      </c>
      <c r="S10" s="925">
        <f t="shared" si="1"/>
        <v>12887</v>
      </c>
      <c r="T10" s="925">
        <f t="shared" si="1"/>
        <v>44763090.130000003</v>
      </c>
      <c r="U10" s="925">
        <f t="shared" si="1"/>
        <v>0</v>
      </c>
      <c r="V10" s="925">
        <f t="shared" si="1"/>
        <v>0</v>
      </c>
      <c r="W10" s="925">
        <f t="shared" si="1"/>
        <v>0</v>
      </c>
      <c r="X10" s="925">
        <f t="shared" si="1"/>
        <v>0</v>
      </c>
      <c r="Y10" s="925">
        <f t="shared" si="1"/>
        <v>0</v>
      </c>
      <c r="Z10" s="925">
        <f t="shared" si="1"/>
        <v>14494368.972000001</v>
      </c>
      <c r="AA10" s="925">
        <f t="shared" si="1"/>
        <v>0</v>
      </c>
    </row>
    <row r="11" spans="1:28" s="867" customFormat="1" ht="119.25" customHeight="1">
      <c r="A11" s="927">
        <v>1</v>
      </c>
      <c r="B11" s="868" t="s">
        <v>1624</v>
      </c>
      <c r="C11" s="925">
        <f>D11+L11+N11+P11+R11+T11+V11+X11+Z11+AA11</f>
        <v>27935692.620000001</v>
      </c>
      <c r="D11" s="925">
        <f>SUM(E11:J11)</f>
        <v>0</v>
      </c>
      <c r="E11" s="925">
        <v>0</v>
      </c>
      <c r="F11" s="925">
        <v>0</v>
      </c>
      <c r="G11" s="925">
        <v>0</v>
      </c>
      <c r="H11" s="925">
        <v>0</v>
      </c>
      <c r="I11" s="925">
        <v>0</v>
      </c>
      <c r="J11" s="925">
        <v>0</v>
      </c>
      <c r="K11" s="861">
        <v>0</v>
      </c>
      <c r="L11" s="925">
        <v>0</v>
      </c>
      <c r="M11" s="929">
        <v>2</v>
      </c>
      <c r="N11" s="869">
        <v>5676105.6900000004</v>
      </c>
      <c r="O11" s="869">
        <v>880</v>
      </c>
      <c r="P11" s="869">
        <v>4331471.41</v>
      </c>
      <c r="Q11" s="929">
        <v>0</v>
      </c>
      <c r="R11" s="929">
        <v>0</v>
      </c>
      <c r="S11" s="869">
        <v>4027.4</v>
      </c>
      <c r="T11" s="869">
        <v>15899011.279999999</v>
      </c>
      <c r="U11" s="929">
        <v>0</v>
      </c>
      <c r="V11" s="929">
        <v>0</v>
      </c>
      <c r="W11" s="925">
        <v>0</v>
      </c>
      <c r="X11" s="925">
        <v>0</v>
      </c>
      <c r="Y11" s="925">
        <v>0</v>
      </c>
      <c r="Z11" s="864">
        <v>2029104.24</v>
      </c>
      <c r="AA11" s="929">
        <v>0</v>
      </c>
    </row>
    <row r="12" spans="1:28" s="867" customFormat="1" ht="110.25" customHeight="1">
      <c r="A12" s="927">
        <v>2</v>
      </c>
      <c r="B12" s="868" t="s">
        <v>1625</v>
      </c>
      <c r="C12" s="925">
        <f t="shared" ref="C12:C77" si="2">D12+L12+N12+P12+R12+T12+V12+X12+Z12+AA12</f>
        <v>14500229.309999999</v>
      </c>
      <c r="D12" s="925">
        <f t="shared" ref="D12:D77" si="3">SUM(E12:J12)</f>
        <v>0</v>
      </c>
      <c r="E12" s="925">
        <v>0</v>
      </c>
      <c r="F12" s="925">
        <v>0</v>
      </c>
      <c r="G12" s="925">
        <v>0</v>
      </c>
      <c r="H12" s="925">
        <v>0</v>
      </c>
      <c r="I12" s="925">
        <v>0</v>
      </c>
      <c r="J12" s="925">
        <v>0</v>
      </c>
      <c r="K12" s="862">
        <v>0</v>
      </c>
      <c r="L12" s="929">
        <v>0</v>
      </c>
      <c r="M12" s="929">
        <v>1</v>
      </c>
      <c r="N12" s="929">
        <v>2838052.85</v>
      </c>
      <c r="O12" s="929">
        <v>2155.36</v>
      </c>
      <c r="P12" s="929">
        <v>10608954.789999999</v>
      </c>
      <c r="Q12" s="929">
        <v>0</v>
      </c>
      <c r="R12" s="929">
        <v>0</v>
      </c>
      <c r="S12" s="929">
        <v>0</v>
      </c>
      <c r="T12" s="929">
        <v>0</v>
      </c>
      <c r="U12" s="929">
        <v>0</v>
      </c>
      <c r="V12" s="929">
        <v>0</v>
      </c>
      <c r="W12" s="929">
        <v>0</v>
      </c>
      <c r="X12" s="929">
        <v>0</v>
      </c>
      <c r="Y12" s="929">
        <v>0</v>
      </c>
      <c r="Z12" s="864">
        <v>1053221.67</v>
      </c>
      <c r="AA12" s="929">
        <v>0</v>
      </c>
    </row>
    <row r="13" spans="1:28" s="867" customFormat="1" ht="93" customHeight="1">
      <c r="A13" s="927">
        <v>3</v>
      </c>
      <c r="B13" s="868" t="s">
        <v>1626</v>
      </c>
      <c r="C13" s="925">
        <f t="shared" si="2"/>
        <v>37984944.43</v>
      </c>
      <c r="D13" s="925">
        <f t="shared" si="3"/>
        <v>0</v>
      </c>
      <c r="E13" s="925">
        <v>0</v>
      </c>
      <c r="F13" s="925">
        <v>0</v>
      </c>
      <c r="G13" s="925">
        <v>0</v>
      </c>
      <c r="H13" s="925">
        <v>0</v>
      </c>
      <c r="I13" s="925">
        <v>0</v>
      </c>
      <c r="J13" s="925">
        <v>0</v>
      </c>
      <c r="K13" s="861">
        <v>0</v>
      </c>
      <c r="L13" s="925">
        <v>0</v>
      </c>
      <c r="M13" s="929">
        <v>2</v>
      </c>
      <c r="N13" s="929">
        <v>8152512.4699999997</v>
      </c>
      <c r="O13" s="929">
        <v>0</v>
      </c>
      <c r="P13" s="929">
        <v>0</v>
      </c>
      <c r="Q13" s="929">
        <v>0</v>
      </c>
      <c r="R13" s="929">
        <v>0</v>
      </c>
      <c r="S13" s="929">
        <v>6858</v>
      </c>
      <c r="T13" s="929">
        <v>27073402.039999999</v>
      </c>
      <c r="U13" s="929">
        <v>0</v>
      </c>
      <c r="V13" s="929">
        <v>0</v>
      </c>
      <c r="W13" s="929">
        <v>0</v>
      </c>
      <c r="X13" s="929">
        <v>0</v>
      </c>
      <c r="Y13" s="929">
        <v>0</v>
      </c>
      <c r="Z13" s="864">
        <v>2759029.92</v>
      </c>
      <c r="AA13" s="929">
        <v>0</v>
      </c>
    </row>
    <row r="14" spans="1:28" s="867" customFormat="1" ht="66.599999999999994" customHeight="1">
      <c r="A14" s="927">
        <v>4</v>
      </c>
      <c r="B14" s="868" t="s">
        <v>1627</v>
      </c>
      <c r="C14" s="925">
        <f t="shared" si="2"/>
        <v>12241360.51</v>
      </c>
      <c r="D14" s="925">
        <f t="shared" si="3"/>
        <v>0</v>
      </c>
      <c r="E14" s="925">
        <v>0</v>
      </c>
      <c r="F14" s="925">
        <v>0</v>
      </c>
      <c r="G14" s="925">
        <v>0</v>
      </c>
      <c r="H14" s="925">
        <v>0</v>
      </c>
      <c r="I14" s="925">
        <v>0</v>
      </c>
      <c r="J14" s="925">
        <v>0</v>
      </c>
      <c r="K14" s="861">
        <v>0</v>
      </c>
      <c r="L14" s="925">
        <v>0</v>
      </c>
      <c r="M14" s="929">
        <v>4</v>
      </c>
      <c r="N14" s="929">
        <v>11352211.390000001</v>
      </c>
      <c r="O14" s="929">
        <v>0</v>
      </c>
      <c r="P14" s="929">
        <v>0</v>
      </c>
      <c r="Q14" s="929">
        <v>0</v>
      </c>
      <c r="R14" s="929">
        <v>0</v>
      </c>
      <c r="S14" s="929">
        <v>0</v>
      </c>
      <c r="T14" s="929">
        <v>0</v>
      </c>
      <c r="U14" s="929">
        <v>0</v>
      </c>
      <c r="V14" s="929">
        <v>0</v>
      </c>
      <c r="W14" s="929">
        <v>0</v>
      </c>
      <c r="X14" s="929">
        <v>0</v>
      </c>
      <c r="Y14" s="929">
        <v>0</v>
      </c>
      <c r="Z14" s="864">
        <v>889149.12</v>
      </c>
      <c r="AA14" s="929">
        <v>0</v>
      </c>
    </row>
    <row r="15" spans="1:28" s="867" customFormat="1" ht="105" customHeight="1">
      <c r="A15" s="927">
        <v>5</v>
      </c>
      <c r="B15" s="868" t="s">
        <v>1628</v>
      </c>
      <c r="C15" s="925">
        <f t="shared" si="2"/>
        <v>3215641</v>
      </c>
      <c r="D15" s="925">
        <f t="shared" si="3"/>
        <v>0</v>
      </c>
      <c r="E15" s="925">
        <v>0</v>
      </c>
      <c r="F15" s="925">
        <v>0</v>
      </c>
      <c r="G15" s="925">
        <v>0</v>
      </c>
      <c r="H15" s="925">
        <v>0</v>
      </c>
      <c r="I15" s="925">
        <v>0</v>
      </c>
      <c r="J15" s="925">
        <v>0</v>
      </c>
      <c r="K15" s="861">
        <v>0</v>
      </c>
      <c r="L15" s="925">
        <v>0</v>
      </c>
      <c r="M15" s="929">
        <v>0</v>
      </c>
      <c r="N15" s="929">
        <v>0</v>
      </c>
      <c r="O15" s="929">
        <v>780</v>
      </c>
      <c r="P15" s="929">
        <v>0</v>
      </c>
      <c r="Q15" s="929">
        <v>0</v>
      </c>
      <c r="R15" s="929">
        <v>0</v>
      </c>
      <c r="S15" s="929">
        <v>1570</v>
      </c>
      <c r="T15" s="929">
        <v>0</v>
      </c>
      <c r="U15" s="929">
        <v>0</v>
      </c>
      <c r="V15" s="929">
        <v>0</v>
      </c>
      <c r="W15" s="929">
        <v>0</v>
      </c>
      <c r="X15" s="929">
        <v>0</v>
      </c>
      <c r="Y15" s="929">
        <v>0</v>
      </c>
      <c r="Z15" s="864">
        <v>3215641</v>
      </c>
      <c r="AA15" s="929">
        <v>0</v>
      </c>
    </row>
    <row r="16" spans="1:28" s="867" customFormat="1" ht="112.5" customHeight="1">
      <c r="A16" s="927">
        <v>6</v>
      </c>
      <c r="B16" s="868" t="s">
        <v>1629</v>
      </c>
      <c r="C16" s="925">
        <f t="shared" si="2"/>
        <v>5225790.5500000007</v>
      </c>
      <c r="D16" s="925">
        <f t="shared" si="3"/>
        <v>0</v>
      </c>
      <c r="E16" s="925">
        <v>0</v>
      </c>
      <c r="F16" s="925">
        <v>0</v>
      </c>
      <c r="G16" s="925">
        <v>0</v>
      </c>
      <c r="H16" s="925">
        <v>0</v>
      </c>
      <c r="I16" s="925">
        <v>0</v>
      </c>
      <c r="J16" s="925">
        <v>0</v>
      </c>
      <c r="K16" s="861">
        <v>0</v>
      </c>
      <c r="L16" s="925">
        <v>0</v>
      </c>
      <c r="M16" s="929">
        <v>0</v>
      </c>
      <c r="N16" s="929">
        <v>0</v>
      </c>
      <c r="O16" s="929">
        <v>570</v>
      </c>
      <c r="P16" s="929">
        <v>4846216.1500000004</v>
      </c>
      <c r="Q16" s="929">
        <v>0</v>
      </c>
      <c r="R16" s="929">
        <v>0</v>
      </c>
      <c r="S16" s="929">
        <v>0</v>
      </c>
      <c r="T16" s="929">
        <v>0</v>
      </c>
      <c r="U16" s="929">
        <v>0</v>
      </c>
      <c r="V16" s="929">
        <v>0</v>
      </c>
      <c r="W16" s="929">
        <v>0</v>
      </c>
      <c r="X16" s="929">
        <v>0</v>
      </c>
      <c r="Y16" s="929">
        <v>0</v>
      </c>
      <c r="Z16" s="864">
        <v>379574.4</v>
      </c>
      <c r="AA16" s="929">
        <v>0</v>
      </c>
    </row>
    <row r="17" spans="1:27" s="867" customFormat="1" ht="119.25" customHeight="1">
      <c r="A17" s="927">
        <v>7</v>
      </c>
      <c r="B17" s="868" t="s">
        <v>1630</v>
      </c>
      <c r="C17" s="925">
        <f t="shared" si="2"/>
        <v>8530938.2020000014</v>
      </c>
      <c r="D17" s="925">
        <f t="shared" si="3"/>
        <v>2803869.25</v>
      </c>
      <c r="E17" s="925">
        <v>370434.42</v>
      </c>
      <c r="F17" s="925">
        <v>985845.47</v>
      </c>
      <c r="G17" s="925">
        <v>0</v>
      </c>
      <c r="H17" s="925">
        <v>594253.99</v>
      </c>
      <c r="I17" s="925">
        <v>594253.99</v>
      </c>
      <c r="J17" s="925">
        <v>259081.38</v>
      </c>
      <c r="K17" s="861">
        <v>0</v>
      </c>
      <c r="L17" s="925">
        <v>0</v>
      </c>
      <c r="M17" s="929">
        <v>0</v>
      </c>
      <c r="N17" s="929">
        <v>0</v>
      </c>
      <c r="O17" s="929">
        <v>371.2</v>
      </c>
      <c r="P17" s="929">
        <v>3316748.91</v>
      </c>
      <c r="Q17" s="929">
        <v>0</v>
      </c>
      <c r="R17" s="929">
        <v>0</v>
      </c>
      <c r="S17" s="929">
        <v>431.6</v>
      </c>
      <c r="T17" s="929">
        <v>1790676.81</v>
      </c>
      <c r="U17" s="929">
        <v>0</v>
      </c>
      <c r="V17" s="929">
        <v>0</v>
      </c>
      <c r="W17" s="929">
        <v>0</v>
      </c>
      <c r="X17" s="929">
        <v>0</v>
      </c>
      <c r="Y17" s="929">
        <v>0</v>
      </c>
      <c r="Z17" s="864">
        <v>619643.23199999996</v>
      </c>
      <c r="AA17" s="929">
        <v>0</v>
      </c>
    </row>
    <row r="18" spans="1:27" s="867" customFormat="1" ht="91.15" customHeight="1">
      <c r="A18" s="927">
        <v>8</v>
      </c>
      <c r="B18" s="868" t="s">
        <v>1631</v>
      </c>
      <c r="C18" s="925">
        <f t="shared" si="2"/>
        <v>18401541.02</v>
      </c>
      <c r="D18" s="925">
        <f t="shared" si="3"/>
        <v>14023074.010000002</v>
      </c>
      <c r="E18" s="925">
        <v>1561455.04</v>
      </c>
      <c r="F18" s="925">
        <v>5154009.4000000004</v>
      </c>
      <c r="G18" s="925">
        <v>1209716.74</v>
      </c>
      <c r="H18" s="925">
        <v>2503258.9700000002</v>
      </c>
      <c r="I18" s="925">
        <v>2503258.9700000002</v>
      </c>
      <c r="J18" s="925">
        <v>1091374.8900000001</v>
      </c>
      <c r="K18" s="861">
        <v>0</v>
      </c>
      <c r="L18" s="925">
        <v>0</v>
      </c>
      <c r="M18" s="929">
        <v>0</v>
      </c>
      <c r="N18" s="929">
        <v>0</v>
      </c>
      <c r="O18" s="929">
        <v>618</v>
      </c>
      <c r="P18" s="929">
        <v>3041874.24</v>
      </c>
      <c r="Q18" s="929">
        <v>0</v>
      </c>
      <c r="R18" s="929">
        <v>0</v>
      </c>
      <c r="S18" s="929">
        <v>0</v>
      </c>
      <c r="T18" s="929">
        <v>0</v>
      </c>
      <c r="U18" s="929">
        <v>0</v>
      </c>
      <c r="V18" s="929">
        <v>0</v>
      </c>
      <c r="W18" s="929">
        <v>0</v>
      </c>
      <c r="X18" s="929">
        <v>0</v>
      </c>
      <c r="Y18" s="929">
        <v>0</v>
      </c>
      <c r="Z18" s="864">
        <v>1336592.77</v>
      </c>
      <c r="AA18" s="929">
        <v>0</v>
      </c>
    </row>
    <row r="19" spans="1:27" s="867" customFormat="1" ht="116.25" customHeight="1">
      <c r="A19" s="927">
        <v>9</v>
      </c>
      <c r="B19" s="868" t="s">
        <v>1632</v>
      </c>
      <c r="C19" s="925">
        <f t="shared" si="2"/>
        <v>18306453</v>
      </c>
      <c r="D19" s="925">
        <f t="shared" si="3"/>
        <v>14269597.300000001</v>
      </c>
      <c r="E19" s="925">
        <v>1710982.89</v>
      </c>
      <c r="F19" s="925">
        <v>4551214.4800000004</v>
      </c>
      <c r="G19" s="925">
        <v>1325561.48</v>
      </c>
      <c r="H19" s="925">
        <v>2742975.73</v>
      </c>
      <c r="I19" s="925">
        <v>2742975.73</v>
      </c>
      <c r="J19" s="925">
        <v>1195886.99</v>
      </c>
      <c r="K19" s="861">
        <v>0</v>
      </c>
      <c r="L19" s="925">
        <v>0</v>
      </c>
      <c r="M19" s="929">
        <v>0</v>
      </c>
      <c r="N19" s="929">
        <v>0</v>
      </c>
      <c r="O19" s="929">
        <v>550</v>
      </c>
      <c r="P19" s="929">
        <v>2707169.63</v>
      </c>
      <c r="Q19" s="929">
        <v>0</v>
      </c>
      <c r="R19" s="929">
        <v>0</v>
      </c>
      <c r="S19" s="929">
        <v>0</v>
      </c>
      <c r="T19" s="929">
        <v>0</v>
      </c>
      <c r="U19" s="929">
        <v>0</v>
      </c>
      <c r="V19" s="929">
        <v>0</v>
      </c>
      <c r="W19" s="929">
        <v>0</v>
      </c>
      <c r="X19" s="929">
        <v>0</v>
      </c>
      <c r="Y19" s="929">
        <v>0</v>
      </c>
      <c r="Z19" s="864">
        <v>1329686.0699999998</v>
      </c>
      <c r="AA19" s="929">
        <v>0</v>
      </c>
    </row>
    <row r="20" spans="1:27" s="867" customFormat="1" ht="98.45" customHeight="1">
      <c r="A20" s="927">
        <v>10</v>
      </c>
      <c r="B20" s="868" t="s">
        <v>2131</v>
      </c>
      <c r="C20" s="925">
        <f t="shared" si="2"/>
        <v>12152935.720000001</v>
      </c>
      <c r="D20" s="925">
        <f t="shared" si="3"/>
        <v>4825583.88</v>
      </c>
      <c r="E20" s="925">
        <v>716297.61</v>
      </c>
      <c r="F20" s="925">
        <v>1905351.63</v>
      </c>
      <c r="G20" s="925">
        <v>554942.15</v>
      </c>
      <c r="H20" s="925">
        <v>1148338.1599999999</v>
      </c>
      <c r="I20" s="925">
        <v>0</v>
      </c>
      <c r="J20" s="925">
        <v>500654.33</v>
      </c>
      <c r="K20" s="861">
        <v>2</v>
      </c>
      <c r="L20" s="925">
        <f>348180+82121</f>
        <v>430301</v>
      </c>
      <c r="M20" s="929">
        <v>0</v>
      </c>
      <c r="N20" s="929">
        <v>0</v>
      </c>
      <c r="O20" s="929">
        <v>707.39</v>
      </c>
      <c r="P20" s="929">
        <v>6014324.29</v>
      </c>
      <c r="Q20" s="929">
        <v>0</v>
      </c>
      <c r="R20" s="929">
        <v>0</v>
      </c>
      <c r="S20" s="929">
        <v>0</v>
      </c>
      <c r="T20" s="929">
        <v>0</v>
      </c>
      <c r="U20" s="929">
        <v>0</v>
      </c>
      <c r="V20" s="929">
        <v>0</v>
      </c>
      <c r="W20" s="929">
        <v>0</v>
      </c>
      <c r="X20" s="929">
        <v>0</v>
      </c>
      <c r="Y20" s="929">
        <v>0</v>
      </c>
      <c r="Z20" s="864">
        <v>882726.55</v>
      </c>
      <c r="AA20" s="929">
        <v>0</v>
      </c>
    </row>
    <row r="21" spans="1:27" s="867" customFormat="1" ht="145.5" customHeight="1">
      <c r="A21" s="1198" t="s">
        <v>2053</v>
      </c>
      <c r="B21" s="1199"/>
      <c r="C21" s="925">
        <f t="shared" si="2"/>
        <v>29365723.829999998</v>
      </c>
      <c r="D21" s="925">
        <f t="shared" si="3"/>
        <v>0</v>
      </c>
      <c r="E21" s="925">
        <f t="shared" ref="E21:AA21" si="4">SUM(E22:E30)</f>
        <v>0</v>
      </c>
      <c r="F21" s="925">
        <f t="shared" si="4"/>
        <v>0</v>
      </c>
      <c r="G21" s="925">
        <f t="shared" si="4"/>
        <v>0</v>
      </c>
      <c r="H21" s="925">
        <f t="shared" si="4"/>
        <v>0</v>
      </c>
      <c r="I21" s="925">
        <f t="shared" si="4"/>
        <v>0</v>
      </c>
      <c r="J21" s="925">
        <f t="shared" si="4"/>
        <v>0</v>
      </c>
      <c r="K21" s="861">
        <f t="shared" si="4"/>
        <v>0</v>
      </c>
      <c r="L21" s="925">
        <f t="shared" si="4"/>
        <v>0</v>
      </c>
      <c r="M21" s="925">
        <f t="shared" si="4"/>
        <v>0</v>
      </c>
      <c r="N21" s="925">
        <f t="shared" si="4"/>
        <v>0</v>
      </c>
      <c r="O21" s="925">
        <f t="shared" si="4"/>
        <v>3797.0099999999998</v>
      </c>
      <c r="P21" s="925">
        <f t="shared" si="4"/>
        <v>24780539.050000001</v>
      </c>
      <c r="Q21" s="925">
        <f t="shared" si="4"/>
        <v>0</v>
      </c>
      <c r="R21" s="925">
        <f t="shared" si="4"/>
        <v>0</v>
      </c>
      <c r="S21" s="925">
        <f t="shared" si="4"/>
        <v>0</v>
      </c>
      <c r="T21" s="925">
        <f t="shared" si="4"/>
        <v>0</v>
      </c>
      <c r="U21" s="925">
        <f t="shared" si="4"/>
        <v>0</v>
      </c>
      <c r="V21" s="925">
        <f t="shared" si="4"/>
        <v>0</v>
      </c>
      <c r="W21" s="925">
        <f t="shared" si="4"/>
        <v>0</v>
      </c>
      <c r="X21" s="925">
        <f t="shared" si="4"/>
        <v>0</v>
      </c>
      <c r="Y21" s="925">
        <f t="shared" si="4"/>
        <v>0</v>
      </c>
      <c r="Z21" s="925">
        <f t="shared" si="4"/>
        <v>4585184.7799999993</v>
      </c>
      <c r="AA21" s="925">
        <f t="shared" si="4"/>
        <v>0</v>
      </c>
    </row>
    <row r="22" spans="1:27" s="867" customFormat="1" ht="166.15" customHeight="1">
      <c r="A22" s="927">
        <v>11</v>
      </c>
      <c r="B22" s="868" t="s">
        <v>1597</v>
      </c>
      <c r="C22" s="925">
        <f t="shared" si="2"/>
        <v>4898148.28</v>
      </c>
      <c r="D22" s="925">
        <f t="shared" si="3"/>
        <v>0</v>
      </c>
      <c r="E22" s="925">
        <v>0</v>
      </c>
      <c r="F22" s="925">
        <v>0</v>
      </c>
      <c r="G22" s="925">
        <v>0</v>
      </c>
      <c r="H22" s="925">
        <v>0</v>
      </c>
      <c r="I22" s="925">
        <v>0</v>
      </c>
      <c r="J22" s="925">
        <v>0</v>
      </c>
      <c r="K22" s="861">
        <v>0</v>
      </c>
      <c r="L22" s="925">
        <v>0</v>
      </c>
      <c r="M22" s="925">
        <v>0</v>
      </c>
      <c r="N22" s="925">
        <v>0</v>
      </c>
      <c r="O22" s="925">
        <v>614</v>
      </c>
      <c r="P22" s="925">
        <v>4542372.12</v>
      </c>
      <c r="Q22" s="925">
        <v>0</v>
      </c>
      <c r="R22" s="925">
        <v>0</v>
      </c>
      <c r="S22" s="925">
        <v>0</v>
      </c>
      <c r="T22" s="925">
        <v>0</v>
      </c>
      <c r="U22" s="925">
        <v>0</v>
      </c>
      <c r="V22" s="925">
        <v>0</v>
      </c>
      <c r="W22" s="925">
        <v>0</v>
      </c>
      <c r="X22" s="925">
        <v>0</v>
      </c>
      <c r="Y22" s="925">
        <v>0</v>
      </c>
      <c r="Z22" s="921">
        <v>355776.16</v>
      </c>
      <c r="AA22" s="925">
        <v>0</v>
      </c>
    </row>
    <row r="23" spans="1:27" s="867" customFormat="1" ht="131.44999999999999" customHeight="1">
      <c r="A23" s="927">
        <v>12</v>
      </c>
      <c r="B23" s="868" t="s">
        <v>1592</v>
      </c>
      <c r="C23" s="925">
        <f t="shared" si="2"/>
        <v>1191236</v>
      </c>
      <c r="D23" s="925">
        <f t="shared" si="3"/>
        <v>0</v>
      </c>
      <c r="E23" s="925">
        <v>0</v>
      </c>
      <c r="F23" s="925">
        <v>0</v>
      </c>
      <c r="G23" s="925">
        <v>0</v>
      </c>
      <c r="H23" s="925">
        <v>0</v>
      </c>
      <c r="I23" s="925">
        <v>0</v>
      </c>
      <c r="J23" s="925">
        <v>0</v>
      </c>
      <c r="K23" s="861">
        <v>0</v>
      </c>
      <c r="L23" s="925">
        <v>0</v>
      </c>
      <c r="M23" s="925">
        <v>0</v>
      </c>
      <c r="N23" s="925">
        <v>0</v>
      </c>
      <c r="O23" s="925">
        <v>0</v>
      </c>
      <c r="P23" s="925">
        <v>0</v>
      </c>
      <c r="Q23" s="925">
        <v>0</v>
      </c>
      <c r="R23" s="925">
        <v>0</v>
      </c>
      <c r="S23" s="925">
        <v>0</v>
      </c>
      <c r="T23" s="925">
        <v>0</v>
      </c>
      <c r="U23" s="925">
        <v>0</v>
      </c>
      <c r="V23" s="925">
        <v>0</v>
      </c>
      <c r="W23" s="925">
        <v>0</v>
      </c>
      <c r="X23" s="925">
        <v>0</v>
      </c>
      <c r="Y23" s="925">
        <v>0</v>
      </c>
      <c r="Z23" s="921">
        <v>1191236</v>
      </c>
      <c r="AA23" s="925">
        <v>0</v>
      </c>
    </row>
    <row r="24" spans="1:27" s="867" customFormat="1" ht="135" customHeight="1">
      <c r="A24" s="927">
        <v>13</v>
      </c>
      <c r="B24" s="868" t="s">
        <v>2132</v>
      </c>
      <c r="C24" s="925">
        <f t="shared" si="2"/>
        <v>6253469.2199999997</v>
      </c>
      <c r="D24" s="925">
        <f t="shared" si="3"/>
        <v>0</v>
      </c>
      <c r="E24" s="925">
        <v>0</v>
      </c>
      <c r="F24" s="925">
        <v>0</v>
      </c>
      <c r="G24" s="925">
        <v>0</v>
      </c>
      <c r="H24" s="925">
        <v>0</v>
      </c>
      <c r="I24" s="925">
        <v>0</v>
      </c>
      <c r="J24" s="925">
        <v>0</v>
      </c>
      <c r="K24" s="861">
        <v>0</v>
      </c>
      <c r="L24" s="925">
        <v>0</v>
      </c>
      <c r="M24" s="925">
        <v>0</v>
      </c>
      <c r="N24" s="925">
        <v>0</v>
      </c>
      <c r="O24" s="925">
        <v>1178.2</v>
      </c>
      <c r="P24" s="925">
        <v>5799249.5599999996</v>
      </c>
      <c r="Q24" s="925">
        <v>0</v>
      </c>
      <c r="R24" s="925">
        <v>0</v>
      </c>
      <c r="S24" s="925">
        <v>0</v>
      </c>
      <c r="T24" s="925">
        <v>0</v>
      </c>
      <c r="U24" s="925">
        <v>0</v>
      </c>
      <c r="V24" s="925">
        <v>0</v>
      </c>
      <c r="W24" s="925">
        <v>0</v>
      </c>
      <c r="X24" s="925">
        <v>0</v>
      </c>
      <c r="Y24" s="925">
        <v>0</v>
      </c>
      <c r="Z24" s="921">
        <v>454219.66</v>
      </c>
      <c r="AA24" s="925">
        <v>0</v>
      </c>
    </row>
    <row r="25" spans="1:27" s="867" customFormat="1" ht="126.6" customHeight="1">
      <c r="A25" s="927">
        <v>14</v>
      </c>
      <c r="B25" s="868" t="s">
        <v>1598</v>
      </c>
      <c r="C25" s="925">
        <f t="shared" si="2"/>
        <v>3863966.72</v>
      </c>
      <c r="D25" s="925">
        <f t="shared" si="3"/>
        <v>0</v>
      </c>
      <c r="E25" s="925">
        <v>0</v>
      </c>
      <c r="F25" s="925">
        <v>0</v>
      </c>
      <c r="G25" s="925">
        <v>0</v>
      </c>
      <c r="H25" s="925">
        <v>0</v>
      </c>
      <c r="I25" s="925">
        <v>0</v>
      </c>
      <c r="J25" s="925">
        <v>0</v>
      </c>
      <c r="K25" s="861">
        <v>0</v>
      </c>
      <c r="L25" s="925">
        <v>0</v>
      </c>
      <c r="M25" s="925">
        <v>0</v>
      </c>
      <c r="N25" s="925">
        <v>0</v>
      </c>
      <c r="O25" s="925">
        <v>728</v>
      </c>
      <c r="P25" s="925">
        <v>3583308.16</v>
      </c>
      <c r="Q25" s="925">
        <v>0</v>
      </c>
      <c r="R25" s="925">
        <v>0</v>
      </c>
      <c r="S25" s="925">
        <v>0</v>
      </c>
      <c r="T25" s="925">
        <v>0</v>
      </c>
      <c r="U25" s="925">
        <v>0</v>
      </c>
      <c r="V25" s="925">
        <v>0</v>
      </c>
      <c r="W25" s="925">
        <v>0</v>
      </c>
      <c r="X25" s="925">
        <v>0</v>
      </c>
      <c r="Y25" s="925">
        <v>0</v>
      </c>
      <c r="Z25" s="921">
        <v>280658.56</v>
      </c>
      <c r="AA25" s="925">
        <v>0</v>
      </c>
    </row>
    <row r="26" spans="1:27" s="867" customFormat="1" ht="118.5" customHeight="1">
      <c r="A26" s="927">
        <v>15</v>
      </c>
      <c r="B26" s="868" t="s">
        <v>1593</v>
      </c>
      <c r="C26" s="925">
        <f t="shared" si="2"/>
        <v>7720509.6200000001</v>
      </c>
      <c r="D26" s="925">
        <f t="shared" si="3"/>
        <v>0</v>
      </c>
      <c r="E26" s="925">
        <v>0</v>
      </c>
      <c r="F26" s="925">
        <v>0</v>
      </c>
      <c r="G26" s="925">
        <v>0</v>
      </c>
      <c r="H26" s="925">
        <v>0</v>
      </c>
      <c r="I26" s="925">
        <v>0</v>
      </c>
      <c r="J26" s="925">
        <v>0</v>
      </c>
      <c r="K26" s="861">
        <v>0</v>
      </c>
      <c r="L26" s="925">
        <v>0</v>
      </c>
      <c r="M26" s="925">
        <v>0</v>
      </c>
      <c r="N26" s="925">
        <v>0</v>
      </c>
      <c r="O26" s="925">
        <v>842.11</v>
      </c>
      <c r="P26" s="925">
        <v>7159731.7300000004</v>
      </c>
      <c r="Q26" s="925">
        <v>0</v>
      </c>
      <c r="R26" s="925">
        <v>0</v>
      </c>
      <c r="S26" s="925">
        <v>0</v>
      </c>
      <c r="T26" s="925">
        <v>0</v>
      </c>
      <c r="U26" s="925">
        <v>0</v>
      </c>
      <c r="V26" s="925">
        <v>0</v>
      </c>
      <c r="W26" s="925">
        <v>0</v>
      </c>
      <c r="X26" s="925">
        <v>0</v>
      </c>
      <c r="Y26" s="925">
        <v>0</v>
      </c>
      <c r="Z26" s="921">
        <v>560777.89</v>
      </c>
      <c r="AA26" s="925">
        <v>0</v>
      </c>
    </row>
    <row r="27" spans="1:27" s="867" customFormat="1" ht="96" customHeight="1">
      <c r="A27" s="927">
        <v>16</v>
      </c>
      <c r="B27" s="868" t="s">
        <v>1594</v>
      </c>
      <c r="C27" s="925">
        <f t="shared" si="2"/>
        <v>1210508</v>
      </c>
      <c r="D27" s="925">
        <f t="shared" si="3"/>
        <v>0</v>
      </c>
      <c r="E27" s="925">
        <v>0</v>
      </c>
      <c r="F27" s="925">
        <v>0</v>
      </c>
      <c r="G27" s="925">
        <v>0</v>
      </c>
      <c r="H27" s="925">
        <v>0</v>
      </c>
      <c r="I27" s="925">
        <v>0</v>
      </c>
      <c r="J27" s="925">
        <v>0</v>
      </c>
      <c r="K27" s="861">
        <v>0</v>
      </c>
      <c r="L27" s="925">
        <v>0</v>
      </c>
      <c r="M27" s="925">
        <v>0</v>
      </c>
      <c r="N27" s="925">
        <v>0</v>
      </c>
      <c r="O27" s="925">
        <v>0</v>
      </c>
      <c r="P27" s="925">
        <v>0</v>
      </c>
      <c r="Q27" s="925">
        <v>0</v>
      </c>
      <c r="R27" s="925">
        <v>0</v>
      </c>
      <c r="S27" s="925">
        <v>0</v>
      </c>
      <c r="T27" s="925">
        <v>0</v>
      </c>
      <c r="U27" s="925">
        <v>0</v>
      </c>
      <c r="V27" s="925">
        <v>0</v>
      </c>
      <c r="W27" s="925">
        <v>0</v>
      </c>
      <c r="X27" s="925">
        <v>0</v>
      </c>
      <c r="Y27" s="925">
        <v>0</v>
      </c>
      <c r="Z27" s="921">
        <v>1210508</v>
      </c>
      <c r="AA27" s="925">
        <v>0</v>
      </c>
    </row>
    <row r="28" spans="1:27" s="870" customFormat="1" ht="90" customHeight="1">
      <c r="A28" s="927">
        <v>17</v>
      </c>
      <c r="B28" s="868" t="s">
        <v>1074</v>
      </c>
      <c r="C28" s="925">
        <f t="shared" si="2"/>
        <v>3985352.48</v>
      </c>
      <c r="D28" s="925">
        <f t="shared" si="3"/>
        <v>0</v>
      </c>
      <c r="E28" s="925">
        <v>0</v>
      </c>
      <c r="F28" s="925">
        <v>0</v>
      </c>
      <c r="G28" s="925">
        <v>0</v>
      </c>
      <c r="H28" s="925">
        <v>0</v>
      </c>
      <c r="I28" s="925">
        <v>0</v>
      </c>
      <c r="J28" s="925">
        <v>0</v>
      </c>
      <c r="K28" s="861">
        <v>0</v>
      </c>
      <c r="L28" s="925">
        <v>0</v>
      </c>
      <c r="M28" s="925">
        <v>0</v>
      </c>
      <c r="N28" s="925">
        <v>0</v>
      </c>
      <c r="O28" s="925">
        <v>434.7</v>
      </c>
      <c r="P28" s="925">
        <v>3695877.48</v>
      </c>
      <c r="Q28" s="925">
        <v>0</v>
      </c>
      <c r="R28" s="925">
        <v>0</v>
      </c>
      <c r="S28" s="925">
        <v>0</v>
      </c>
      <c r="T28" s="925">
        <v>0</v>
      </c>
      <c r="U28" s="925">
        <v>0</v>
      </c>
      <c r="V28" s="925">
        <v>0</v>
      </c>
      <c r="W28" s="925">
        <v>0</v>
      </c>
      <c r="X28" s="925">
        <v>0</v>
      </c>
      <c r="Y28" s="925">
        <v>0</v>
      </c>
      <c r="Z28" s="921">
        <v>289475</v>
      </c>
      <c r="AA28" s="925">
        <v>0</v>
      </c>
    </row>
    <row r="29" spans="1:27" s="870" customFormat="1" ht="94.9" customHeight="1">
      <c r="A29" s="927">
        <v>18</v>
      </c>
      <c r="B29" s="868" t="s">
        <v>1595</v>
      </c>
      <c r="C29" s="925">
        <f t="shared" si="2"/>
        <v>146528.6</v>
      </c>
      <c r="D29" s="925">
        <f t="shared" si="3"/>
        <v>0</v>
      </c>
      <c r="E29" s="925">
        <v>0</v>
      </c>
      <c r="F29" s="925">
        <v>0</v>
      </c>
      <c r="G29" s="925">
        <v>0</v>
      </c>
      <c r="H29" s="925">
        <v>0</v>
      </c>
      <c r="I29" s="925">
        <v>0</v>
      </c>
      <c r="J29" s="925">
        <v>0</v>
      </c>
      <c r="K29" s="861">
        <v>0</v>
      </c>
      <c r="L29" s="925">
        <v>0</v>
      </c>
      <c r="M29" s="925">
        <v>0</v>
      </c>
      <c r="N29" s="925">
        <v>0</v>
      </c>
      <c r="O29" s="925">
        <v>0</v>
      </c>
      <c r="P29" s="925">
        <v>0</v>
      </c>
      <c r="Q29" s="925">
        <v>0</v>
      </c>
      <c r="R29" s="925">
        <v>0</v>
      </c>
      <c r="S29" s="925">
        <v>0</v>
      </c>
      <c r="T29" s="925">
        <v>0</v>
      </c>
      <c r="U29" s="925">
        <v>0</v>
      </c>
      <c r="V29" s="925">
        <v>0</v>
      </c>
      <c r="W29" s="925">
        <v>0</v>
      </c>
      <c r="X29" s="925">
        <v>0</v>
      </c>
      <c r="Y29" s="925">
        <v>0</v>
      </c>
      <c r="Z29" s="921">
        <v>146528.6</v>
      </c>
      <c r="AA29" s="925">
        <v>0</v>
      </c>
    </row>
    <row r="30" spans="1:27" s="870" customFormat="1" ht="103.15" customHeight="1">
      <c r="A30" s="927">
        <v>19</v>
      </c>
      <c r="B30" s="868" t="s">
        <v>2133</v>
      </c>
      <c r="C30" s="925">
        <f t="shared" si="2"/>
        <v>96004.91</v>
      </c>
      <c r="D30" s="925">
        <f t="shared" si="3"/>
        <v>0</v>
      </c>
      <c r="E30" s="925">
        <v>0</v>
      </c>
      <c r="F30" s="925">
        <v>0</v>
      </c>
      <c r="G30" s="925">
        <v>0</v>
      </c>
      <c r="H30" s="925">
        <v>0</v>
      </c>
      <c r="I30" s="925">
        <v>0</v>
      </c>
      <c r="J30" s="925">
        <v>0</v>
      </c>
      <c r="K30" s="861">
        <v>0</v>
      </c>
      <c r="L30" s="925">
        <v>0</v>
      </c>
      <c r="M30" s="925">
        <v>0</v>
      </c>
      <c r="N30" s="925">
        <v>0</v>
      </c>
      <c r="O30" s="925">
        <v>0</v>
      </c>
      <c r="P30" s="925">
        <v>0</v>
      </c>
      <c r="Q30" s="925">
        <v>0</v>
      </c>
      <c r="R30" s="925">
        <v>0</v>
      </c>
      <c r="S30" s="925">
        <v>0</v>
      </c>
      <c r="T30" s="925">
        <v>0</v>
      </c>
      <c r="U30" s="925">
        <v>0</v>
      </c>
      <c r="V30" s="925">
        <v>0</v>
      </c>
      <c r="W30" s="925">
        <v>0</v>
      </c>
      <c r="X30" s="925">
        <v>0</v>
      </c>
      <c r="Y30" s="925">
        <v>0</v>
      </c>
      <c r="Z30" s="921">
        <v>96004.91</v>
      </c>
      <c r="AA30" s="925">
        <v>0</v>
      </c>
    </row>
    <row r="31" spans="1:27" s="867" customFormat="1" ht="98.45" customHeight="1">
      <c r="A31" s="1198" t="s">
        <v>2272</v>
      </c>
      <c r="B31" s="1199"/>
      <c r="C31" s="925">
        <f t="shared" si="2"/>
        <v>10176539.5</v>
      </c>
      <c r="D31" s="925">
        <f t="shared" si="3"/>
        <v>0</v>
      </c>
      <c r="E31" s="925">
        <f t="shared" ref="E31:T31" si="5">SUM(E32:E32)</f>
        <v>0</v>
      </c>
      <c r="F31" s="925">
        <f t="shared" si="5"/>
        <v>0</v>
      </c>
      <c r="G31" s="925">
        <f t="shared" si="5"/>
        <v>0</v>
      </c>
      <c r="H31" s="925">
        <f t="shared" si="5"/>
        <v>0</v>
      </c>
      <c r="I31" s="925">
        <f t="shared" si="5"/>
        <v>0</v>
      </c>
      <c r="J31" s="925">
        <f t="shared" si="5"/>
        <v>0</v>
      </c>
      <c r="K31" s="861">
        <f t="shared" si="5"/>
        <v>0</v>
      </c>
      <c r="L31" s="925">
        <f t="shared" si="5"/>
        <v>0</v>
      </c>
      <c r="M31" s="925">
        <f t="shared" si="5"/>
        <v>0</v>
      </c>
      <c r="N31" s="925">
        <f t="shared" si="5"/>
        <v>0</v>
      </c>
      <c r="O31" s="925">
        <f t="shared" si="5"/>
        <v>1110</v>
      </c>
      <c r="P31" s="925">
        <f t="shared" si="5"/>
        <v>9437368.3000000007</v>
      </c>
      <c r="Q31" s="925">
        <f t="shared" si="5"/>
        <v>0</v>
      </c>
      <c r="R31" s="925">
        <f t="shared" si="5"/>
        <v>0</v>
      </c>
      <c r="S31" s="925">
        <f t="shared" si="5"/>
        <v>0</v>
      </c>
      <c r="T31" s="925">
        <f t="shared" si="5"/>
        <v>0</v>
      </c>
      <c r="U31" s="925">
        <v>0</v>
      </c>
      <c r="V31" s="925">
        <v>0</v>
      </c>
      <c r="W31" s="925">
        <f>SUM(W32:W32)</f>
        <v>0</v>
      </c>
      <c r="X31" s="925">
        <f>SUM(X32:X32)</f>
        <v>0</v>
      </c>
      <c r="Y31" s="925">
        <v>0</v>
      </c>
      <c r="Z31" s="921">
        <f>SUM(Z32:Z32)</f>
        <v>739171.2</v>
      </c>
      <c r="AA31" s="925">
        <f>SUM(AA32:AA32)</f>
        <v>0</v>
      </c>
    </row>
    <row r="32" spans="1:27" s="867" customFormat="1" ht="107.25" customHeight="1">
      <c r="A32" s="927">
        <v>20</v>
      </c>
      <c r="B32" s="868" t="s">
        <v>1310</v>
      </c>
      <c r="C32" s="925">
        <f t="shared" si="2"/>
        <v>10176539.5</v>
      </c>
      <c r="D32" s="925">
        <f t="shared" si="3"/>
        <v>0</v>
      </c>
      <c r="E32" s="925">
        <v>0</v>
      </c>
      <c r="F32" s="925">
        <v>0</v>
      </c>
      <c r="G32" s="925">
        <v>0</v>
      </c>
      <c r="H32" s="925">
        <v>0</v>
      </c>
      <c r="I32" s="925">
        <v>0</v>
      </c>
      <c r="J32" s="925">
        <v>0</v>
      </c>
      <c r="K32" s="861">
        <v>0</v>
      </c>
      <c r="L32" s="925">
        <v>0</v>
      </c>
      <c r="M32" s="925">
        <v>0</v>
      </c>
      <c r="N32" s="925">
        <v>0</v>
      </c>
      <c r="O32" s="925">
        <v>1110</v>
      </c>
      <c r="P32" s="925">
        <v>9437368.3000000007</v>
      </c>
      <c r="Q32" s="925">
        <v>0</v>
      </c>
      <c r="R32" s="925">
        <v>0</v>
      </c>
      <c r="S32" s="925">
        <v>0</v>
      </c>
      <c r="T32" s="925">
        <v>0</v>
      </c>
      <c r="U32" s="925">
        <v>0</v>
      </c>
      <c r="V32" s="925">
        <v>0</v>
      </c>
      <c r="W32" s="925">
        <v>0</v>
      </c>
      <c r="X32" s="925">
        <v>0</v>
      </c>
      <c r="Y32" s="925">
        <v>0</v>
      </c>
      <c r="Z32" s="921">
        <v>739171.2</v>
      </c>
      <c r="AA32" s="925">
        <v>0</v>
      </c>
    </row>
    <row r="33" spans="1:27" s="867" customFormat="1" ht="88.9" customHeight="1">
      <c r="A33" s="1198" t="s">
        <v>2054</v>
      </c>
      <c r="B33" s="1199"/>
      <c r="C33" s="925">
        <f>D33+L33+N33+P33+R33+T33+V33+X33+Z33+AA33</f>
        <v>14556403.25</v>
      </c>
      <c r="D33" s="925">
        <f t="shared" si="3"/>
        <v>0</v>
      </c>
      <c r="E33" s="925">
        <f t="shared" ref="E33:AA33" si="6">SUM(E34:E36)</f>
        <v>0</v>
      </c>
      <c r="F33" s="925">
        <f t="shared" si="6"/>
        <v>0</v>
      </c>
      <c r="G33" s="925">
        <f t="shared" si="6"/>
        <v>0</v>
      </c>
      <c r="H33" s="925">
        <f t="shared" si="6"/>
        <v>0</v>
      </c>
      <c r="I33" s="925">
        <f t="shared" si="6"/>
        <v>0</v>
      </c>
      <c r="J33" s="925">
        <f t="shared" si="6"/>
        <v>0</v>
      </c>
      <c r="K33" s="861">
        <f t="shared" si="6"/>
        <v>0</v>
      </c>
      <c r="L33" s="925">
        <f t="shared" si="6"/>
        <v>0</v>
      </c>
      <c r="M33" s="925">
        <f t="shared" si="6"/>
        <v>0</v>
      </c>
      <c r="N33" s="925">
        <f t="shared" si="6"/>
        <v>0</v>
      </c>
      <c r="O33" s="925">
        <f t="shared" si="6"/>
        <v>1931</v>
      </c>
      <c r="P33" s="925">
        <f t="shared" si="6"/>
        <v>13709423.369999999</v>
      </c>
      <c r="Q33" s="925">
        <f t="shared" si="6"/>
        <v>0</v>
      </c>
      <c r="R33" s="925">
        <f t="shared" si="6"/>
        <v>0</v>
      </c>
      <c r="S33" s="925">
        <f t="shared" si="6"/>
        <v>0</v>
      </c>
      <c r="T33" s="925">
        <f t="shared" si="6"/>
        <v>0</v>
      </c>
      <c r="U33" s="925">
        <f t="shared" si="6"/>
        <v>0</v>
      </c>
      <c r="V33" s="925">
        <f t="shared" si="6"/>
        <v>0</v>
      </c>
      <c r="W33" s="925">
        <f t="shared" si="6"/>
        <v>0</v>
      </c>
      <c r="X33" s="925">
        <f t="shared" si="6"/>
        <v>0</v>
      </c>
      <c r="Y33" s="925">
        <f t="shared" si="6"/>
        <v>0</v>
      </c>
      <c r="Z33" s="921">
        <f t="shared" si="6"/>
        <v>846979.88</v>
      </c>
      <c r="AA33" s="925">
        <f t="shared" si="6"/>
        <v>0</v>
      </c>
    </row>
    <row r="34" spans="1:27" s="867" customFormat="1" ht="104.25" customHeight="1">
      <c r="A34" s="927">
        <v>21</v>
      </c>
      <c r="B34" s="868" t="s">
        <v>2134</v>
      </c>
      <c r="C34" s="925">
        <f t="shared" si="2"/>
        <v>5170782.2299999995</v>
      </c>
      <c r="D34" s="925">
        <f t="shared" si="3"/>
        <v>0</v>
      </c>
      <c r="E34" s="925">
        <v>0</v>
      </c>
      <c r="F34" s="925">
        <v>0</v>
      </c>
      <c r="G34" s="925">
        <v>0</v>
      </c>
      <c r="H34" s="925">
        <v>0</v>
      </c>
      <c r="I34" s="925">
        <v>0</v>
      </c>
      <c r="J34" s="925">
        <v>0</v>
      </c>
      <c r="K34" s="861">
        <v>0</v>
      </c>
      <c r="L34" s="925">
        <v>0</v>
      </c>
      <c r="M34" s="925">
        <v>0</v>
      </c>
      <c r="N34" s="925">
        <v>0</v>
      </c>
      <c r="O34" s="925">
        <v>564</v>
      </c>
      <c r="P34" s="925">
        <v>4795203.3499999996</v>
      </c>
      <c r="Q34" s="925">
        <v>0</v>
      </c>
      <c r="R34" s="925">
        <v>0</v>
      </c>
      <c r="S34" s="925">
        <v>0</v>
      </c>
      <c r="T34" s="925">
        <v>0</v>
      </c>
      <c r="U34" s="925">
        <v>0</v>
      </c>
      <c r="V34" s="925">
        <v>0</v>
      </c>
      <c r="W34" s="925">
        <v>0</v>
      </c>
      <c r="X34" s="925">
        <v>0</v>
      </c>
      <c r="Y34" s="925">
        <v>0</v>
      </c>
      <c r="Z34" s="921">
        <v>375578.88</v>
      </c>
      <c r="AA34" s="925">
        <v>0</v>
      </c>
    </row>
    <row r="35" spans="1:27" s="867" customFormat="1" ht="87" customHeight="1">
      <c r="A35" s="927">
        <v>22</v>
      </c>
      <c r="B35" s="868" t="s">
        <v>2135</v>
      </c>
      <c r="C35" s="925">
        <f t="shared" si="2"/>
        <v>5170782.2299999995</v>
      </c>
      <c r="D35" s="925">
        <f t="shared" si="3"/>
        <v>0</v>
      </c>
      <c r="E35" s="925">
        <v>0</v>
      </c>
      <c r="F35" s="925">
        <v>0</v>
      </c>
      <c r="G35" s="925">
        <v>0</v>
      </c>
      <c r="H35" s="925">
        <v>0</v>
      </c>
      <c r="I35" s="925">
        <v>0</v>
      </c>
      <c r="J35" s="925">
        <v>0</v>
      </c>
      <c r="K35" s="861">
        <v>0</v>
      </c>
      <c r="L35" s="925">
        <v>0</v>
      </c>
      <c r="M35" s="925">
        <v>0</v>
      </c>
      <c r="N35" s="925">
        <v>0</v>
      </c>
      <c r="O35" s="925">
        <v>564</v>
      </c>
      <c r="P35" s="925">
        <v>4795203.3499999996</v>
      </c>
      <c r="Q35" s="925">
        <v>0</v>
      </c>
      <c r="R35" s="925">
        <v>0</v>
      </c>
      <c r="S35" s="925">
        <v>0</v>
      </c>
      <c r="T35" s="925">
        <v>0</v>
      </c>
      <c r="U35" s="925">
        <v>0</v>
      </c>
      <c r="V35" s="925">
        <v>0</v>
      </c>
      <c r="W35" s="925">
        <v>0</v>
      </c>
      <c r="X35" s="925">
        <v>0</v>
      </c>
      <c r="Y35" s="925">
        <v>0</v>
      </c>
      <c r="Z35" s="921">
        <v>375578.88</v>
      </c>
      <c r="AA35" s="925">
        <v>0</v>
      </c>
    </row>
    <row r="36" spans="1:27" s="867" customFormat="1" ht="102.75" customHeight="1">
      <c r="A36" s="927">
        <v>23</v>
      </c>
      <c r="B36" s="868" t="s">
        <v>1457</v>
      </c>
      <c r="C36" s="925">
        <f t="shared" si="2"/>
        <v>4214838.79</v>
      </c>
      <c r="D36" s="925">
        <f t="shared" si="3"/>
        <v>0</v>
      </c>
      <c r="E36" s="925">
        <v>0</v>
      </c>
      <c r="F36" s="925">
        <v>0</v>
      </c>
      <c r="G36" s="925">
        <v>0</v>
      </c>
      <c r="H36" s="925">
        <v>0</v>
      </c>
      <c r="I36" s="925">
        <v>0</v>
      </c>
      <c r="J36" s="925">
        <v>0</v>
      </c>
      <c r="K36" s="861">
        <v>0</v>
      </c>
      <c r="L36" s="925">
        <v>0</v>
      </c>
      <c r="M36" s="925">
        <v>0</v>
      </c>
      <c r="N36" s="925">
        <v>0</v>
      </c>
      <c r="O36" s="925">
        <v>803</v>
      </c>
      <c r="P36" s="925">
        <v>4119016.67</v>
      </c>
      <c r="Q36" s="925">
        <v>0</v>
      </c>
      <c r="R36" s="925">
        <v>0</v>
      </c>
      <c r="S36" s="925">
        <v>0</v>
      </c>
      <c r="T36" s="925">
        <v>0</v>
      </c>
      <c r="U36" s="925">
        <v>0</v>
      </c>
      <c r="V36" s="925">
        <v>0</v>
      </c>
      <c r="W36" s="925">
        <v>0</v>
      </c>
      <c r="X36" s="925">
        <v>0</v>
      </c>
      <c r="Y36" s="925">
        <v>0</v>
      </c>
      <c r="Z36" s="921">
        <v>95822.12</v>
      </c>
      <c r="AA36" s="925">
        <v>0</v>
      </c>
    </row>
    <row r="37" spans="1:27" s="867" customFormat="1" ht="111.75" customHeight="1">
      <c r="A37" s="1198" t="s">
        <v>2055</v>
      </c>
      <c r="B37" s="1199"/>
      <c r="C37" s="925">
        <f t="shared" si="2"/>
        <v>1588224.3099999998</v>
      </c>
      <c r="D37" s="925">
        <f t="shared" si="3"/>
        <v>1472863.91</v>
      </c>
      <c r="E37" s="925">
        <f t="shared" ref="E37:AA37" si="7" xml:space="preserve"> SUM(E38)</f>
        <v>1472863.91</v>
      </c>
      <c r="F37" s="925">
        <f t="shared" si="7"/>
        <v>0</v>
      </c>
      <c r="G37" s="925">
        <f t="shared" si="7"/>
        <v>0</v>
      </c>
      <c r="H37" s="925">
        <f t="shared" si="7"/>
        <v>0</v>
      </c>
      <c r="I37" s="925">
        <f t="shared" si="7"/>
        <v>0</v>
      </c>
      <c r="J37" s="925">
        <f t="shared" si="7"/>
        <v>0</v>
      </c>
      <c r="K37" s="861">
        <f t="shared" si="7"/>
        <v>0</v>
      </c>
      <c r="L37" s="925">
        <f t="shared" si="7"/>
        <v>0</v>
      </c>
      <c r="M37" s="925">
        <f t="shared" si="7"/>
        <v>0</v>
      </c>
      <c r="N37" s="925">
        <f t="shared" si="7"/>
        <v>0</v>
      </c>
      <c r="O37" s="925">
        <f t="shared" si="7"/>
        <v>0</v>
      </c>
      <c r="P37" s="925">
        <f t="shared" si="7"/>
        <v>0</v>
      </c>
      <c r="Q37" s="925">
        <f t="shared" si="7"/>
        <v>0</v>
      </c>
      <c r="R37" s="925">
        <f t="shared" si="7"/>
        <v>0</v>
      </c>
      <c r="S37" s="925">
        <f t="shared" si="7"/>
        <v>0</v>
      </c>
      <c r="T37" s="925">
        <f t="shared" si="7"/>
        <v>0</v>
      </c>
      <c r="U37" s="925">
        <f t="shared" si="7"/>
        <v>0</v>
      </c>
      <c r="V37" s="925">
        <f t="shared" si="7"/>
        <v>0</v>
      </c>
      <c r="W37" s="925">
        <f t="shared" si="7"/>
        <v>0</v>
      </c>
      <c r="X37" s="925">
        <f t="shared" si="7"/>
        <v>0</v>
      </c>
      <c r="Y37" s="925">
        <f t="shared" si="7"/>
        <v>0</v>
      </c>
      <c r="Z37" s="921">
        <f t="shared" si="7"/>
        <v>115360.4</v>
      </c>
      <c r="AA37" s="925">
        <f t="shared" si="7"/>
        <v>0</v>
      </c>
    </row>
    <row r="38" spans="1:27" s="867" customFormat="1" ht="102.75" customHeight="1">
      <c r="A38" s="927">
        <v>24</v>
      </c>
      <c r="B38" s="868" t="s">
        <v>1379</v>
      </c>
      <c r="C38" s="925">
        <f t="shared" si="2"/>
        <v>1588224.3099999998</v>
      </c>
      <c r="D38" s="925">
        <f t="shared" si="3"/>
        <v>1472863.91</v>
      </c>
      <c r="E38" s="925">
        <v>1472863.91</v>
      </c>
      <c r="F38" s="925">
        <v>0</v>
      </c>
      <c r="G38" s="925">
        <v>0</v>
      </c>
      <c r="H38" s="925">
        <v>0</v>
      </c>
      <c r="I38" s="925">
        <v>0</v>
      </c>
      <c r="J38" s="925">
        <v>0</v>
      </c>
      <c r="K38" s="861">
        <v>0</v>
      </c>
      <c r="L38" s="925">
        <v>0</v>
      </c>
      <c r="M38" s="925">
        <v>0</v>
      </c>
      <c r="N38" s="925">
        <v>0</v>
      </c>
      <c r="O38" s="925">
        <v>0</v>
      </c>
      <c r="P38" s="925">
        <v>0</v>
      </c>
      <c r="Q38" s="925">
        <v>0</v>
      </c>
      <c r="R38" s="925">
        <v>0</v>
      </c>
      <c r="S38" s="925">
        <v>0</v>
      </c>
      <c r="T38" s="925">
        <v>0</v>
      </c>
      <c r="U38" s="925">
        <v>0</v>
      </c>
      <c r="V38" s="925">
        <v>0</v>
      </c>
      <c r="W38" s="925">
        <v>0</v>
      </c>
      <c r="X38" s="925">
        <v>0</v>
      </c>
      <c r="Y38" s="925">
        <v>0</v>
      </c>
      <c r="Z38" s="921">
        <v>115360.4</v>
      </c>
      <c r="AA38" s="925">
        <v>0</v>
      </c>
    </row>
    <row r="39" spans="1:27" s="867" customFormat="1" ht="94.9" customHeight="1">
      <c r="A39" s="1198" t="s">
        <v>1053</v>
      </c>
      <c r="B39" s="1199"/>
      <c r="C39" s="925">
        <f t="shared" si="2"/>
        <v>10749726.209999999</v>
      </c>
      <c r="D39" s="925">
        <f t="shared" si="3"/>
        <v>0</v>
      </c>
      <c r="E39" s="925">
        <f t="shared" ref="E39:AA39" si="8">E40</f>
        <v>0</v>
      </c>
      <c r="F39" s="925">
        <f t="shared" si="8"/>
        <v>0</v>
      </c>
      <c r="G39" s="925">
        <f t="shared" si="8"/>
        <v>0</v>
      </c>
      <c r="H39" s="925">
        <f t="shared" si="8"/>
        <v>0</v>
      </c>
      <c r="I39" s="925">
        <f t="shared" si="8"/>
        <v>0</v>
      </c>
      <c r="J39" s="925">
        <f t="shared" si="8"/>
        <v>0</v>
      </c>
      <c r="K39" s="861">
        <f t="shared" si="8"/>
        <v>0</v>
      </c>
      <c r="L39" s="925">
        <f t="shared" si="8"/>
        <v>0</v>
      </c>
      <c r="M39" s="925">
        <f t="shared" si="8"/>
        <v>0</v>
      </c>
      <c r="N39" s="925">
        <f t="shared" si="8"/>
        <v>0</v>
      </c>
      <c r="O39" s="925">
        <f t="shared" si="8"/>
        <v>1172.52</v>
      </c>
      <c r="P39" s="925">
        <f t="shared" si="8"/>
        <v>9968921.6899999995</v>
      </c>
      <c r="Q39" s="925">
        <f t="shared" si="8"/>
        <v>0</v>
      </c>
      <c r="R39" s="925">
        <f t="shared" si="8"/>
        <v>0</v>
      </c>
      <c r="S39" s="925">
        <f t="shared" si="8"/>
        <v>0</v>
      </c>
      <c r="T39" s="925">
        <f t="shared" si="8"/>
        <v>0</v>
      </c>
      <c r="U39" s="925">
        <f t="shared" si="8"/>
        <v>0</v>
      </c>
      <c r="V39" s="925">
        <f t="shared" si="8"/>
        <v>0</v>
      </c>
      <c r="W39" s="925">
        <f t="shared" si="8"/>
        <v>0</v>
      </c>
      <c r="X39" s="925">
        <f t="shared" si="8"/>
        <v>0</v>
      </c>
      <c r="Y39" s="925">
        <f t="shared" si="8"/>
        <v>0</v>
      </c>
      <c r="Z39" s="921">
        <f t="shared" si="8"/>
        <v>780804.52</v>
      </c>
      <c r="AA39" s="925">
        <f t="shared" si="8"/>
        <v>0</v>
      </c>
    </row>
    <row r="40" spans="1:27" s="867" customFormat="1" ht="84" customHeight="1">
      <c r="A40" s="927">
        <v>25</v>
      </c>
      <c r="B40" s="868" t="s">
        <v>1433</v>
      </c>
      <c r="C40" s="925">
        <f t="shared" si="2"/>
        <v>10749726.209999999</v>
      </c>
      <c r="D40" s="925">
        <f t="shared" si="3"/>
        <v>0</v>
      </c>
      <c r="E40" s="925">
        <v>0</v>
      </c>
      <c r="F40" s="925">
        <v>0</v>
      </c>
      <c r="G40" s="925">
        <v>0</v>
      </c>
      <c r="H40" s="925">
        <v>0</v>
      </c>
      <c r="I40" s="925">
        <v>0</v>
      </c>
      <c r="J40" s="925">
        <v>0</v>
      </c>
      <c r="K40" s="861">
        <v>0</v>
      </c>
      <c r="L40" s="925">
        <v>0</v>
      </c>
      <c r="M40" s="925">
        <v>0</v>
      </c>
      <c r="N40" s="925">
        <v>0</v>
      </c>
      <c r="O40" s="925">
        <v>1172.52</v>
      </c>
      <c r="P40" s="925">
        <v>9968921.6899999995</v>
      </c>
      <c r="Q40" s="925">
        <v>0</v>
      </c>
      <c r="R40" s="925">
        <v>0</v>
      </c>
      <c r="S40" s="925">
        <v>0</v>
      </c>
      <c r="T40" s="925">
        <v>0</v>
      </c>
      <c r="U40" s="925">
        <v>0</v>
      </c>
      <c r="V40" s="925">
        <v>0</v>
      </c>
      <c r="W40" s="925">
        <v>0</v>
      </c>
      <c r="X40" s="925">
        <v>0</v>
      </c>
      <c r="Y40" s="925">
        <v>0</v>
      </c>
      <c r="Z40" s="921">
        <v>780804.52</v>
      </c>
      <c r="AA40" s="925">
        <v>0</v>
      </c>
    </row>
    <row r="41" spans="1:27" s="867" customFormat="1" ht="97.5" customHeight="1">
      <c r="A41" s="1198" t="s">
        <v>1973</v>
      </c>
      <c r="B41" s="1199"/>
      <c r="C41" s="925">
        <f t="shared" si="2"/>
        <v>18584587.419999998</v>
      </c>
      <c r="D41" s="925">
        <f t="shared" si="3"/>
        <v>2688581.36</v>
      </c>
      <c r="E41" s="925">
        <f t="shared" ref="E41:AA41" si="9">SUM(E42:E45)</f>
        <v>701063.43</v>
      </c>
      <c r="F41" s="925">
        <f t="shared" si="9"/>
        <v>0</v>
      </c>
      <c r="G41" s="925">
        <f t="shared" si="9"/>
        <v>0</v>
      </c>
      <c r="H41" s="925">
        <f t="shared" si="9"/>
        <v>1987517.93</v>
      </c>
      <c r="I41" s="925">
        <f t="shared" si="9"/>
        <v>0</v>
      </c>
      <c r="J41" s="925">
        <f t="shared" si="9"/>
        <v>0</v>
      </c>
      <c r="K41" s="861">
        <f t="shared" si="9"/>
        <v>0</v>
      </c>
      <c r="L41" s="925">
        <f t="shared" si="9"/>
        <v>0</v>
      </c>
      <c r="M41" s="925">
        <f t="shared" si="9"/>
        <v>0</v>
      </c>
      <c r="N41" s="925">
        <f t="shared" si="9"/>
        <v>0</v>
      </c>
      <c r="O41" s="925">
        <f t="shared" si="9"/>
        <v>1871.6</v>
      </c>
      <c r="P41" s="925">
        <f t="shared" si="9"/>
        <v>14546117.75</v>
      </c>
      <c r="Q41" s="925">
        <f t="shared" si="9"/>
        <v>0</v>
      </c>
      <c r="R41" s="925">
        <f t="shared" si="9"/>
        <v>0</v>
      </c>
      <c r="S41" s="925">
        <f t="shared" si="9"/>
        <v>0</v>
      </c>
      <c r="T41" s="925">
        <f t="shared" si="9"/>
        <v>0</v>
      </c>
      <c r="U41" s="925">
        <f t="shared" si="9"/>
        <v>0</v>
      </c>
      <c r="V41" s="925">
        <f t="shared" si="9"/>
        <v>0</v>
      </c>
      <c r="W41" s="925">
        <f t="shared" si="9"/>
        <v>0</v>
      </c>
      <c r="X41" s="925">
        <f t="shared" si="9"/>
        <v>0</v>
      </c>
      <c r="Y41" s="925">
        <f t="shared" si="9"/>
        <v>0</v>
      </c>
      <c r="Z41" s="921">
        <f t="shared" si="9"/>
        <v>1349888.31</v>
      </c>
      <c r="AA41" s="925">
        <f t="shared" si="9"/>
        <v>0</v>
      </c>
    </row>
    <row r="42" spans="1:27" s="867" customFormat="1" ht="83.25" customHeight="1">
      <c r="A42" s="927">
        <v>26</v>
      </c>
      <c r="B42" s="868" t="s">
        <v>831</v>
      </c>
      <c r="C42" s="925">
        <f t="shared" si="2"/>
        <v>9872879.9900000002</v>
      </c>
      <c r="D42" s="925">
        <f t="shared" si="3"/>
        <v>0</v>
      </c>
      <c r="E42" s="925">
        <v>0</v>
      </c>
      <c r="F42" s="925">
        <v>0</v>
      </c>
      <c r="G42" s="925">
        <v>0</v>
      </c>
      <c r="H42" s="925">
        <v>0</v>
      </c>
      <c r="I42" s="925">
        <v>0</v>
      </c>
      <c r="J42" s="925">
        <v>0</v>
      </c>
      <c r="K42" s="861">
        <v>0</v>
      </c>
      <c r="L42" s="925">
        <v>0</v>
      </c>
      <c r="M42" s="925">
        <v>0</v>
      </c>
      <c r="N42" s="925">
        <v>0</v>
      </c>
      <c r="O42" s="925">
        <v>1237.5999999999999</v>
      </c>
      <c r="P42" s="925">
        <v>9155765.0500000007</v>
      </c>
      <c r="Q42" s="925">
        <v>0</v>
      </c>
      <c r="R42" s="925">
        <v>0</v>
      </c>
      <c r="S42" s="925">
        <v>0</v>
      </c>
      <c r="T42" s="925">
        <v>0</v>
      </c>
      <c r="U42" s="925">
        <v>0</v>
      </c>
      <c r="V42" s="925">
        <v>0</v>
      </c>
      <c r="W42" s="925">
        <v>0</v>
      </c>
      <c r="X42" s="925">
        <v>0</v>
      </c>
      <c r="Y42" s="925">
        <v>0</v>
      </c>
      <c r="Z42" s="921">
        <v>717114.94</v>
      </c>
      <c r="AA42" s="925">
        <v>0</v>
      </c>
    </row>
    <row r="43" spans="1:27" s="867" customFormat="1" ht="60.6" customHeight="1">
      <c r="A43" s="927">
        <v>27</v>
      </c>
      <c r="B43" s="868" t="s">
        <v>1347</v>
      </c>
      <c r="C43" s="925">
        <f t="shared" si="2"/>
        <v>755973.43</v>
      </c>
      <c r="D43" s="925">
        <f t="shared" si="3"/>
        <v>701063.43</v>
      </c>
      <c r="E43" s="925">
        <v>701063.43</v>
      </c>
      <c r="F43" s="925">
        <v>0</v>
      </c>
      <c r="G43" s="925">
        <v>0</v>
      </c>
      <c r="H43" s="925">
        <v>0</v>
      </c>
      <c r="I43" s="925">
        <v>0</v>
      </c>
      <c r="J43" s="925">
        <v>0</v>
      </c>
      <c r="K43" s="861">
        <v>0</v>
      </c>
      <c r="L43" s="925">
        <v>0</v>
      </c>
      <c r="M43" s="925">
        <v>0</v>
      </c>
      <c r="N43" s="925">
        <v>0</v>
      </c>
      <c r="O43" s="925">
        <v>0</v>
      </c>
      <c r="P43" s="925">
        <v>0</v>
      </c>
      <c r="Q43" s="925">
        <v>0</v>
      </c>
      <c r="R43" s="925">
        <v>0</v>
      </c>
      <c r="S43" s="925">
        <v>0</v>
      </c>
      <c r="T43" s="925">
        <v>0</v>
      </c>
      <c r="U43" s="925">
        <v>0</v>
      </c>
      <c r="V43" s="925">
        <v>0</v>
      </c>
      <c r="W43" s="925">
        <v>0</v>
      </c>
      <c r="X43" s="925">
        <v>0</v>
      </c>
      <c r="Y43" s="925">
        <v>0</v>
      </c>
      <c r="Z43" s="921">
        <v>54910</v>
      </c>
      <c r="AA43" s="925">
        <v>0</v>
      </c>
    </row>
    <row r="44" spans="1:27" s="867" customFormat="1" ht="90.75" customHeight="1">
      <c r="A44" s="927">
        <v>28</v>
      </c>
      <c r="B44" s="868" t="s">
        <v>2136</v>
      </c>
      <c r="C44" s="925">
        <f t="shared" si="2"/>
        <v>2143188.02</v>
      </c>
      <c r="D44" s="925">
        <f t="shared" si="3"/>
        <v>1987517.93</v>
      </c>
      <c r="E44" s="925">
        <v>0</v>
      </c>
      <c r="F44" s="925">
        <v>0</v>
      </c>
      <c r="G44" s="925">
        <v>0</v>
      </c>
      <c r="H44" s="925">
        <v>1987517.93</v>
      </c>
      <c r="I44" s="925">
        <v>0</v>
      </c>
      <c r="J44" s="925">
        <v>0</v>
      </c>
      <c r="K44" s="861">
        <v>0</v>
      </c>
      <c r="L44" s="925">
        <v>0</v>
      </c>
      <c r="M44" s="925">
        <v>0</v>
      </c>
      <c r="N44" s="925">
        <v>0</v>
      </c>
      <c r="O44" s="925">
        <v>0</v>
      </c>
      <c r="P44" s="925">
        <v>0</v>
      </c>
      <c r="Q44" s="925">
        <v>0</v>
      </c>
      <c r="R44" s="925">
        <v>0</v>
      </c>
      <c r="S44" s="925">
        <v>0</v>
      </c>
      <c r="T44" s="925">
        <v>0</v>
      </c>
      <c r="U44" s="925">
        <v>0</v>
      </c>
      <c r="V44" s="925">
        <v>0</v>
      </c>
      <c r="W44" s="925">
        <v>0</v>
      </c>
      <c r="X44" s="925">
        <v>0</v>
      </c>
      <c r="Y44" s="925">
        <v>0</v>
      </c>
      <c r="Z44" s="921">
        <v>155670.09</v>
      </c>
      <c r="AA44" s="925">
        <v>0</v>
      </c>
    </row>
    <row r="45" spans="1:27" s="870" customFormat="1" ht="114.75" customHeight="1">
      <c r="A45" s="927">
        <v>29</v>
      </c>
      <c r="B45" s="868" t="s">
        <v>2137</v>
      </c>
      <c r="C45" s="925">
        <f t="shared" si="2"/>
        <v>5812545.9800000004</v>
      </c>
      <c r="D45" s="925">
        <f t="shared" si="3"/>
        <v>0</v>
      </c>
      <c r="E45" s="925">
        <v>0</v>
      </c>
      <c r="F45" s="925">
        <v>0</v>
      </c>
      <c r="G45" s="925">
        <v>0</v>
      </c>
      <c r="H45" s="925">
        <v>0</v>
      </c>
      <c r="I45" s="925">
        <v>0</v>
      </c>
      <c r="J45" s="925">
        <v>0</v>
      </c>
      <c r="K45" s="861">
        <v>0</v>
      </c>
      <c r="L45" s="925">
        <v>0</v>
      </c>
      <c r="M45" s="925">
        <v>0</v>
      </c>
      <c r="N45" s="925">
        <v>0</v>
      </c>
      <c r="O45" s="925">
        <v>634</v>
      </c>
      <c r="P45" s="925">
        <v>5390352.7000000002</v>
      </c>
      <c r="Q45" s="925">
        <v>0</v>
      </c>
      <c r="R45" s="925">
        <v>0</v>
      </c>
      <c r="S45" s="925">
        <v>0</v>
      </c>
      <c r="T45" s="925">
        <v>0</v>
      </c>
      <c r="U45" s="925">
        <v>0</v>
      </c>
      <c r="V45" s="925">
        <v>0</v>
      </c>
      <c r="W45" s="925">
        <v>0</v>
      </c>
      <c r="X45" s="925">
        <v>0</v>
      </c>
      <c r="Y45" s="925">
        <v>0</v>
      </c>
      <c r="Z45" s="921">
        <v>422193.28</v>
      </c>
      <c r="AA45" s="925">
        <v>0</v>
      </c>
    </row>
    <row r="46" spans="1:27" s="867" customFormat="1" ht="118.5" customHeight="1">
      <c r="A46" s="1198" t="s">
        <v>1174</v>
      </c>
      <c r="B46" s="1199"/>
      <c r="C46" s="925">
        <f t="shared" si="2"/>
        <v>971203.51</v>
      </c>
      <c r="D46" s="925">
        <f t="shared" si="3"/>
        <v>900660.31</v>
      </c>
      <c r="E46" s="925">
        <f t="shared" ref="E46:AA46" si="10">E47+E48</f>
        <v>900660.31</v>
      </c>
      <c r="F46" s="925">
        <f t="shared" si="10"/>
        <v>0</v>
      </c>
      <c r="G46" s="925">
        <f t="shared" si="10"/>
        <v>0</v>
      </c>
      <c r="H46" s="925">
        <f t="shared" si="10"/>
        <v>0</v>
      </c>
      <c r="I46" s="925">
        <f t="shared" si="10"/>
        <v>0</v>
      </c>
      <c r="J46" s="925">
        <f t="shared" si="10"/>
        <v>0</v>
      </c>
      <c r="K46" s="861">
        <f t="shared" si="10"/>
        <v>0</v>
      </c>
      <c r="L46" s="925">
        <f t="shared" si="10"/>
        <v>0</v>
      </c>
      <c r="M46" s="925">
        <f t="shared" si="10"/>
        <v>0</v>
      </c>
      <c r="N46" s="925">
        <f t="shared" si="10"/>
        <v>0</v>
      </c>
      <c r="O46" s="925">
        <f t="shared" si="10"/>
        <v>0</v>
      </c>
      <c r="P46" s="925">
        <f t="shared" si="10"/>
        <v>0</v>
      </c>
      <c r="Q46" s="925">
        <f t="shared" si="10"/>
        <v>0</v>
      </c>
      <c r="R46" s="925">
        <f t="shared" si="10"/>
        <v>0</v>
      </c>
      <c r="S46" s="925">
        <f t="shared" si="10"/>
        <v>0</v>
      </c>
      <c r="T46" s="925">
        <f t="shared" si="10"/>
        <v>0</v>
      </c>
      <c r="U46" s="925">
        <f t="shared" si="10"/>
        <v>0</v>
      </c>
      <c r="V46" s="925">
        <f t="shared" si="10"/>
        <v>0</v>
      </c>
      <c r="W46" s="925">
        <f t="shared" si="10"/>
        <v>0</v>
      </c>
      <c r="X46" s="925">
        <f t="shared" si="10"/>
        <v>0</v>
      </c>
      <c r="Y46" s="925">
        <f t="shared" si="10"/>
        <v>0</v>
      </c>
      <c r="Z46" s="921">
        <f t="shared" si="10"/>
        <v>70543.199999999997</v>
      </c>
      <c r="AA46" s="925">
        <f t="shared" si="10"/>
        <v>0</v>
      </c>
    </row>
    <row r="47" spans="1:27" s="867" customFormat="1" ht="88.5" customHeight="1">
      <c r="A47" s="927">
        <v>30</v>
      </c>
      <c r="B47" s="868" t="s">
        <v>1302</v>
      </c>
      <c r="C47" s="925">
        <f t="shared" si="2"/>
        <v>502970.83</v>
      </c>
      <c r="D47" s="925">
        <f t="shared" si="3"/>
        <v>466437.63</v>
      </c>
      <c r="E47" s="925">
        <v>466437.63</v>
      </c>
      <c r="F47" s="925">
        <v>0</v>
      </c>
      <c r="G47" s="925">
        <v>0</v>
      </c>
      <c r="H47" s="925">
        <v>0</v>
      </c>
      <c r="I47" s="925">
        <v>0</v>
      </c>
      <c r="J47" s="925">
        <v>0</v>
      </c>
      <c r="K47" s="861">
        <v>0</v>
      </c>
      <c r="L47" s="925">
        <v>0</v>
      </c>
      <c r="M47" s="925">
        <v>0</v>
      </c>
      <c r="N47" s="925">
        <v>0</v>
      </c>
      <c r="O47" s="925">
        <v>0</v>
      </c>
      <c r="P47" s="925">
        <v>0</v>
      </c>
      <c r="Q47" s="925">
        <v>0</v>
      </c>
      <c r="R47" s="925">
        <v>0</v>
      </c>
      <c r="S47" s="925">
        <v>0</v>
      </c>
      <c r="T47" s="925">
        <v>0</v>
      </c>
      <c r="U47" s="925">
        <v>0</v>
      </c>
      <c r="V47" s="925">
        <v>0</v>
      </c>
      <c r="W47" s="925">
        <v>0</v>
      </c>
      <c r="X47" s="925">
        <v>0</v>
      </c>
      <c r="Y47" s="925">
        <v>0</v>
      </c>
      <c r="Z47" s="921">
        <v>36533.199999999997</v>
      </c>
      <c r="AA47" s="925">
        <v>0</v>
      </c>
    </row>
    <row r="48" spans="1:27" s="867" customFormat="1" ht="93.75" customHeight="1">
      <c r="A48" s="927">
        <v>31</v>
      </c>
      <c r="B48" s="868" t="s">
        <v>1303</v>
      </c>
      <c r="C48" s="925">
        <f t="shared" si="2"/>
        <v>468232.68</v>
      </c>
      <c r="D48" s="925">
        <f t="shared" si="3"/>
        <v>434222.68</v>
      </c>
      <c r="E48" s="925">
        <v>434222.68</v>
      </c>
      <c r="F48" s="925">
        <v>0</v>
      </c>
      <c r="G48" s="925">
        <v>0</v>
      </c>
      <c r="H48" s="925">
        <v>0</v>
      </c>
      <c r="I48" s="925">
        <v>0</v>
      </c>
      <c r="J48" s="925">
        <v>0</v>
      </c>
      <c r="K48" s="861">
        <v>0</v>
      </c>
      <c r="L48" s="925">
        <v>0</v>
      </c>
      <c r="M48" s="925">
        <v>0</v>
      </c>
      <c r="N48" s="925">
        <v>0</v>
      </c>
      <c r="O48" s="925">
        <v>0</v>
      </c>
      <c r="P48" s="925">
        <v>0</v>
      </c>
      <c r="Q48" s="925">
        <v>0</v>
      </c>
      <c r="R48" s="925">
        <v>0</v>
      </c>
      <c r="S48" s="925">
        <v>0</v>
      </c>
      <c r="T48" s="925">
        <v>0</v>
      </c>
      <c r="U48" s="925">
        <v>0</v>
      </c>
      <c r="V48" s="925">
        <v>0</v>
      </c>
      <c r="W48" s="925">
        <v>0</v>
      </c>
      <c r="X48" s="925">
        <v>0</v>
      </c>
      <c r="Y48" s="925">
        <v>0</v>
      </c>
      <c r="Z48" s="921">
        <v>34010</v>
      </c>
      <c r="AA48" s="925">
        <v>0</v>
      </c>
    </row>
    <row r="49" spans="1:27" s="867" customFormat="1" ht="146.25" customHeight="1">
      <c r="A49" s="1198" t="s">
        <v>1978</v>
      </c>
      <c r="B49" s="1199"/>
      <c r="C49" s="925">
        <f t="shared" si="2"/>
        <v>11608914.780000001</v>
      </c>
      <c r="D49" s="925">
        <f t="shared" si="3"/>
        <v>894210.36999999988</v>
      </c>
      <c r="E49" s="925">
        <f t="shared" ref="E49:AA49" si="11">SUM(E50:E53)</f>
        <v>526192.18999999994</v>
      </c>
      <c r="F49" s="925">
        <f t="shared" si="11"/>
        <v>0</v>
      </c>
      <c r="G49" s="925">
        <f t="shared" si="11"/>
        <v>0</v>
      </c>
      <c r="H49" s="925">
        <f t="shared" si="11"/>
        <v>0</v>
      </c>
      <c r="I49" s="925">
        <f t="shared" si="11"/>
        <v>0</v>
      </c>
      <c r="J49" s="925">
        <f t="shared" si="11"/>
        <v>368018.18</v>
      </c>
      <c r="K49" s="861">
        <f t="shared" si="11"/>
        <v>0</v>
      </c>
      <c r="L49" s="925">
        <f t="shared" si="11"/>
        <v>0</v>
      </c>
      <c r="M49" s="925">
        <f t="shared" si="11"/>
        <v>0</v>
      </c>
      <c r="N49" s="925">
        <f t="shared" si="11"/>
        <v>0</v>
      </c>
      <c r="O49" s="925">
        <f t="shared" si="11"/>
        <v>1164</v>
      </c>
      <c r="P49" s="925">
        <f t="shared" si="11"/>
        <v>6029528.4800000004</v>
      </c>
      <c r="Q49" s="925">
        <f t="shared" si="11"/>
        <v>0</v>
      </c>
      <c r="R49" s="925">
        <f t="shared" si="11"/>
        <v>0</v>
      </c>
      <c r="S49" s="925">
        <f t="shared" si="11"/>
        <v>1034.1300000000001</v>
      </c>
      <c r="T49" s="925">
        <f t="shared" si="11"/>
        <v>4082446.38</v>
      </c>
      <c r="U49" s="925">
        <f t="shared" si="11"/>
        <v>0</v>
      </c>
      <c r="V49" s="925">
        <f t="shared" si="11"/>
        <v>0</v>
      </c>
      <c r="W49" s="925">
        <f t="shared" si="11"/>
        <v>0</v>
      </c>
      <c r="X49" s="925">
        <f t="shared" si="11"/>
        <v>0</v>
      </c>
      <c r="Y49" s="925">
        <f t="shared" si="11"/>
        <v>0</v>
      </c>
      <c r="Z49" s="921">
        <f t="shared" si="11"/>
        <v>602729.55000000005</v>
      </c>
      <c r="AA49" s="925">
        <f t="shared" si="11"/>
        <v>0</v>
      </c>
    </row>
    <row r="50" spans="1:27" s="867" customFormat="1" ht="58.15" customHeight="1">
      <c r="A50" s="927">
        <v>32</v>
      </c>
      <c r="B50" s="863" t="s">
        <v>1495</v>
      </c>
      <c r="C50" s="925">
        <f t="shared" si="2"/>
        <v>964248.3899999999</v>
      </c>
      <c r="D50" s="925">
        <f t="shared" si="3"/>
        <v>894210.36999999988</v>
      </c>
      <c r="E50" s="925">
        <v>526192.18999999994</v>
      </c>
      <c r="F50" s="925">
        <v>0</v>
      </c>
      <c r="G50" s="925">
        <v>0</v>
      </c>
      <c r="H50" s="925">
        <v>0</v>
      </c>
      <c r="I50" s="925">
        <v>0</v>
      </c>
      <c r="J50" s="925">
        <v>368018.18</v>
      </c>
      <c r="K50" s="861">
        <v>0</v>
      </c>
      <c r="L50" s="925">
        <v>0</v>
      </c>
      <c r="M50" s="925">
        <v>0</v>
      </c>
      <c r="N50" s="925">
        <v>0</v>
      </c>
      <c r="O50" s="925">
        <v>0</v>
      </c>
      <c r="P50" s="925">
        <v>0</v>
      </c>
      <c r="Q50" s="925">
        <v>0</v>
      </c>
      <c r="R50" s="925">
        <v>0</v>
      </c>
      <c r="S50" s="925">
        <v>0</v>
      </c>
      <c r="T50" s="925">
        <v>0</v>
      </c>
      <c r="U50" s="925">
        <v>0</v>
      </c>
      <c r="V50" s="925">
        <v>0</v>
      </c>
      <c r="W50" s="925">
        <v>0</v>
      </c>
      <c r="X50" s="925">
        <v>0</v>
      </c>
      <c r="Y50" s="925">
        <v>0</v>
      </c>
      <c r="Z50" s="921">
        <v>70038.02</v>
      </c>
      <c r="AA50" s="925">
        <v>0</v>
      </c>
    </row>
    <row r="51" spans="1:27" s="867" customFormat="1" ht="57" customHeight="1">
      <c r="A51" s="927">
        <v>33</v>
      </c>
      <c r="B51" s="863" t="s">
        <v>1496</v>
      </c>
      <c r="C51" s="925">
        <f t="shared" si="2"/>
        <v>2878482.59</v>
      </c>
      <c r="D51" s="925">
        <f t="shared" si="3"/>
        <v>0</v>
      </c>
      <c r="E51" s="925">
        <v>0</v>
      </c>
      <c r="F51" s="925">
        <v>0</v>
      </c>
      <c r="G51" s="925">
        <v>0</v>
      </c>
      <c r="H51" s="925">
        <v>0</v>
      </c>
      <c r="I51" s="925">
        <v>0</v>
      </c>
      <c r="J51" s="925">
        <v>0</v>
      </c>
      <c r="K51" s="861">
        <v>0</v>
      </c>
      <c r="L51" s="925">
        <v>0</v>
      </c>
      <c r="M51" s="925">
        <v>0</v>
      </c>
      <c r="N51" s="925">
        <v>0</v>
      </c>
      <c r="O51" s="925">
        <v>784</v>
      </c>
      <c r="P51" s="925">
        <v>2798717.71</v>
      </c>
      <c r="Q51" s="925">
        <v>0</v>
      </c>
      <c r="R51" s="925">
        <v>0</v>
      </c>
      <c r="S51" s="925">
        <v>0</v>
      </c>
      <c r="T51" s="925">
        <v>0</v>
      </c>
      <c r="U51" s="925">
        <v>0</v>
      </c>
      <c r="V51" s="925">
        <v>0</v>
      </c>
      <c r="W51" s="925">
        <v>0</v>
      </c>
      <c r="X51" s="925">
        <v>0</v>
      </c>
      <c r="Y51" s="925">
        <v>0</v>
      </c>
      <c r="Z51" s="921">
        <v>79764.88</v>
      </c>
      <c r="AA51" s="925">
        <v>0</v>
      </c>
    </row>
    <row r="52" spans="1:27" s="867" customFormat="1" ht="57" customHeight="1">
      <c r="A52" s="927">
        <v>34</v>
      </c>
      <c r="B52" s="863" t="s">
        <v>1497</v>
      </c>
      <c r="C52" s="925">
        <f t="shared" si="2"/>
        <v>4282323.43</v>
      </c>
      <c r="D52" s="925">
        <f t="shared" si="3"/>
        <v>0</v>
      </c>
      <c r="E52" s="925">
        <v>0</v>
      </c>
      <c r="F52" s="925">
        <v>0</v>
      </c>
      <c r="G52" s="925">
        <v>0</v>
      </c>
      <c r="H52" s="925">
        <v>0</v>
      </c>
      <c r="I52" s="925">
        <v>0</v>
      </c>
      <c r="J52" s="925">
        <v>0</v>
      </c>
      <c r="K52" s="861">
        <v>0</v>
      </c>
      <c r="L52" s="925">
        <v>0</v>
      </c>
      <c r="M52" s="925">
        <v>0</v>
      </c>
      <c r="N52" s="925">
        <v>0</v>
      </c>
      <c r="O52" s="925">
        <v>0</v>
      </c>
      <c r="P52" s="925">
        <v>0</v>
      </c>
      <c r="Q52" s="925">
        <v>0</v>
      </c>
      <c r="R52" s="925">
        <v>0</v>
      </c>
      <c r="S52" s="925">
        <v>1034.1300000000001</v>
      </c>
      <c r="T52" s="925">
        <v>4082446.38</v>
      </c>
      <c r="U52" s="925">
        <v>0</v>
      </c>
      <c r="V52" s="925">
        <v>0</v>
      </c>
      <c r="W52" s="925">
        <v>0</v>
      </c>
      <c r="X52" s="925">
        <v>0</v>
      </c>
      <c r="Y52" s="925">
        <v>0</v>
      </c>
      <c r="Z52" s="921">
        <v>199877.05</v>
      </c>
      <c r="AA52" s="925">
        <v>0</v>
      </c>
    </row>
    <row r="53" spans="1:27" s="867" customFormat="1" ht="64.150000000000006" customHeight="1">
      <c r="A53" s="927">
        <v>35</v>
      </c>
      <c r="B53" s="863" t="s">
        <v>1498</v>
      </c>
      <c r="C53" s="925">
        <f t="shared" si="2"/>
        <v>3483860.37</v>
      </c>
      <c r="D53" s="925">
        <f t="shared" si="3"/>
        <v>0</v>
      </c>
      <c r="E53" s="925">
        <v>0</v>
      </c>
      <c r="F53" s="925">
        <v>0</v>
      </c>
      <c r="G53" s="925">
        <v>0</v>
      </c>
      <c r="H53" s="925">
        <v>0</v>
      </c>
      <c r="I53" s="925">
        <v>0</v>
      </c>
      <c r="J53" s="925">
        <v>0</v>
      </c>
      <c r="K53" s="861">
        <v>0</v>
      </c>
      <c r="L53" s="925">
        <v>0</v>
      </c>
      <c r="M53" s="925">
        <v>0</v>
      </c>
      <c r="N53" s="925">
        <v>0</v>
      </c>
      <c r="O53" s="925">
        <v>380</v>
      </c>
      <c r="P53" s="925">
        <v>3230810.77</v>
      </c>
      <c r="Q53" s="925">
        <v>0</v>
      </c>
      <c r="R53" s="925">
        <v>0</v>
      </c>
      <c r="S53" s="925">
        <v>0</v>
      </c>
      <c r="T53" s="925">
        <v>0</v>
      </c>
      <c r="U53" s="925">
        <v>0</v>
      </c>
      <c r="V53" s="925">
        <v>0</v>
      </c>
      <c r="W53" s="925">
        <v>0</v>
      </c>
      <c r="X53" s="925">
        <v>0</v>
      </c>
      <c r="Y53" s="925">
        <v>0</v>
      </c>
      <c r="Z53" s="921">
        <v>253049.60000000001</v>
      </c>
      <c r="AA53" s="925">
        <v>0</v>
      </c>
    </row>
    <row r="54" spans="1:27" s="867" customFormat="1" ht="98.45" customHeight="1">
      <c r="A54" s="1198" t="s">
        <v>1052</v>
      </c>
      <c r="B54" s="1199"/>
      <c r="C54" s="925">
        <f t="shared" si="2"/>
        <v>11472835.030000001</v>
      </c>
      <c r="D54" s="925">
        <f t="shared" si="3"/>
        <v>0</v>
      </c>
      <c r="E54" s="925">
        <f t="shared" ref="E54:AA54" si="12">SUM(E55:E57)</f>
        <v>0</v>
      </c>
      <c r="F54" s="925">
        <f t="shared" si="12"/>
        <v>0</v>
      </c>
      <c r="G54" s="925">
        <f t="shared" si="12"/>
        <v>0</v>
      </c>
      <c r="H54" s="925">
        <f t="shared" si="12"/>
        <v>0</v>
      </c>
      <c r="I54" s="925">
        <f t="shared" si="12"/>
        <v>0</v>
      </c>
      <c r="J54" s="925">
        <f t="shared" si="12"/>
        <v>0</v>
      </c>
      <c r="K54" s="861">
        <f t="shared" si="12"/>
        <v>0</v>
      </c>
      <c r="L54" s="925">
        <f t="shared" si="12"/>
        <v>0</v>
      </c>
      <c r="M54" s="925">
        <f t="shared" si="12"/>
        <v>0</v>
      </c>
      <c r="N54" s="925">
        <f t="shared" si="12"/>
        <v>0</v>
      </c>
      <c r="O54" s="925">
        <f t="shared" si="12"/>
        <v>1612.9</v>
      </c>
      <c r="P54" s="925">
        <f t="shared" si="12"/>
        <v>10926654.940000001</v>
      </c>
      <c r="Q54" s="925">
        <f t="shared" si="12"/>
        <v>0</v>
      </c>
      <c r="R54" s="925">
        <f t="shared" si="12"/>
        <v>0</v>
      </c>
      <c r="S54" s="925">
        <f t="shared" si="12"/>
        <v>0</v>
      </c>
      <c r="T54" s="925">
        <f t="shared" si="12"/>
        <v>0</v>
      </c>
      <c r="U54" s="925">
        <f t="shared" si="12"/>
        <v>0</v>
      </c>
      <c r="V54" s="925">
        <f t="shared" si="12"/>
        <v>0</v>
      </c>
      <c r="W54" s="925">
        <f t="shared" si="12"/>
        <v>0</v>
      </c>
      <c r="X54" s="925">
        <f t="shared" si="12"/>
        <v>0</v>
      </c>
      <c r="Y54" s="925">
        <f t="shared" si="12"/>
        <v>0</v>
      </c>
      <c r="Z54" s="921">
        <f t="shared" si="12"/>
        <v>546180.09</v>
      </c>
      <c r="AA54" s="925">
        <f t="shared" si="12"/>
        <v>0</v>
      </c>
    </row>
    <row r="55" spans="1:27" s="867" customFormat="1" ht="96" customHeight="1">
      <c r="A55" s="927">
        <v>36</v>
      </c>
      <c r="B55" s="868" t="s">
        <v>1160</v>
      </c>
      <c r="C55" s="925">
        <f t="shared" si="2"/>
        <v>4842739.8100000005</v>
      </c>
      <c r="D55" s="925">
        <f t="shared" si="3"/>
        <v>0</v>
      </c>
      <c r="E55" s="925">
        <v>0</v>
      </c>
      <c r="F55" s="925">
        <v>0</v>
      </c>
      <c r="G55" s="925">
        <v>0</v>
      </c>
      <c r="H55" s="925">
        <v>0</v>
      </c>
      <c r="I55" s="925">
        <v>0</v>
      </c>
      <c r="J55" s="925">
        <v>0</v>
      </c>
      <c r="K55" s="861">
        <v>0</v>
      </c>
      <c r="L55" s="925">
        <v>0</v>
      </c>
      <c r="M55" s="925">
        <v>0</v>
      </c>
      <c r="N55" s="925">
        <v>0</v>
      </c>
      <c r="O55" s="925">
        <v>626.9</v>
      </c>
      <c r="P55" s="925">
        <v>4601057.32</v>
      </c>
      <c r="Q55" s="925">
        <v>0</v>
      </c>
      <c r="R55" s="925">
        <v>0</v>
      </c>
      <c r="S55" s="925">
        <v>0</v>
      </c>
      <c r="T55" s="925">
        <v>0</v>
      </c>
      <c r="U55" s="925">
        <v>0</v>
      </c>
      <c r="V55" s="925">
        <v>0</v>
      </c>
      <c r="W55" s="925">
        <v>0</v>
      </c>
      <c r="X55" s="925">
        <v>0</v>
      </c>
      <c r="Y55" s="925">
        <v>0</v>
      </c>
      <c r="Z55" s="921">
        <v>241682.49</v>
      </c>
      <c r="AA55" s="925">
        <v>0</v>
      </c>
    </row>
    <row r="56" spans="1:27" s="867" customFormat="1" ht="96" customHeight="1">
      <c r="A56" s="927">
        <v>37</v>
      </c>
      <c r="B56" s="868" t="s">
        <v>1146</v>
      </c>
      <c r="C56" s="925">
        <f t="shared" si="2"/>
        <v>3318040.65</v>
      </c>
      <c r="D56" s="925">
        <f t="shared" si="3"/>
        <v>0</v>
      </c>
      <c r="E56" s="925">
        <v>0</v>
      </c>
      <c r="F56" s="925">
        <v>0</v>
      </c>
      <c r="G56" s="925">
        <v>0</v>
      </c>
      <c r="H56" s="925">
        <v>0</v>
      </c>
      <c r="I56" s="925">
        <v>0</v>
      </c>
      <c r="J56" s="925">
        <v>0</v>
      </c>
      <c r="K56" s="861">
        <v>0</v>
      </c>
      <c r="L56" s="925">
        <v>0</v>
      </c>
      <c r="M56" s="925">
        <v>0</v>
      </c>
      <c r="N56" s="925">
        <v>0</v>
      </c>
      <c r="O56" s="925">
        <v>499</v>
      </c>
      <c r="P56" s="925">
        <v>3201291.29</v>
      </c>
      <c r="Q56" s="925">
        <v>0</v>
      </c>
      <c r="R56" s="925">
        <v>0</v>
      </c>
      <c r="S56" s="925">
        <v>0</v>
      </c>
      <c r="T56" s="925">
        <v>0</v>
      </c>
      <c r="U56" s="925">
        <v>0</v>
      </c>
      <c r="V56" s="925">
        <v>0</v>
      </c>
      <c r="W56" s="925">
        <v>0</v>
      </c>
      <c r="X56" s="925">
        <v>0</v>
      </c>
      <c r="Y56" s="925">
        <v>0</v>
      </c>
      <c r="Z56" s="921">
        <v>116749.36</v>
      </c>
      <c r="AA56" s="925">
        <v>0</v>
      </c>
    </row>
    <row r="57" spans="1:27" s="867" customFormat="1" ht="92.45" customHeight="1">
      <c r="A57" s="927">
        <v>38</v>
      </c>
      <c r="B57" s="868" t="s">
        <v>1484</v>
      </c>
      <c r="C57" s="925">
        <f t="shared" si="2"/>
        <v>3312054.5700000003</v>
      </c>
      <c r="D57" s="925">
        <f t="shared" si="3"/>
        <v>0</v>
      </c>
      <c r="E57" s="925">
        <v>0</v>
      </c>
      <c r="F57" s="925">
        <v>0</v>
      </c>
      <c r="G57" s="925">
        <v>0</v>
      </c>
      <c r="H57" s="925">
        <v>0</v>
      </c>
      <c r="I57" s="925">
        <v>0</v>
      </c>
      <c r="J57" s="925">
        <v>0</v>
      </c>
      <c r="K57" s="861">
        <v>0</v>
      </c>
      <c r="L57" s="925">
        <v>0</v>
      </c>
      <c r="M57" s="925">
        <v>0</v>
      </c>
      <c r="N57" s="925">
        <v>0</v>
      </c>
      <c r="O57" s="925">
        <v>487</v>
      </c>
      <c r="P57" s="925">
        <v>3124306.33</v>
      </c>
      <c r="Q57" s="925">
        <v>0</v>
      </c>
      <c r="R57" s="925">
        <v>0</v>
      </c>
      <c r="S57" s="925">
        <v>0</v>
      </c>
      <c r="T57" s="925">
        <v>0</v>
      </c>
      <c r="U57" s="925">
        <v>0</v>
      </c>
      <c r="V57" s="925">
        <v>0</v>
      </c>
      <c r="W57" s="925">
        <v>0</v>
      </c>
      <c r="X57" s="925">
        <v>0</v>
      </c>
      <c r="Y57" s="925">
        <v>0</v>
      </c>
      <c r="Z57" s="921">
        <v>187748.24</v>
      </c>
      <c r="AA57" s="925">
        <v>0</v>
      </c>
    </row>
    <row r="58" spans="1:27" s="867" customFormat="1" ht="87.6" customHeight="1">
      <c r="A58" s="1198" t="s">
        <v>1056</v>
      </c>
      <c r="B58" s="1199"/>
      <c r="C58" s="925">
        <f t="shared" si="2"/>
        <v>5780772.2700000005</v>
      </c>
      <c r="D58" s="925">
        <f t="shared" si="3"/>
        <v>0</v>
      </c>
      <c r="E58" s="925">
        <f t="shared" ref="E58:AA58" si="13">E59</f>
        <v>0</v>
      </c>
      <c r="F58" s="925">
        <f t="shared" si="13"/>
        <v>0</v>
      </c>
      <c r="G58" s="925">
        <f t="shared" si="13"/>
        <v>0</v>
      </c>
      <c r="H58" s="925">
        <f t="shared" si="13"/>
        <v>0</v>
      </c>
      <c r="I58" s="925">
        <f t="shared" si="13"/>
        <v>0</v>
      </c>
      <c r="J58" s="925">
        <f t="shared" si="13"/>
        <v>0</v>
      </c>
      <c r="K58" s="861">
        <f t="shared" si="13"/>
        <v>0</v>
      </c>
      <c r="L58" s="925">
        <f t="shared" si="13"/>
        <v>0</v>
      </c>
      <c r="M58" s="925">
        <f t="shared" si="13"/>
        <v>0</v>
      </c>
      <c r="N58" s="925">
        <f t="shared" si="13"/>
        <v>0</v>
      </c>
      <c r="O58" s="925">
        <f t="shared" si="13"/>
        <v>724.64</v>
      </c>
      <c r="P58" s="925">
        <f t="shared" si="13"/>
        <v>5360886.8600000003</v>
      </c>
      <c r="Q58" s="925">
        <f t="shared" si="13"/>
        <v>0</v>
      </c>
      <c r="R58" s="925">
        <f t="shared" si="13"/>
        <v>0</v>
      </c>
      <c r="S58" s="925">
        <f t="shared" si="13"/>
        <v>0</v>
      </c>
      <c r="T58" s="925">
        <f t="shared" si="13"/>
        <v>0</v>
      </c>
      <c r="U58" s="925">
        <f t="shared" si="13"/>
        <v>0</v>
      </c>
      <c r="V58" s="925">
        <f t="shared" si="13"/>
        <v>0</v>
      </c>
      <c r="W58" s="925">
        <f t="shared" si="13"/>
        <v>0</v>
      </c>
      <c r="X58" s="925">
        <f t="shared" si="13"/>
        <v>0</v>
      </c>
      <c r="Y58" s="925">
        <f t="shared" si="13"/>
        <v>0</v>
      </c>
      <c r="Z58" s="921">
        <f t="shared" si="13"/>
        <v>419885.41</v>
      </c>
      <c r="AA58" s="925">
        <f t="shared" si="13"/>
        <v>0</v>
      </c>
    </row>
    <row r="59" spans="1:27" s="867" customFormat="1" ht="87.6" customHeight="1">
      <c r="A59" s="927">
        <v>39</v>
      </c>
      <c r="B59" s="868" t="s">
        <v>2138</v>
      </c>
      <c r="C59" s="925">
        <f t="shared" si="2"/>
        <v>5780772.2700000005</v>
      </c>
      <c r="D59" s="925">
        <f t="shared" si="3"/>
        <v>0</v>
      </c>
      <c r="E59" s="925">
        <v>0</v>
      </c>
      <c r="F59" s="925">
        <v>0</v>
      </c>
      <c r="G59" s="925">
        <v>0</v>
      </c>
      <c r="H59" s="925">
        <v>0</v>
      </c>
      <c r="I59" s="925">
        <v>0</v>
      </c>
      <c r="J59" s="925">
        <v>0</v>
      </c>
      <c r="K59" s="861">
        <v>0</v>
      </c>
      <c r="L59" s="925">
        <v>0</v>
      </c>
      <c r="M59" s="925">
        <v>0</v>
      </c>
      <c r="N59" s="925">
        <v>0</v>
      </c>
      <c r="O59" s="925">
        <v>724.64</v>
      </c>
      <c r="P59" s="925">
        <v>5360886.8600000003</v>
      </c>
      <c r="Q59" s="925">
        <v>0</v>
      </c>
      <c r="R59" s="925">
        <v>0</v>
      </c>
      <c r="S59" s="925">
        <v>0</v>
      </c>
      <c r="T59" s="925">
        <v>0</v>
      </c>
      <c r="U59" s="925">
        <v>0</v>
      </c>
      <c r="V59" s="925">
        <v>0</v>
      </c>
      <c r="W59" s="925">
        <v>0</v>
      </c>
      <c r="X59" s="925">
        <v>0</v>
      </c>
      <c r="Y59" s="925">
        <v>0</v>
      </c>
      <c r="Z59" s="921">
        <v>419885.41</v>
      </c>
      <c r="AA59" s="925">
        <v>0</v>
      </c>
    </row>
    <row r="60" spans="1:27" s="867" customFormat="1" ht="90" customHeight="1">
      <c r="A60" s="1198" t="s">
        <v>1175</v>
      </c>
      <c r="B60" s="1199"/>
      <c r="C60" s="925">
        <f t="shared" si="2"/>
        <v>2387361.1599999997</v>
      </c>
      <c r="D60" s="925">
        <f t="shared" si="3"/>
        <v>0</v>
      </c>
      <c r="E60" s="925">
        <f t="shared" ref="E60:AA60" si="14">E61</f>
        <v>0</v>
      </c>
      <c r="F60" s="925">
        <f t="shared" si="14"/>
        <v>0</v>
      </c>
      <c r="G60" s="925">
        <f t="shared" si="14"/>
        <v>0</v>
      </c>
      <c r="H60" s="925">
        <f t="shared" si="14"/>
        <v>0</v>
      </c>
      <c r="I60" s="925">
        <f t="shared" si="14"/>
        <v>0</v>
      </c>
      <c r="J60" s="925">
        <f t="shared" si="14"/>
        <v>0</v>
      </c>
      <c r="K60" s="861">
        <f t="shared" si="14"/>
        <v>0</v>
      </c>
      <c r="L60" s="925">
        <f t="shared" si="14"/>
        <v>0</v>
      </c>
      <c r="M60" s="925">
        <f t="shared" si="14"/>
        <v>0</v>
      </c>
      <c r="N60" s="925">
        <f t="shared" si="14"/>
        <v>0</v>
      </c>
      <c r="O60" s="925">
        <f t="shared" si="14"/>
        <v>260.39999999999998</v>
      </c>
      <c r="P60" s="925">
        <f t="shared" si="14"/>
        <v>2213955.59</v>
      </c>
      <c r="Q60" s="925">
        <f t="shared" si="14"/>
        <v>0</v>
      </c>
      <c r="R60" s="925">
        <f t="shared" si="14"/>
        <v>0</v>
      </c>
      <c r="S60" s="925">
        <f t="shared" si="14"/>
        <v>0</v>
      </c>
      <c r="T60" s="925">
        <f t="shared" si="14"/>
        <v>0</v>
      </c>
      <c r="U60" s="925">
        <f t="shared" si="14"/>
        <v>0</v>
      </c>
      <c r="V60" s="925">
        <f t="shared" si="14"/>
        <v>0</v>
      </c>
      <c r="W60" s="925">
        <f t="shared" si="14"/>
        <v>0</v>
      </c>
      <c r="X60" s="925">
        <f t="shared" si="14"/>
        <v>0</v>
      </c>
      <c r="Y60" s="925">
        <f t="shared" si="14"/>
        <v>0</v>
      </c>
      <c r="Z60" s="921">
        <f t="shared" si="14"/>
        <v>173405.57</v>
      </c>
      <c r="AA60" s="925">
        <f t="shared" si="14"/>
        <v>0</v>
      </c>
    </row>
    <row r="61" spans="1:27" s="867" customFormat="1" ht="90" customHeight="1">
      <c r="A61" s="927">
        <v>40</v>
      </c>
      <c r="B61" s="868" t="s">
        <v>1454</v>
      </c>
      <c r="C61" s="925">
        <f t="shared" si="2"/>
        <v>2387361.1599999997</v>
      </c>
      <c r="D61" s="925">
        <f t="shared" si="3"/>
        <v>0</v>
      </c>
      <c r="E61" s="925">
        <v>0</v>
      </c>
      <c r="F61" s="925">
        <v>0</v>
      </c>
      <c r="G61" s="925">
        <v>0</v>
      </c>
      <c r="H61" s="925">
        <v>0</v>
      </c>
      <c r="I61" s="925">
        <v>0</v>
      </c>
      <c r="J61" s="925">
        <v>0</v>
      </c>
      <c r="K61" s="861">
        <v>0</v>
      </c>
      <c r="L61" s="925">
        <v>0</v>
      </c>
      <c r="M61" s="925">
        <v>0</v>
      </c>
      <c r="N61" s="925">
        <v>0</v>
      </c>
      <c r="O61" s="925">
        <v>260.39999999999998</v>
      </c>
      <c r="P61" s="925">
        <v>2213955.59</v>
      </c>
      <c r="Q61" s="925">
        <v>0</v>
      </c>
      <c r="R61" s="925">
        <v>0</v>
      </c>
      <c r="S61" s="925">
        <v>0</v>
      </c>
      <c r="T61" s="925">
        <v>0</v>
      </c>
      <c r="U61" s="925">
        <v>0</v>
      </c>
      <c r="V61" s="925">
        <v>0</v>
      </c>
      <c r="W61" s="925">
        <v>0</v>
      </c>
      <c r="X61" s="925">
        <v>0</v>
      </c>
      <c r="Y61" s="925">
        <v>0</v>
      </c>
      <c r="Z61" s="921">
        <v>173405.57</v>
      </c>
      <c r="AA61" s="925">
        <v>0</v>
      </c>
    </row>
    <row r="62" spans="1:27" s="867" customFormat="1" ht="103.5" customHeight="1">
      <c r="A62" s="1198" t="s">
        <v>1979</v>
      </c>
      <c r="B62" s="1199"/>
      <c r="C62" s="925">
        <f>SUM(C63:C71)</f>
        <v>36433673.289999999</v>
      </c>
      <c r="D62" s="925">
        <f>SUM(E62:J62)</f>
        <v>586426.80000000005</v>
      </c>
      <c r="E62" s="925">
        <f t="shared" ref="E62:AA62" si="15">SUM(E63:E71)</f>
        <v>424131.24</v>
      </c>
      <c r="F62" s="925">
        <f t="shared" si="15"/>
        <v>0</v>
      </c>
      <c r="G62" s="925">
        <f t="shared" si="15"/>
        <v>0</v>
      </c>
      <c r="H62" s="925">
        <f t="shared" si="15"/>
        <v>0</v>
      </c>
      <c r="I62" s="925">
        <f t="shared" si="15"/>
        <v>0</v>
      </c>
      <c r="J62" s="925">
        <f t="shared" si="15"/>
        <v>162295.56</v>
      </c>
      <c r="K62" s="861">
        <f t="shared" si="15"/>
        <v>0</v>
      </c>
      <c r="L62" s="925">
        <f t="shared" si="15"/>
        <v>0</v>
      </c>
      <c r="M62" s="925">
        <f t="shared" si="15"/>
        <v>0</v>
      </c>
      <c r="N62" s="925">
        <f t="shared" si="15"/>
        <v>0</v>
      </c>
      <c r="O62" s="925">
        <f t="shared" si="15"/>
        <v>5482.26</v>
      </c>
      <c r="P62" s="925">
        <f t="shared" si="15"/>
        <v>33398982.389999997</v>
      </c>
      <c r="Q62" s="925">
        <f t="shared" si="15"/>
        <v>0</v>
      </c>
      <c r="R62" s="925">
        <f t="shared" si="15"/>
        <v>0</v>
      </c>
      <c r="S62" s="925">
        <f t="shared" si="15"/>
        <v>0</v>
      </c>
      <c r="T62" s="925">
        <f t="shared" si="15"/>
        <v>0</v>
      </c>
      <c r="U62" s="925">
        <f t="shared" si="15"/>
        <v>0</v>
      </c>
      <c r="V62" s="925">
        <f t="shared" si="15"/>
        <v>0</v>
      </c>
      <c r="W62" s="925">
        <f t="shared" si="15"/>
        <v>0</v>
      </c>
      <c r="X62" s="925">
        <f t="shared" si="15"/>
        <v>0</v>
      </c>
      <c r="Y62" s="925">
        <f t="shared" si="15"/>
        <v>0</v>
      </c>
      <c r="Z62" s="925">
        <f t="shared" si="15"/>
        <v>2448264.1</v>
      </c>
      <c r="AA62" s="925">
        <f t="shared" si="15"/>
        <v>0</v>
      </c>
    </row>
    <row r="63" spans="1:27" s="867" customFormat="1" ht="119.25" customHeight="1">
      <c r="A63" s="927">
        <v>41</v>
      </c>
      <c r="B63" s="863" t="s">
        <v>1447</v>
      </c>
      <c r="C63" s="925">
        <f t="shared" si="2"/>
        <v>9443095.209999999</v>
      </c>
      <c r="D63" s="925">
        <f t="shared" si="3"/>
        <v>0</v>
      </c>
      <c r="E63" s="925">
        <v>0</v>
      </c>
      <c r="F63" s="925">
        <v>0</v>
      </c>
      <c r="G63" s="925">
        <v>0</v>
      </c>
      <c r="H63" s="925">
        <v>0</v>
      </c>
      <c r="I63" s="925">
        <v>0</v>
      </c>
      <c r="J63" s="925">
        <v>0</v>
      </c>
      <c r="K63" s="861">
        <v>0</v>
      </c>
      <c r="L63" s="925">
        <v>0</v>
      </c>
      <c r="M63" s="925">
        <v>0</v>
      </c>
      <c r="N63" s="925">
        <v>0</v>
      </c>
      <c r="O63" s="925">
        <v>1030</v>
      </c>
      <c r="P63" s="925">
        <v>8757197.6099999994</v>
      </c>
      <c r="Q63" s="925">
        <v>0</v>
      </c>
      <c r="R63" s="925">
        <v>0</v>
      </c>
      <c r="S63" s="925">
        <v>0</v>
      </c>
      <c r="T63" s="925">
        <v>0</v>
      </c>
      <c r="U63" s="925">
        <v>0</v>
      </c>
      <c r="V63" s="925">
        <v>0</v>
      </c>
      <c r="W63" s="925">
        <v>0</v>
      </c>
      <c r="X63" s="925">
        <v>0</v>
      </c>
      <c r="Y63" s="925">
        <v>0</v>
      </c>
      <c r="Z63" s="921">
        <v>685897.6</v>
      </c>
      <c r="AA63" s="925">
        <v>0</v>
      </c>
    </row>
    <row r="64" spans="1:27" s="867" customFormat="1" ht="64.150000000000006" customHeight="1">
      <c r="A64" s="927">
        <v>42</v>
      </c>
      <c r="B64" s="863" t="s">
        <v>1334</v>
      </c>
      <c r="C64" s="925">
        <f t="shared" si="2"/>
        <v>2176135.11</v>
      </c>
      <c r="D64" s="925">
        <f t="shared" si="3"/>
        <v>0</v>
      </c>
      <c r="E64" s="925">
        <v>0</v>
      </c>
      <c r="F64" s="925">
        <v>0</v>
      </c>
      <c r="G64" s="925">
        <v>0</v>
      </c>
      <c r="H64" s="925">
        <v>0</v>
      </c>
      <c r="I64" s="925">
        <v>0</v>
      </c>
      <c r="J64" s="925">
        <v>0</v>
      </c>
      <c r="K64" s="861">
        <v>0</v>
      </c>
      <c r="L64" s="925">
        <v>0</v>
      </c>
      <c r="M64" s="925">
        <v>0</v>
      </c>
      <c r="N64" s="925">
        <v>0</v>
      </c>
      <c r="O64" s="925">
        <v>410</v>
      </c>
      <c r="P64" s="925">
        <v>2018071.91</v>
      </c>
      <c r="Q64" s="925">
        <v>0</v>
      </c>
      <c r="R64" s="925">
        <v>0</v>
      </c>
      <c r="S64" s="925">
        <v>0</v>
      </c>
      <c r="T64" s="925">
        <v>0</v>
      </c>
      <c r="U64" s="925">
        <v>0</v>
      </c>
      <c r="V64" s="925">
        <v>0</v>
      </c>
      <c r="W64" s="925">
        <v>0</v>
      </c>
      <c r="X64" s="925">
        <v>0</v>
      </c>
      <c r="Y64" s="925">
        <v>0</v>
      </c>
      <c r="Z64" s="921">
        <v>158063.20000000001</v>
      </c>
      <c r="AA64" s="925">
        <v>0</v>
      </c>
    </row>
    <row r="65" spans="1:27" s="867" customFormat="1" ht="64.150000000000006" customHeight="1">
      <c r="A65" s="927">
        <v>43</v>
      </c>
      <c r="B65" s="863" t="s">
        <v>1335</v>
      </c>
      <c r="C65" s="925">
        <f t="shared" si="2"/>
        <v>2852594.67</v>
      </c>
      <c r="D65" s="925">
        <f t="shared" si="3"/>
        <v>0</v>
      </c>
      <c r="E65" s="925">
        <v>0</v>
      </c>
      <c r="F65" s="925">
        <v>0</v>
      </c>
      <c r="G65" s="925">
        <v>0</v>
      </c>
      <c r="H65" s="925">
        <v>0</v>
      </c>
      <c r="I65" s="925">
        <v>0</v>
      </c>
      <c r="J65" s="925">
        <v>0</v>
      </c>
      <c r="K65" s="861">
        <v>0</v>
      </c>
      <c r="L65" s="925">
        <v>0</v>
      </c>
      <c r="M65" s="925">
        <v>0</v>
      </c>
      <c r="N65" s="925">
        <v>0</v>
      </c>
      <c r="O65" s="925">
        <v>537.45000000000005</v>
      </c>
      <c r="P65" s="925">
        <v>2645396.94</v>
      </c>
      <c r="Q65" s="925">
        <v>0</v>
      </c>
      <c r="R65" s="925">
        <v>0</v>
      </c>
      <c r="S65" s="925">
        <v>0</v>
      </c>
      <c r="T65" s="925">
        <v>0</v>
      </c>
      <c r="U65" s="925">
        <v>0</v>
      </c>
      <c r="V65" s="925">
        <v>0</v>
      </c>
      <c r="W65" s="925">
        <v>0</v>
      </c>
      <c r="X65" s="925">
        <v>0</v>
      </c>
      <c r="Y65" s="925">
        <v>0</v>
      </c>
      <c r="Z65" s="921">
        <v>207197.73</v>
      </c>
      <c r="AA65" s="925">
        <v>0</v>
      </c>
    </row>
    <row r="66" spans="1:27" s="867" customFormat="1" ht="64.150000000000006" customHeight="1">
      <c r="A66" s="927">
        <v>44</v>
      </c>
      <c r="B66" s="863" t="s">
        <v>2099</v>
      </c>
      <c r="C66" s="925">
        <f t="shared" si="2"/>
        <v>175007.18</v>
      </c>
      <c r="D66" s="925">
        <f t="shared" si="3"/>
        <v>162295.56</v>
      </c>
      <c r="E66" s="925">
        <v>0</v>
      </c>
      <c r="F66" s="925">
        <v>0</v>
      </c>
      <c r="G66" s="925">
        <v>0</v>
      </c>
      <c r="H66" s="925">
        <v>0</v>
      </c>
      <c r="I66" s="925">
        <v>0</v>
      </c>
      <c r="J66" s="925">
        <v>162295.56</v>
      </c>
      <c r="K66" s="861">
        <v>0</v>
      </c>
      <c r="L66" s="925">
        <v>0</v>
      </c>
      <c r="M66" s="925">
        <v>0</v>
      </c>
      <c r="N66" s="925">
        <v>0</v>
      </c>
      <c r="O66" s="925">
        <v>0</v>
      </c>
      <c r="P66" s="925">
        <v>0</v>
      </c>
      <c r="Q66" s="925">
        <v>0</v>
      </c>
      <c r="R66" s="925">
        <v>0</v>
      </c>
      <c r="S66" s="925">
        <v>0</v>
      </c>
      <c r="T66" s="925">
        <v>0</v>
      </c>
      <c r="U66" s="925">
        <v>0</v>
      </c>
      <c r="V66" s="925">
        <v>0</v>
      </c>
      <c r="W66" s="925">
        <v>0</v>
      </c>
      <c r="X66" s="925">
        <v>0</v>
      </c>
      <c r="Y66" s="925">
        <v>0</v>
      </c>
      <c r="Z66" s="921">
        <v>12711.62</v>
      </c>
      <c r="AA66" s="925">
        <v>0</v>
      </c>
    </row>
    <row r="67" spans="1:27" s="867" customFormat="1" ht="66.599999999999994" customHeight="1">
      <c r="A67" s="927">
        <v>45</v>
      </c>
      <c r="B67" s="863" t="s">
        <v>1579</v>
      </c>
      <c r="C67" s="925">
        <f t="shared" si="2"/>
        <v>4284863.0999999996</v>
      </c>
      <c r="D67" s="925">
        <f t="shared" si="3"/>
        <v>0</v>
      </c>
      <c r="E67" s="925">
        <v>0</v>
      </c>
      <c r="F67" s="925">
        <v>0</v>
      </c>
      <c r="G67" s="925">
        <v>0</v>
      </c>
      <c r="H67" s="925">
        <v>0</v>
      </c>
      <c r="I67" s="925">
        <v>0</v>
      </c>
      <c r="J67" s="925">
        <v>0</v>
      </c>
      <c r="K67" s="861">
        <v>0</v>
      </c>
      <c r="L67" s="925">
        <v>0</v>
      </c>
      <c r="M67" s="925">
        <v>0</v>
      </c>
      <c r="N67" s="925">
        <v>0</v>
      </c>
      <c r="O67" s="925">
        <v>807.3</v>
      </c>
      <c r="P67" s="925">
        <v>3973632.8</v>
      </c>
      <c r="Q67" s="925">
        <v>0</v>
      </c>
      <c r="R67" s="925">
        <v>0</v>
      </c>
      <c r="S67" s="925">
        <v>0</v>
      </c>
      <c r="T67" s="925">
        <v>0</v>
      </c>
      <c r="U67" s="925">
        <v>0</v>
      </c>
      <c r="V67" s="925">
        <v>0</v>
      </c>
      <c r="W67" s="925">
        <v>0</v>
      </c>
      <c r="X67" s="925">
        <v>0</v>
      </c>
      <c r="Y67" s="925">
        <v>0</v>
      </c>
      <c r="Z67" s="921">
        <v>311230.3</v>
      </c>
      <c r="AA67" s="925">
        <v>0</v>
      </c>
    </row>
    <row r="68" spans="1:27" s="867" customFormat="1" ht="66.599999999999994" customHeight="1">
      <c r="A68" s="927">
        <v>46</v>
      </c>
      <c r="B68" s="863" t="s">
        <v>2100</v>
      </c>
      <c r="C68" s="925">
        <f t="shared" si="2"/>
        <v>457350.83999999997</v>
      </c>
      <c r="D68" s="925">
        <f t="shared" si="3"/>
        <v>424131.24</v>
      </c>
      <c r="E68" s="925">
        <v>424131.24</v>
      </c>
      <c r="F68" s="925">
        <v>0</v>
      </c>
      <c r="G68" s="925">
        <v>0</v>
      </c>
      <c r="H68" s="925">
        <v>0</v>
      </c>
      <c r="I68" s="925">
        <v>0</v>
      </c>
      <c r="J68" s="925">
        <v>0</v>
      </c>
      <c r="K68" s="861">
        <v>0</v>
      </c>
      <c r="L68" s="925">
        <v>0</v>
      </c>
      <c r="M68" s="925">
        <v>0</v>
      </c>
      <c r="N68" s="925">
        <v>0</v>
      </c>
      <c r="O68" s="925">
        <v>0</v>
      </c>
      <c r="P68" s="925">
        <v>0</v>
      </c>
      <c r="Q68" s="925">
        <v>0</v>
      </c>
      <c r="R68" s="925">
        <v>0</v>
      </c>
      <c r="S68" s="925">
        <v>0</v>
      </c>
      <c r="T68" s="925">
        <v>0</v>
      </c>
      <c r="U68" s="925">
        <v>0</v>
      </c>
      <c r="V68" s="925">
        <v>0</v>
      </c>
      <c r="W68" s="925">
        <v>0</v>
      </c>
      <c r="X68" s="925">
        <v>0</v>
      </c>
      <c r="Y68" s="925">
        <v>0</v>
      </c>
      <c r="Z68" s="921">
        <v>33219.599999999999</v>
      </c>
      <c r="AA68" s="925">
        <v>0</v>
      </c>
    </row>
    <row r="69" spans="1:27" s="867" customFormat="1" ht="93.6" customHeight="1">
      <c r="A69" s="927">
        <v>47</v>
      </c>
      <c r="B69" s="863" t="s">
        <v>1267</v>
      </c>
      <c r="C69" s="925">
        <f t="shared" si="2"/>
        <v>7799396.7999999998</v>
      </c>
      <c r="D69" s="925">
        <f t="shared" si="3"/>
        <v>0</v>
      </c>
      <c r="E69" s="925">
        <v>0</v>
      </c>
      <c r="F69" s="925">
        <v>0</v>
      </c>
      <c r="G69" s="925">
        <v>0</v>
      </c>
      <c r="H69" s="925">
        <v>0</v>
      </c>
      <c r="I69" s="925">
        <v>0</v>
      </c>
      <c r="J69" s="925">
        <v>0</v>
      </c>
      <c r="K69" s="861">
        <v>0</v>
      </c>
      <c r="L69" s="925">
        <v>0</v>
      </c>
      <c r="M69" s="925">
        <v>0</v>
      </c>
      <c r="N69" s="925">
        <v>0</v>
      </c>
      <c r="O69" s="925">
        <v>955.64</v>
      </c>
      <c r="P69" s="925">
        <v>7430978.4699999997</v>
      </c>
      <c r="Q69" s="925">
        <v>0</v>
      </c>
      <c r="R69" s="925">
        <v>0</v>
      </c>
      <c r="S69" s="925">
        <v>0</v>
      </c>
      <c r="T69" s="925">
        <v>0</v>
      </c>
      <c r="U69" s="925">
        <v>0</v>
      </c>
      <c r="V69" s="925">
        <v>0</v>
      </c>
      <c r="W69" s="925">
        <v>0</v>
      </c>
      <c r="X69" s="925">
        <v>0</v>
      </c>
      <c r="Y69" s="925">
        <v>0</v>
      </c>
      <c r="Z69" s="921">
        <v>368418.33</v>
      </c>
      <c r="AA69" s="925">
        <v>0</v>
      </c>
    </row>
    <row r="70" spans="1:27" s="867" customFormat="1" ht="69" customHeight="1">
      <c r="A70" s="927">
        <v>48</v>
      </c>
      <c r="B70" s="868" t="s">
        <v>1265</v>
      </c>
      <c r="C70" s="925">
        <f t="shared" si="2"/>
        <v>4652948.3900000006</v>
      </c>
      <c r="D70" s="925">
        <f t="shared" si="3"/>
        <v>0</v>
      </c>
      <c r="E70" s="925">
        <v>0</v>
      </c>
      <c r="F70" s="925">
        <v>0</v>
      </c>
      <c r="G70" s="925">
        <v>0</v>
      </c>
      <c r="H70" s="925">
        <v>0</v>
      </c>
      <c r="I70" s="925">
        <v>0</v>
      </c>
      <c r="J70" s="925">
        <v>0</v>
      </c>
      <c r="K70" s="861">
        <v>0</v>
      </c>
      <c r="L70" s="925">
        <v>0</v>
      </c>
      <c r="M70" s="925">
        <v>0</v>
      </c>
      <c r="N70" s="925">
        <v>0</v>
      </c>
      <c r="O70" s="925">
        <v>876.65</v>
      </c>
      <c r="P70" s="925">
        <v>4314982.28</v>
      </c>
      <c r="Q70" s="925">
        <v>0</v>
      </c>
      <c r="R70" s="925">
        <v>0</v>
      </c>
      <c r="S70" s="925">
        <v>0</v>
      </c>
      <c r="T70" s="925">
        <v>0</v>
      </c>
      <c r="U70" s="925">
        <v>0</v>
      </c>
      <c r="V70" s="925">
        <v>0</v>
      </c>
      <c r="W70" s="925">
        <v>0</v>
      </c>
      <c r="X70" s="925">
        <v>0</v>
      </c>
      <c r="Y70" s="925">
        <v>0</v>
      </c>
      <c r="Z70" s="921">
        <v>337966.11</v>
      </c>
      <c r="AA70" s="925">
        <v>0</v>
      </c>
    </row>
    <row r="71" spans="1:27" s="867" customFormat="1" ht="70.150000000000006" customHeight="1">
      <c r="A71" s="927">
        <v>49</v>
      </c>
      <c r="B71" s="868" t="s">
        <v>1266</v>
      </c>
      <c r="C71" s="925">
        <f t="shared" si="2"/>
        <v>4592281.99</v>
      </c>
      <c r="D71" s="925">
        <f t="shared" si="3"/>
        <v>0</v>
      </c>
      <c r="E71" s="925">
        <v>0</v>
      </c>
      <c r="F71" s="925">
        <v>0</v>
      </c>
      <c r="G71" s="925">
        <v>0</v>
      </c>
      <c r="H71" s="925">
        <v>0</v>
      </c>
      <c r="I71" s="925">
        <v>0</v>
      </c>
      <c r="J71" s="925">
        <v>0</v>
      </c>
      <c r="K71" s="861">
        <v>0</v>
      </c>
      <c r="L71" s="925">
        <v>0</v>
      </c>
      <c r="M71" s="925">
        <v>0</v>
      </c>
      <c r="N71" s="925">
        <v>0</v>
      </c>
      <c r="O71" s="925">
        <v>865.22</v>
      </c>
      <c r="P71" s="925">
        <v>4258722.38</v>
      </c>
      <c r="Q71" s="925">
        <v>0</v>
      </c>
      <c r="R71" s="925">
        <v>0</v>
      </c>
      <c r="S71" s="925">
        <v>0</v>
      </c>
      <c r="T71" s="925">
        <v>0</v>
      </c>
      <c r="U71" s="925">
        <v>0</v>
      </c>
      <c r="V71" s="925">
        <v>0</v>
      </c>
      <c r="W71" s="925">
        <v>0</v>
      </c>
      <c r="X71" s="925">
        <v>0</v>
      </c>
      <c r="Y71" s="925">
        <v>0</v>
      </c>
      <c r="Z71" s="921">
        <v>333559.61</v>
      </c>
      <c r="AA71" s="925">
        <v>0</v>
      </c>
    </row>
    <row r="72" spans="1:27" s="867" customFormat="1" ht="85.15" customHeight="1">
      <c r="A72" s="1198" t="s">
        <v>1974</v>
      </c>
      <c r="B72" s="1199"/>
      <c r="C72" s="925">
        <f t="shared" si="2"/>
        <v>30135392.179999996</v>
      </c>
      <c r="D72" s="925">
        <f t="shared" si="3"/>
        <v>0</v>
      </c>
      <c r="E72" s="925">
        <f t="shared" ref="E72:AA72" si="16">SUM(E73:E78)</f>
        <v>0</v>
      </c>
      <c r="F72" s="925">
        <f t="shared" si="16"/>
        <v>0</v>
      </c>
      <c r="G72" s="925">
        <f t="shared" si="16"/>
        <v>0</v>
      </c>
      <c r="H72" s="925">
        <f t="shared" si="16"/>
        <v>0</v>
      </c>
      <c r="I72" s="925">
        <f t="shared" si="16"/>
        <v>0</v>
      </c>
      <c r="J72" s="925">
        <f t="shared" si="16"/>
        <v>0</v>
      </c>
      <c r="K72" s="861">
        <f t="shared" si="16"/>
        <v>0</v>
      </c>
      <c r="L72" s="925">
        <f t="shared" si="16"/>
        <v>0</v>
      </c>
      <c r="M72" s="925">
        <f t="shared" si="16"/>
        <v>0</v>
      </c>
      <c r="N72" s="925">
        <f t="shared" si="16"/>
        <v>0</v>
      </c>
      <c r="O72" s="925">
        <f t="shared" si="16"/>
        <v>3287</v>
      </c>
      <c r="P72" s="925">
        <f t="shared" si="16"/>
        <v>27946513.139999997</v>
      </c>
      <c r="Q72" s="925">
        <f t="shared" si="16"/>
        <v>0</v>
      </c>
      <c r="R72" s="925">
        <f t="shared" si="16"/>
        <v>0</v>
      </c>
      <c r="S72" s="925">
        <f t="shared" si="16"/>
        <v>0</v>
      </c>
      <c r="T72" s="925">
        <f t="shared" si="16"/>
        <v>0</v>
      </c>
      <c r="U72" s="925">
        <f t="shared" si="16"/>
        <v>0</v>
      </c>
      <c r="V72" s="925">
        <f t="shared" si="16"/>
        <v>0</v>
      </c>
      <c r="W72" s="925">
        <f t="shared" si="16"/>
        <v>0</v>
      </c>
      <c r="X72" s="925">
        <f t="shared" si="16"/>
        <v>0</v>
      </c>
      <c r="Y72" s="925">
        <f t="shared" si="16"/>
        <v>0</v>
      </c>
      <c r="Z72" s="921">
        <f t="shared" si="16"/>
        <v>2188879.04</v>
      </c>
      <c r="AA72" s="925">
        <f t="shared" si="16"/>
        <v>0</v>
      </c>
    </row>
    <row r="73" spans="1:27" s="867" customFormat="1" ht="97.5" customHeight="1">
      <c r="A73" s="927">
        <v>50</v>
      </c>
      <c r="B73" s="868" t="s">
        <v>1362</v>
      </c>
      <c r="C73" s="925">
        <f t="shared" si="2"/>
        <v>5867554.2999999998</v>
      </c>
      <c r="D73" s="925">
        <f t="shared" si="3"/>
        <v>0</v>
      </c>
      <c r="E73" s="925">
        <v>0</v>
      </c>
      <c r="F73" s="925">
        <v>0</v>
      </c>
      <c r="G73" s="925">
        <v>0</v>
      </c>
      <c r="H73" s="925">
        <v>0</v>
      </c>
      <c r="I73" s="925">
        <v>0</v>
      </c>
      <c r="J73" s="925">
        <v>0</v>
      </c>
      <c r="K73" s="861">
        <v>0</v>
      </c>
      <c r="L73" s="925">
        <v>0</v>
      </c>
      <c r="M73" s="925">
        <v>0</v>
      </c>
      <c r="N73" s="925">
        <v>0</v>
      </c>
      <c r="O73" s="925">
        <v>640</v>
      </c>
      <c r="P73" s="925">
        <v>5441365.5</v>
      </c>
      <c r="Q73" s="925">
        <v>0</v>
      </c>
      <c r="R73" s="925">
        <v>0</v>
      </c>
      <c r="S73" s="925">
        <v>0</v>
      </c>
      <c r="T73" s="925">
        <v>0</v>
      </c>
      <c r="U73" s="925">
        <v>0</v>
      </c>
      <c r="V73" s="925">
        <v>0</v>
      </c>
      <c r="W73" s="925">
        <v>0</v>
      </c>
      <c r="X73" s="925">
        <v>0</v>
      </c>
      <c r="Y73" s="925">
        <v>0</v>
      </c>
      <c r="Z73" s="921">
        <v>426188.79999999999</v>
      </c>
      <c r="AA73" s="925">
        <v>0</v>
      </c>
    </row>
    <row r="74" spans="1:27" s="867" customFormat="1" ht="112.5" customHeight="1">
      <c r="A74" s="927">
        <v>51</v>
      </c>
      <c r="B74" s="868" t="s">
        <v>1363</v>
      </c>
      <c r="C74" s="925">
        <f t="shared" si="2"/>
        <v>8984692.5299999993</v>
      </c>
      <c r="D74" s="925">
        <f t="shared" si="3"/>
        <v>0</v>
      </c>
      <c r="E74" s="925">
        <v>0</v>
      </c>
      <c r="F74" s="925">
        <v>0</v>
      </c>
      <c r="G74" s="925">
        <v>0</v>
      </c>
      <c r="H74" s="925">
        <v>0</v>
      </c>
      <c r="I74" s="925">
        <v>0</v>
      </c>
      <c r="J74" s="925">
        <v>0</v>
      </c>
      <c r="K74" s="861">
        <v>0</v>
      </c>
      <c r="L74" s="925">
        <v>0</v>
      </c>
      <c r="M74" s="925">
        <v>0</v>
      </c>
      <c r="N74" s="925">
        <v>0</v>
      </c>
      <c r="O74" s="925">
        <v>980</v>
      </c>
      <c r="P74" s="925">
        <v>8332090.9299999997</v>
      </c>
      <c r="Q74" s="925">
        <v>0</v>
      </c>
      <c r="R74" s="925">
        <v>0</v>
      </c>
      <c r="S74" s="925">
        <v>0</v>
      </c>
      <c r="T74" s="925">
        <v>0</v>
      </c>
      <c r="U74" s="925">
        <v>0</v>
      </c>
      <c r="V74" s="925">
        <v>0</v>
      </c>
      <c r="W74" s="925">
        <v>0</v>
      </c>
      <c r="X74" s="925">
        <v>0</v>
      </c>
      <c r="Y74" s="925">
        <v>0</v>
      </c>
      <c r="Z74" s="921">
        <v>652601.59999999998</v>
      </c>
      <c r="AA74" s="925">
        <v>0</v>
      </c>
    </row>
    <row r="75" spans="1:27" s="867" customFormat="1" ht="112.5" customHeight="1">
      <c r="A75" s="927">
        <v>52</v>
      </c>
      <c r="B75" s="868" t="s">
        <v>1364</v>
      </c>
      <c r="C75" s="925">
        <f t="shared" si="2"/>
        <v>3942263.0500000003</v>
      </c>
      <c r="D75" s="925">
        <f t="shared" si="3"/>
        <v>0</v>
      </c>
      <c r="E75" s="925">
        <v>0</v>
      </c>
      <c r="F75" s="925">
        <v>0</v>
      </c>
      <c r="G75" s="925">
        <v>0</v>
      </c>
      <c r="H75" s="925">
        <v>0</v>
      </c>
      <c r="I75" s="925">
        <v>0</v>
      </c>
      <c r="J75" s="925">
        <v>0</v>
      </c>
      <c r="K75" s="861">
        <v>0</v>
      </c>
      <c r="L75" s="925">
        <v>0</v>
      </c>
      <c r="M75" s="925">
        <v>0</v>
      </c>
      <c r="N75" s="925">
        <v>0</v>
      </c>
      <c r="O75" s="925">
        <v>430</v>
      </c>
      <c r="P75" s="925">
        <v>3655917.45</v>
      </c>
      <c r="Q75" s="925">
        <v>0</v>
      </c>
      <c r="R75" s="925">
        <v>0</v>
      </c>
      <c r="S75" s="925">
        <v>0</v>
      </c>
      <c r="T75" s="925">
        <v>0</v>
      </c>
      <c r="U75" s="925">
        <v>0</v>
      </c>
      <c r="V75" s="925">
        <v>0</v>
      </c>
      <c r="W75" s="925">
        <v>0</v>
      </c>
      <c r="X75" s="925">
        <v>0</v>
      </c>
      <c r="Y75" s="925">
        <v>0</v>
      </c>
      <c r="Z75" s="921">
        <v>286345.59999999998</v>
      </c>
      <c r="AA75" s="925">
        <v>0</v>
      </c>
    </row>
    <row r="76" spans="1:27" s="867" customFormat="1" ht="94.5" customHeight="1">
      <c r="A76" s="927">
        <v>53</v>
      </c>
      <c r="B76" s="868" t="s">
        <v>1365</v>
      </c>
      <c r="C76" s="925">
        <f t="shared" si="2"/>
        <v>2823760.51</v>
      </c>
      <c r="D76" s="925">
        <f t="shared" si="3"/>
        <v>0</v>
      </c>
      <c r="E76" s="925">
        <v>0</v>
      </c>
      <c r="F76" s="925">
        <v>0</v>
      </c>
      <c r="G76" s="925">
        <v>0</v>
      </c>
      <c r="H76" s="925">
        <v>0</v>
      </c>
      <c r="I76" s="925">
        <v>0</v>
      </c>
      <c r="J76" s="925">
        <v>0</v>
      </c>
      <c r="K76" s="861">
        <v>0</v>
      </c>
      <c r="L76" s="925">
        <v>0</v>
      </c>
      <c r="M76" s="925">
        <v>0</v>
      </c>
      <c r="N76" s="925">
        <v>0</v>
      </c>
      <c r="O76" s="925">
        <v>308</v>
      </c>
      <c r="P76" s="925">
        <v>2618657.15</v>
      </c>
      <c r="Q76" s="925">
        <v>0</v>
      </c>
      <c r="R76" s="925">
        <v>0</v>
      </c>
      <c r="S76" s="925">
        <v>0</v>
      </c>
      <c r="T76" s="925">
        <v>0</v>
      </c>
      <c r="U76" s="925">
        <v>0</v>
      </c>
      <c r="V76" s="925">
        <v>0</v>
      </c>
      <c r="W76" s="925">
        <v>0</v>
      </c>
      <c r="X76" s="925">
        <v>0</v>
      </c>
      <c r="Y76" s="925">
        <v>0</v>
      </c>
      <c r="Z76" s="921">
        <v>205103.35999999999</v>
      </c>
      <c r="AA76" s="925">
        <v>0</v>
      </c>
    </row>
    <row r="77" spans="1:27" s="867" customFormat="1" ht="100.5" customHeight="1">
      <c r="A77" s="927">
        <v>54</v>
      </c>
      <c r="B77" s="868" t="s">
        <v>1366</v>
      </c>
      <c r="C77" s="925">
        <f t="shared" si="2"/>
        <v>3263827.08</v>
      </c>
      <c r="D77" s="925">
        <f t="shared" si="3"/>
        <v>0</v>
      </c>
      <c r="E77" s="925">
        <v>0</v>
      </c>
      <c r="F77" s="925">
        <v>0</v>
      </c>
      <c r="G77" s="925">
        <v>0</v>
      </c>
      <c r="H77" s="925">
        <v>0</v>
      </c>
      <c r="I77" s="925">
        <v>0</v>
      </c>
      <c r="J77" s="925">
        <v>0</v>
      </c>
      <c r="K77" s="861">
        <v>0</v>
      </c>
      <c r="L77" s="925">
        <v>0</v>
      </c>
      <c r="M77" s="925">
        <v>0</v>
      </c>
      <c r="N77" s="925">
        <v>0</v>
      </c>
      <c r="O77" s="925">
        <v>356</v>
      </c>
      <c r="P77" s="925">
        <v>3026759.56</v>
      </c>
      <c r="Q77" s="925">
        <v>0</v>
      </c>
      <c r="R77" s="925">
        <v>0</v>
      </c>
      <c r="S77" s="925">
        <v>0</v>
      </c>
      <c r="T77" s="925">
        <v>0</v>
      </c>
      <c r="U77" s="925">
        <v>0</v>
      </c>
      <c r="V77" s="925">
        <v>0</v>
      </c>
      <c r="W77" s="925">
        <v>0</v>
      </c>
      <c r="X77" s="925">
        <v>0</v>
      </c>
      <c r="Y77" s="925">
        <v>0</v>
      </c>
      <c r="Z77" s="921">
        <v>237067.51999999999</v>
      </c>
      <c r="AA77" s="925">
        <v>0</v>
      </c>
    </row>
    <row r="78" spans="1:27" s="867" customFormat="1" ht="133.5" customHeight="1">
      <c r="A78" s="927">
        <v>55</v>
      </c>
      <c r="B78" s="868" t="s">
        <v>1367</v>
      </c>
      <c r="C78" s="925">
        <f t="shared" ref="C78:C153" si="17">D78+L78+N78+P78+R78+T78+V78+X78+Z78+AA78</f>
        <v>5253294.71</v>
      </c>
      <c r="D78" s="925">
        <f t="shared" ref="D78:D153" si="18">SUM(E78:J78)</f>
        <v>0</v>
      </c>
      <c r="E78" s="925">
        <v>0</v>
      </c>
      <c r="F78" s="925">
        <v>0</v>
      </c>
      <c r="G78" s="925">
        <v>0</v>
      </c>
      <c r="H78" s="925">
        <v>0</v>
      </c>
      <c r="I78" s="925">
        <v>0</v>
      </c>
      <c r="J78" s="925">
        <v>0</v>
      </c>
      <c r="K78" s="861">
        <v>0</v>
      </c>
      <c r="L78" s="925">
        <v>0</v>
      </c>
      <c r="M78" s="925">
        <v>0</v>
      </c>
      <c r="N78" s="925">
        <v>0</v>
      </c>
      <c r="O78" s="925">
        <v>573</v>
      </c>
      <c r="P78" s="925">
        <v>4871722.55</v>
      </c>
      <c r="Q78" s="925">
        <v>0</v>
      </c>
      <c r="R78" s="925">
        <v>0</v>
      </c>
      <c r="S78" s="925">
        <v>0</v>
      </c>
      <c r="T78" s="925">
        <v>0</v>
      </c>
      <c r="U78" s="925">
        <v>0</v>
      </c>
      <c r="V78" s="925">
        <v>0</v>
      </c>
      <c r="W78" s="925">
        <v>0</v>
      </c>
      <c r="X78" s="925">
        <v>0</v>
      </c>
      <c r="Y78" s="925">
        <v>0</v>
      </c>
      <c r="Z78" s="921">
        <v>381572.16</v>
      </c>
      <c r="AA78" s="925">
        <v>0</v>
      </c>
    </row>
    <row r="79" spans="1:27" s="867" customFormat="1" ht="128.25" customHeight="1">
      <c r="A79" s="1198" t="s">
        <v>1248</v>
      </c>
      <c r="B79" s="1199"/>
      <c r="C79" s="925">
        <f t="shared" si="17"/>
        <v>8582395</v>
      </c>
      <c r="D79" s="925">
        <f t="shared" si="18"/>
        <v>0</v>
      </c>
      <c r="E79" s="925">
        <f t="shared" ref="E79:AA79" si="19">SUM(E80:E86)</f>
        <v>0</v>
      </c>
      <c r="F79" s="925">
        <f t="shared" si="19"/>
        <v>0</v>
      </c>
      <c r="G79" s="925">
        <f t="shared" si="19"/>
        <v>0</v>
      </c>
      <c r="H79" s="925">
        <f t="shared" si="19"/>
        <v>0</v>
      </c>
      <c r="I79" s="925">
        <f t="shared" si="19"/>
        <v>0</v>
      </c>
      <c r="J79" s="925">
        <f t="shared" si="19"/>
        <v>0</v>
      </c>
      <c r="K79" s="861">
        <f t="shared" si="19"/>
        <v>0</v>
      </c>
      <c r="L79" s="925">
        <f t="shared" si="19"/>
        <v>0</v>
      </c>
      <c r="M79" s="925">
        <f t="shared" si="19"/>
        <v>0</v>
      </c>
      <c r="N79" s="925">
        <f t="shared" si="19"/>
        <v>0</v>
      </c>
      <c r="O79" s="925">
        <f t="shared" si="19"/>
        <v>0</v>
      </c>
      <c r="P79" s="925">
        <f t="shared" si="19"/>
        <v>0</v>
      </c>
      <c r="Q79" s="925">
        <f t="shared" si="19"/>
        <v>0</v>
      </c>
      <c r="R79" s="925">
        <f t="shared" si="19"/>
        <v>0</v>
      </c>
      <c r="S79" s="925">
        <f t="shared" si="19"/>
        <v>0</v>
      </c>
      <c r="T79" s="925">
        <f t="shared" si="19"/>
        <v>0</v>
      </c>
      <c r="U79" s="925">
        <f t="shared" si="19"/>
        <v>0</v>
      </c>
      <c r="V79" s="925">
        <f t="shared" si="19"/>
        <v>0</v>
      </c>
      <c r="W79" s="925">
        <f t="shared" si="19"/>
        <v>0</v>
      </c>
      <c r="X79" s="925">
        <f t="shared" si="19"/>
        <v>0</v>
      </c>
      <c r="Y79" s="925">
        <f t="shared" si="19"/>
        <v>0</v>
      </c>
      <c r="Z79" s="921">
        <f t="shared" si="19"/>
        <v>8582395</v>
      </c>
      <c r="AA79" s="925">
        <f t="shared" si="19"/>
        <v>0</v>
      </c>
    </row>
    <row r="80" spans="1:27" s="867" customFormat="1" ht="106.5" customHeight="1">
      <c r="A80" s="927">
        <v>56</v>
      </c>
      <c r="B80" s="863" t="s">
        <v>1413</v>
      </c>
      <c r="C80" s="925">
        <f t="shared" si="17"/>
        <v>1195838</v>
      </c>
      <c r="D80" s="925">
        <f t="shared" si="18"/>
        <v>0</v>
      </c>
      <c r="E80" s="925">
        <v>0</v>
      </c>
      <c r="F80" s="925">
        <v>0</v>
      </c>
      <c r="G80" s="925">
        <v>0</v>
      </c>
      <c r="H80" s="925">
        <v>0</v>
      </c>
      <c r="I80" s="925">
        <v>0</v>
      </c>
      <c r="J80" s="925">
        <v>0</v>
      </c>
      <c r="K80" s="861">
        <v>0</v>
      </c>
      <c r="L80" s="925">
        <v>0</v>
      </c>
      <c r="M80" s="925">
        <v>0</v>
      </c>
      <c r="N80" s="925">
        <v>0</v>
      </c>
      <c r="O80" s="925">
        <v>0</v>
      </c>
      <c r="P80" s="925">
        <v>0</v>
      </c>
      <c r="Q80" s="925">
        <v>0</v>
      </c>
      <c r="R80" s="925">
        <v>0</v>
      </c>
      <c r="S80" s="925">
        <v>0</v>
      </c>
      <c r="T80" s="925">
        <v>0</v>
      </c>
      <c r="U80" s="925">
        <v>0</v>
      </c>
      <c r="V80" s="925">
        <v>0</v>
      </c>
      <c r="W80" s="925">
        <v>0</v>
      </c>
      <c r="X80" s="925">
        <v>0</v>
      </c>
      <c r="Y80" s="925">
        <v>0</v>
      </c>
      <c r="Z80" s="871">
        <v>1195838</v>
      </c>
      <c r="AA80" s="925">
        <v>0</v>
      </c>
    </row>
    <row r="81" spans="1:27" s="867" customFormat="1" ht="124.15" customHeight="1">
      <c r="A81" s="927">
        <v>57</v>
      </c>
      <c r="B81" s="863" t="s">
        <v>1890</v>
      </c>
      <c r="C81" s="925">
        <f t="shared" si="17"/>
        <v>1215045</v>
      </c>
      <c r="D81" s="925">
        <f t="shared" si="18"/>
        <v>0</v>
      </c>
      <c r="E81" s="925">
        <v>0</v>
      </c>
      <c r="F81" s="925">
        <v>0</v>
      </c>
      <c r="G81" s="925">
        <v>0</v>
      </c>
      <c r="H81" s="925">
        <v>0</v>
      </c>
      <c r="I81" s="925">
        <v>0</v>
      </c>
      <c r="J81" s="925">
        <v>0</v>
      </c>
      <c r="K81" s="861">
        <v>0</v>
      </c>
      <c r="L81" s="925">
        <v>0</v>
      </c>
      <c r="M81" s="925">
        <v>0</v>
      </c>
      <c r="N81" s="925">
        <v>0</v>
      </c>
      <c r="O81" s="925">
        <v>0</v>
      </c>
      <c r="P81" s="925">
        <v>0</v>
      </c>
      <c r="Q81" s="925">
        <v>0</v>
      </c>
      <c r="R81" s="925">
        <v>0</v>
      </c>
      <c r="S81" s="925">
        <v>0</v>
      </c>
      <c r="T81" s="925">
        <v>0</v>
      </c>
      <c r="U81" s="925">
        <v>0</v>
      </c>
      <c r="V81" s="925">
        <v>0</v>
      </c>
      <c r="W81" s="925">
        <v>0</v>
      </c>
      <c r="X81" s="925">
        <v>0</v>
      </c>
      <c r="Y81" s="925">
        <v>0</v>
      </c>
      <c r="Z81" s="871">
        <v>1215045</v>
      </c>
      <c r="AA81" s="925">
        <v>0</v>
      </c>
    </row>
    <row r="82" spans="1:27" s="867" customFormat="1" ht="96.75" customHeight="1">
      <c r="A82" s="927">
        <v>58</v>
      </c>
      <c r="B82" s="863" t="s">
        <v>1414</v>
      </c>
      <c r="C82" s="925">
        <f t="shared" si="17"/>
        <v>1191236</v>
      </c>
      <c r="D82" s="925">
        <f t="shared" si="18"/>
        <v>0</v>
      </c>
      <c r="E82" s="925">
        <v>0</v>
      </c>
      <c r="F82" s="925">
        <v>0</v>
      </c>
      <c r="G82" s="925">
        <v>0</v>
      </c>
      <c r="H82" s="925">
        <v>0</v>
      </c>
      <c r="I82" s="925">
        <v>0</v>
      </c>
      <c r="J82" s="925">
        <v>0</v>
      </c>
      <c r="K82" s="861">
        <v>0</v>
      </c>
      <c r="L82" s="925">
        <v>0</v>
      </c>
      <c r="M82" s="925">
        <v>0</v>
      </c>
      <c r="N82" s="925">
        <v>0</v>
      </c>
      <c r="O82" s="925">
        <v>0</v>
      </c>
      <c r="P82" s="925">
        <v>0</v>
      </c>
      <c r="Q82" s="925">
        <v>0</v>
      </c>
      <c r="R82" s="925">
        <v>0</v>
      </c>
      <c r="S82" s="925">
        <v>0</v>
      </c>
      <c r="T82" s="925">
        <v>0</v>
      </c>
      <c r="U82" s="925">
        <v>0</v>
      </c>
      <c r="V82" s="925">
        <v>0</v>
      </c>
      <c r="W82" s="925">
        <v>0</v>
      </c>
      <c r="X82" s="925">
        <v>0</v>
      </c>
      <c r="Y82" s="925">
        <v>0</v>
      </c>
      <c r="Z82" s="871">
        <v>1191236</v>
      </c>
      <c r="AA82" s="925">
        <v>0</v>
      </c>
    </row>
    <row r="83" spans="1:27" s="867" customFormat="1" ht="92.45" customHeight="1">
      <c r="A83" s="927">
        <v>59</v>
      </c>
      <c r="B83" s="863" t="s">
        <v>1415</v>
      </c>
      <c r="C83" s="925">
        <f t="shared" si="17"/>
        <v>1230002</v>
      </c>
      <c r="D83" s="925">
        <f t="shared" si="18"/>
        <v>0</v>
      </c>
      <c r="E83" s="925">
        <v>0</v>
      </c>
      <c r="F83" s="925">
        <v>0</v>
      </c>
      <c r="G83" s="925">
        <v>0</v>
      </c>
      <c r="H83" s="925">
        <v>0</v>
      </c>
      <c r="I83" s="925">
        <v>0</v>
      </c>
      <c r="J83" s="925">
        <v>0</v>
      </c>
      <c r="K83" s="861">
        <v>0</v>
      </c>
      <c r="L83" s="925">
        <v>0</v>
      </c>
      <c r="M83" s="925">
        <v>0</v>
      </c>
      <c r="N83" s="925">
        <v>0</v>
      </c>
      <c r="O83" s="925">
        <v>0</v>
      </c>
      <c r="P83" s="925">
        <v>0</v>
      </c>
      <c r="Q83" s="925">
        <v>0</v>
      </c>
      <c r="R83" s="925">
        <v>0</v>
      </c>
      <c r="S83" s="925">
        <v>0</v>
      </c>
      <c r="T83" s="925">
        <v>0</v>
      </c>
      <c r="U83" s="925">
        <v>0</v>
      </c>
      <c r="V83" s="925">
        <v>0</v>
      </c>
      <c r="W83" s="925">
        <v>0</v>
      </c>
      <c r="X83" s="925">
        <v>0</v>
      </c>
      <c r="Y83" s="925">
        <v>0</v>
      </c>
      <c r="Z83" s="871">
        <v>1230002</v>
      </c>
      <c r="AA83" s="925">
        <v>0</v>
      </c>
    </row>
    <row r="84" spans="1:27" s="867" customFormat="1" ht="90" customHeight="1">
      <c r="A84" s="927">
        <v>60</v>
      </c>
      <c r="B84" s="863" t="s">
        <v>1416</v>
      </c>
      <c r="C84" s="925">
        <f t="shared" si="17"/>
        <v>1182844</v>
      </c>
      <c r="D84" s="925">
        <f t="shared" si="18"/>
        <v>0</v>
      </c>
      <c r="E84" s="925">
        <v>0</v>
      </c>
      <c r="F84" s="925">
        <v>0</v>
      </c>
      <c r="G84" s="925">
        <v>0</v>
      </c>
      <c r="H84" s="925">
        <v>0</v>
      </c>
      <c r="I84" s="925">
        <v>0</v>
      </c>
      <c r="J84" s="925">
        <v>0</v>
      </c>
      <c r="K84" s="861">
        <v>0</v>
      </c>
      <c r="L84" s="925">
        <v>0</v>
      </c>
      <c r="M84" s="925">
        <v>0</v>
      </c>
      <c r="N84" s="925">
        <v>0</v>
      </c>
      <c r="O84" s="925">
        <v>0</v>
      </c>
      <c r="P84" s="925">
        <v>0</v>
      </c>
      <c r="Q84" s="925">
        <v>0</v>
      </c>
      <c r="R84" s="925">
        <v>0</v>
      </c>
      <c r="S84" s="925">
        <v>0</v>
      </c>
      <c r="T84" s="925">
        <v>0</v>
      </c>
      <c r="U84" s="925">
        <v>0</v>
      </c>
      <c r="V84" s="925">
        <v>0</v>
      </c>
      <c r="W84" s="925">
        <v>0</v>
      </c>
      <c r="X84" s="925">
        <v>0</v>
      </c>
      <c r="Y84" s="925">
        <v>0</v>
      </c>
      <c r="Z84" s="871">
        <v>1182844</v>
      </c>
      <c r="AA84" s="925">
        <v>0</v>
      </c>
    </row>
    <row r="85" spans="1:27" s="867" customFormat="1" ht="123" customHeight="1">
      <c r="A85" s="927">
        <v>61</v>
      </c>
      <c r="B85" s="863" t="s">
        <v>1417</v>
      </c>
      <c r="C85" s="925">
        <f t="shared" si="17"/>
        <v>1271553</v>
      </c>
      <c r="D85" s="925">
        <f t="shared" si="18"/>
        <v>0</v>
      </c>
      <c r="E85" s="925">
        <v>0</v>
      </c>
      <c r="F85" s="925">
        <v>0</v>
      </c>
      <c r="G85" s="925">
        <v>0</v>
      </c>
      <c r="H85" s="925">
        <v>0</v>
      </c>
      <c r="I85" s="925">
        <v>0</v>
      </c>
      <c r="J85" s="925">
        <v>0</v>
      </c>
      <c r="K85" s="861">
        <v>0</v>
      </c>
      <c r="L85" s="925">
        <v>0</v>
      </c>
      <c r="M85" s="925">
        <v>0</v>
      </c>
      <c r="N85" s="925">
        <v>0</v>
      </c>
      <c r="O85" s="925">
        <v>0</v>
      </c>
      <c r="P85" s="925">
        <v>0</v>
      </c>
      <c r="Q85" s="925">
        <v>0</v>
      </c>
      <c r="R85" s="925">
        <v>0</v>
      </c>
      <c r="S85" s="925">
        <v>0</v>
      </c>
      <c r="T85" s="925">
        <v>0</v>
      </c>
      <c r="U85" s="925">
        <v>0</v>
      </c>
      <c r="V85" s="925">
        <v>0</v>
      </c>
      <c r="W85" s="925">
        <v>0</v>
      </c>
      <c r="X85" s="925">
        <v>0</v>
      </c>
      <c r="Y85" s="925">
        <v>0</v>
      </c>
      <c r="Z85" s="872">
        <v>1271553</v>
      </c>
      <c r="AA85" s="925">
        <v>0</v>
      </c>
    </row>
    <row r="86" spans="1:27" s="867" customFormat="1" ht="88.9" customHeight="1">
      <c r="A86" s="927">
        <v>62</v>
      </c>
      <c r="B86" s="863" t="s">
        <v>1418</v>
      </c>
      <c r="C86" s="925">
        <f t="shared" si="17"/>
        <v>1295877</v>
      </c>
      <c r="D86" s="925">
        <f t="shared" si="18"/>
        <v>0</v>
      </c>
      <c r="E86" s="925">
        <v>0</v>
      </c>
      <c r="F86" s="925">
        <v>0</v>
      </c>
      <c r="G86" s="925">
        <v>0</v>
      </c>
      <c r="H86" s="925">
        <v>0</v>
      </c>
      <c r="I86" s="925">
        <v>0</v>
      </c>
      <c r="J86" s="925">
        <v>0</v>
      </c>
      <c r="K86" s="861">
        <v>0</v>
      </c>
      <c r="L86" s="925">
        <v>0</v>
      </c>
      <c r="M86" s="925">
        <v>0</v>
      </c>
      <c r="N86" s="925">
        <v>0</v>
      </c>
      <c r="O86" s="925">
        <v>0</v>
      </c>
      <c r="P86" s="925">
        <v>0</v>
      </c>
      <c r="Q86" s="925">
        <v>0</v>
      </c>
      <c r="R86" s="925">
        <v>0</v>
      </c>
      <c r="S86" s="925">
        <v>0</v>
      </c>
      <c r="T86" s="925">
        <v>0</v>
      </c>
      <c r="U86" s="925">
        <v>0</v>
      </c>
      <c r="V86" s="925">
        <v>0</v>
      </c>
      <c r="W86" s="925">
        <v>0</v>
      </c>
      <c r="X86" s="925">
        <v>0</v>
      </c>
      <c r="Y86" s="925">
        <v>0</v>
      </c>
      <c r="Z86" s="871">
        <v>1295877</v>
      </c>
      <c r="AA86" s="925">
        <v>0</v>
      </c>
    </row>
    <row r="87" spans="1:27" s="867" customFormat="1" ht="108" customHeight="1">
      <c r="A87" s="1198" t="s">
        <v>1582</v>
      </c>
      <c r="B87" s="1199"/>
      <c r="C87" s="925">
        <f t="shared" si="17"/>
        <v>1021741.25</v>
      </c>
      <c r="D87" s="925">
        <f t="shared" si="18"/>
        <v>947527.25</v>
      </c>
      <c r="E87" s="925">
        <f t="shared" ref="E87:AA87" si="20">E88</f>
        <v>947527.25</v>
      </c>
      <c r="F87" s="925">
        <f t="shared" si="20"/>
        <v>0</v>
      </c>
      <c r="G87" s="925">
        <f t="shared" si="20"/>
        <v>0</v>
      </c>
      <c r="H87" s="925">
        <f t="shared" si="20"/>
        <v>0</v>
      </c>
      <c r="I87" s="925">
        <f t="shared" si="20"/>
        <v>0</v>
      </c>
      <c r="J87" s="925">
        <f t="shared" si="20"/>
        <v>0</v>
      </c>
      <c r="K87" s="861">
        <f t="shared" si="20"/>
        <v>0</v>
      </c>
      <c r="L87" s="925">
        <f t="shared" si="20"/>
        <v>0</v>
      </c>
      <c r="M87" s="925">
        <f t="shared" si="20"/>
        <v>0</v>
      </c>
      <c r="N87" s="925">
        <f t="shared" si="20"/>
        <v>0</v>
      </c>
      <c r="O87" s="925">
        <f t="shared" si="20"/>
        <v>0</v>
      </c>
      <c r="P87" s="925">
        <f t="shared" si="20"/>
        <v>0</v>
      </c>
      <c r="Q87" s="925">
        <f t="shared" si="20"/>
        <v>0</v>
      </c>
      <c r="R87" s="925">
        <f t="shared" si="20"/>
        <v>0</v>
      </c>
      <c r="S87" s="925">
        <f t="shared" si="20"/>
        <v>0</v>
      </c>
      <c r="T87" s="925">
        <f t="shared" si="20"/>
        <v>0</v>
      </c>
      <c r="U87" s="925">
        <f t="shared" si="20"/>
        <v>0</v>
      </c>
      <c r="V87" s="925">
        <f t="shared" si="20"/>
        <v>0</v>
      </c>
      <c r="W87" s="925">
        <f t="shared" si="20"/>
        <v>0</v>
      </c>
      <c r="X87" s="925">
        <f t="shared" si="20"/>
        <v>0</v>
      </c>
      <c r="Y87" s="925">
        <f t="shared" si="20"/>
        <v>0</v>
      </c>
      <c r="Z87" s="921">
        <f t="shared" si="20"/>
        <v>74214</v>
      </c>
      <c r="AA87" s="925">
        <f t="shared" si="20"/>
        <v>0</v>
      </c>
    </row>
    <row r="88" spans="1:27" s="867" customFormat="1" ht="88.9" customHeight="1">
      <c r="A88" s="927">
        <v>63</v>
      </c>
      <c r="B88" s="863" t="s">
        <v>2139</v>
      </c>
      <c r="C88" s="925">
        <f t="shared" si="17"/>
        <v>1021741.25</v>
      </c>
      <c r="D88" s="925">
        <f t="shared" si="18"/>
        <v>947527.25</v>
      </c>
      <c r="E88" s="925">
        <v>947527.25</v>
      </c>
      <c r="F88" s="925">
        <v>0</v>
      </c>
      <c r="G88" s="925">
        <v>0</v>
      </c>
      <c r="H88" s="925">
        <v>0</v>
      </c>
      <c r="I88" s="925">
        <v>0</v>
      </c>
      <c r="J88" s="925">
        <v>0</v>
      </c>
      <c r="K88" s="861">
        <v>0</v>
      </c>
      <c r="L88" s="925">
        <v>0</v>
      </c>
      <c r="M88" s="925">
        <v>0</v>
      </c>
      <c r="N88" s="925">
        <v>0</v>
      </c>
      <c r="O88" s="925">
        <v>0</v>
      </c>
      <c r="P88" s="925">
        <v>0</v>
      </c>
      <c r="Q88" s="925">
        <v>0</v>
      </c>
      <c r="R88" s="925">
        <v>0</v>
      </c>
      <c r="S88" s="925">
        <v>0</v>
      </c>
      <c r="T88" s="925">
        <v>0</v>
      </c>
      <c r="U88" s="925">
        <v>0</v>
      </c>
      <c r="V88" s="925">
        <v>0</v>
      </c>
      <c r="W88" s="925">
        <v>0</v>
      </c>
      <c r="X88" s="925">
        <v>0</v>
      </c>
      <c r="Y88" s="925">
        <v>0</v>
      </c>
      <c r="Z88" s="871">
        <v>74214</v>
      </c>
      <c r="AA88" s="925">
        <v>0</v>
      </c>
    </row>
    <row r="89" spans="1:27" s="867" customFormat="1" ht="111" customHeight="1">
      <c r="A89" s="1198" t="s">
        <v>1185</v>
      </c>
      <c r="B89" s="1199"/>
      <c r="C89" s="925">
        <f t="shared" si="17"/>
        <v>43155034.010000005</v>
      </c>
      <c r="D89" s="925">
        <f t="shared" si="18"/>
        <v>0</v>
      </c>
      <c r="E89" s="925">
        <f t="shared" ref="E89:AA89" si="21">SUM(E90:E95)</f>
        <v>0</v>
      </c>
      <c r="F89" s="925">
        <f t="shared" si="21"/>
        <v>0</v>
      </c>
      <c r="G89" s="925">
        <f t="shared" si="21"/>
        <v>0</v>
      </c>
      <c r="H89" s="925">
        <f t="shared" si="21"/>
        <v>0</v>
      </c>
      <c r="I89" s="925">
        <f t="shared" si="21"/>
        <v>0</v>
      </c>
      <c r="J89" s="925">
        <f t="shared" si="21"/>
        <v>0</v>
      </c>
      <c r="K89" s="861">
        <f t="shared" si="21"/>
        <v>0</v>
      </c>
      <c r="L89" s="925">
        <f t="shared" si="21"/>
        <v>0</v>
      </c>
      <c r="M89" s="925">
        <f t="shared" si="21"/>
        <v>0</v>
      </c>
      <c r="N89" s="925">
        <f t="shared" si="21"/>
        <v>0</v>
      </c>
      <c r="O89" s="925">
        <f t="shared" si="21"/>
        <v>3889.8599999999997</v>
      </c>
      <c r="P89" s="925">
        <f t="shared" si="21"/>
        <v>33072109.390000001</v>
      </c>
      <c r="Q89" s="925">
        <f t="shared" si="21"/>
        <v>0</v>
      </c>
      <c r="R89" s="925">
        <f t="shared" si="21"/>
        <v>0</v>
      </c>
      <c r="S89" s="925">
        <f t="shared" si="21"/>
        <v>1760.1</v>
      </c>
      <c r="T89" s="925">
        <f t="shared" si="21"/>
        <v>6948366.1299999999</v>
      </c>
      <c r="U89" s="925">
        <f t="shared" si="21"/>
        <v>0</v>
      </c>
      <c r="V89" s="925">
        <f t="shared" si="21"/>
        <v>0</v>
      </c>
      <c r="W89" s="925">
        <f t="shared" si="21"/>
        <v>0</v>
      </c>
      <c r="X89" s="925">
        <f t="shared" si="21"/>
        <v>0</v>
      </c>
      <c r="Y89" s="925">
        <f t="shared" si="21"/>
        <v>0</v>
      </c>
      <c r="Z89" s="921">
        <f t="shared" si="21"/>
        <v>3134558.49</v>
      </c>
      <c r="AA89" s="925">
        <f t="shared" si="21"/>
        <v>0</v>
      </c>
    </row>
    <row r="90" spans="1:27" s="870" customFormat="1" ht="94.15" customHeight="1">
      <c r="A90" s="927">
        <v>64</v>
      </c>
      <c r="B90" s="863" t="s">
        <v>2140</v>
      </c>
      <c r="C90" s="925">
        <f t="shared" si="17"/>
        <v>5953275.6000000006</v>
      </c>
      <c r="D90" s="925">
        <f t="shared" si="18"/>
        <v>0</v>
      </c>
      <c r="E90" s="925">
        <v>0</v>
      </c>
      <c r="F90" s="925">
        <v>0</v>
      </c>
      <c r="G90" s="925">
        <v>0</v>
      </c>
      <c r="H90" s="925">
        <v>0</v>
      </c>
      <c r="I90" s="925">
        <v>0</v>
      </c>
      <c r="J90" s="925">
        <v>0</v>
      </c>
      <c r="K90" s="861">
        <v>0</v>
      </c>
      <c r="L90" s="925">
        <v>0</v>
      </c>
      <c r="M90" s="925">
        <v>0</v>
      </c>
      <c r="N90" s="925">
        <v>0</v>
      </c>
      <c r="O90" s="925">
        <v>649.35</v>
      </c>
      <c r="P90" s="925">
        <v>5520860.4500000002</v>
      </c>
      <c r="Q90" s="925">
        <v>0</v>
      </c>
      <c r="R90" s="925">
        <v>0</v>
      </c>
      <c r="S90" s="925">
        <v>0</v>
      </c>
      <c r="T90" s="925">
        <v>0</v>
      </c>
      <c r="U90" s="925">
        <v>0</v>
      </c>
      <c r="V90" s="925">
        <v>0</v>
      </c>
      <c r="W90" s="925">
        <v>0</v>
      </c>
      <c r="X90" s="925">
        <v>0</v>
      </c>
      <c r="Y90" s="925">
        <v>0</v>
      </c>
      <c r="Z90" s="921">
        <v>432415.15</v>
      </c>
      <c r="AA90" s="925">
        <v>0</v>
      </c>
    </row>
    <row r="91" spans="1:27" s="870" customFormat="1" ht="87" customHeight="1">
      <c r="A91" s="927">
        <v>65</v>
      </c>
      <c r="B91" s="863" t="s">
        <v>2141</v>
      </c>
      <c r="C91" s="925">
        <f t="shared" si="17"/>
        <v>14320499.719999999</v>
      </c>
      <c r="D91" s="925">
        <f t="shared" si="18"/>
        <v>0</v>
      </c>
      <c r="E91" s="925">
        <v>0</v>
      </c>
      <c r="F91" s="925">
        <v>0</v>
      </c>
      <c r="G91" s="925">
        <v>0</v>
      </c>
      <c r="H91" s="925">
        <v>0</v>
      </c>
      <c r="I91" s="925">
        <v>0</v>
      </c>
      <c r="J91" s="925">
        <v>0</v>
      </c>
      <c r="K91" s="861">
        <v>0</v>
      </c>
      <c r="L91" s="925">
        <v>0</v>
      </c>
      <c r="M91" s="925">
        <v>0</v>
      </c>
      <c r="N91" s="925">
        <v>0</v>
      </c>
      <c r="O91" s="925">
        <v>1562</v>
      </c>
      <c r="P91" s="925">
        <v>13280332.68</v>
      </c>
      <c r="Q91" s="925">
        <v>0</v>
      </c>
      <c r="R91" s="925">
        <v>0</v>
      </c>
      <c r="S91" s="925">
        <v>0</v>
      </c>
      <c r="T91" s="925">
        <v>0</v>
      </c>
      <c r="U91" s="925">
        <v>0</v>
      </c>
      <c r="V91" s="925">
        <v>0</v>
      </c>
      <c r="W91" s="925">
        <v>0</v>
      </c>
      <c r="X91" s="925">
        <v>0</v>
      </c>
      <c r="Y91" s="925">
        <v>0</v>
      </c>
      <c r="Z91" s="921">
        <v>1040167.04</v>
      </c>
      <c r="AA91" s="925">
        <v>0</v>
      </c>
    </row>
    <row r="92" spans="1:27" s="870" customFormat="1" ht="102.75" customHeight="1">
      <c r="A92" s="927">
        <v>66</v>
      </c>
      <c r="B92" s="863" t="s">
        <v>1326</v>
      </c>
      <c r="C92" s="925">
        <f t="shared" si="17"/>
        <v>3575540.9</v>
      </c>
      <c r="D92" s="925">
        <f t="shared" si="18"/>
        <v>0</v>
      </c>
      <c r="E92" s="925">
        <v>0</v>
      </c>
      <c r="F92" s="925">
        <v>0</v>
      </c>
      <c r="G92" s="925">
        <v>0</v>
      </c>
      <c r="H92" s="925">
        <v>0</v>
      </c>
      <c r="I92" s="925">
        <v>0</v>
      </c>
      <c r="J92" s="925">
        <v>0</v>
      </c>
      <c r="K92" s="861">
        <v>0</v>
      </c>
      <c r="L92" s="925">
        <v>0</v>
      </c>
      <c r="M92" s="925">
        <v>0</v>
      </c>
      <c r="N92" s="925">
        <v>0</v>
      </c>
      <c r="O92" s="925">
        <v>390</v>
      </c>
      <c r="P92" s="925">
        <v>3315832.1</v>
      </c>
      <c r="Q92" s="925">
        <v>0</v>
      </c>
      <c r="R92" s="925">
        <v>0</v>
      </c>
      <c r="S92" s="925">
        <v>0</v>
      </c>
      <c r="T92" s="925">
        <v>0</v>
      </c>
      <c r="U92" s="925">
        <v>0</v>
      </c>
      <c r="V92" s="925">
        <v>0</v>
      </c>
      <c r="W92" s="925">
        <v>0</v>
      </c>
      <c r="X92" s="925">
        <v>0</v>
      </c>
      <c r="Y92" s="925">
        <v>0</v>
      </c>
      <c r="Z92" s="921">
        <v>259708.79999999999</v>
      </c>
      <c r="AA92" s="925">
        <v>0</v>
      </c>
    </row>
    <row r="93" spans="1:27" s="870" customFormat="1" ht="95.25" customHeight="1">
      <c r="A93" s="927">
        <v>67</v>
      </c>
      <c r="B93" s="863" t="s">
        <v>1327</v>
      </c>
      <c r="C93" s="925">
        <f t="shared" si="17"/>
        <v>8131238.4199999999</v>
      </c>
      <c r="D93" s="925">
        <f t="shared" si="18"/>
        <v>0</v>
      </c>
      <c r="E93" s="925">
        <v>0</v>
      </c>
      <c r="F93" s="925">
        <v>0</v>
      </c>
      <c r="G93" s="925">
        <v>0</v>
      </c>
      <c r="H93" s="925">
        <v>0</v>
      </c>
      <c r="I93" s="925">
        <v>0</v>
      </c>
      <c r="J93" s="925">
        <v>0</v>
      </c>
      <c r="K93" s="861">
        <v>0</v>
      </c>
      <c r="L93" s="925">
        <v>0</v>
      </c>
      <c r="M93" s="925">
        <v>0</v>
      </c>
      <c r="N93" s="925">
        <v>0</v>
      </c>
      <c r="O93" s="925">
        <v>886.91</v>
      </c>
      <c r="P93" s="925">
        <v>7540627.3099999996</v>
      </c>
      <c r="Q93" s="925">
        <v>0</v>
      </c>
      <c r="R93" s="925">
        <v>0</v>
      </c>
      <c r="S93" s="925">
        <v>0</v>
      </c>
      <c r="T93" s="925">
        <v>0</v>
      </c>
      <c r="U93" s="925">
        <v>0</v>
      </c>
      <c r="V93" s="925">
        <v>0</v>
      </c>
      <c r="W93" s="925">
        <v>0</v>
      </c>
      <c r="X93" s="925">
        <v>0</v>
      </c>
      <c r="Y93" s="925">
        <v>0</v>
      </c>
      <c r="Z93" s="921">
        <v>590611.11</v>
      </c>
      <c r="AA93" s="925">
        <v>0</v>
      </c>
    </row>
    <row r="94" spans="1:27" s="870" customFormat="1" ht="121.5" customHeight="1">
      <c r="A94" s="927">
        <v>68</v>
      </c>
      <c r="B94" s="863" t="s">
        <v>1328</v>
      </c>
      <c r="C94" s="925">
        <f t="shared" si="17"/>
        <v>7492589.0499999998</v>
      </c>
      <c r="D94" s="925">
        <f t="shared" si="18"/>
        <v>0</v>
      </c>
      <c r="E94" s="925">
        <v>0</v>
      </c>
      <c r="F94" s="925">
        <v>0</v>
      </c>
      <c r="G94" s="925">
        <v>0</v>
      </c>
      <c r="H94" s="925">
        <v>0</v>
      </c>
      <c r="I94" s="925">
        <v>0</v>
      </c>
      <c r="J94" s="925">
        <v>0</v>
      </c>
      <c r="K94" s="861">
        <v>0</v>
      </c>
      <c r="L94" s="925">
        <v>0</v>
      </c>
      <c r="M94" s="925">
        <v>0</v>
      </c>
      <c r="N94" s="925">
        <v>0</v>
      </c>
      <c r="O94" s="925">
        <v>0</v>
      </c>
      <c r="P94" s="925">
        <v>0</v>
      </c>
      <c r="Q94" s="925">
        <v>0</v>
      </c>
      <c r="R94" s="925">
        <v>0</v>
      </c>
      <c r="S94" s="925">
        <v>1760.1</v>
      </c>
      <c r="T94" s="925">
        <v>6948366.1299999999</v>
      </c>
      <c r="U94" s="925">
        <v>0</v>
      </c>
      <c r="V94" s="925">
        <v>0</v>
      </c>
      <c r="W94" s="925">
        <v>0</v>
      </c>
      <c r="X94" s="925">
        <v>0</v>
      </c>
      <c r="Y94" s="925">
        <v>0</v>
      </c>
      <c r="Z94" s="921">
        <v>544222.92000000004</v>
      </c>
      <c r="AA94" s="925">
        <v>0</v>
      </c>
    </row>
    <row r="95" spans="1:27" s="870" customFormat="1" ht="121.5" customHeight="1">
      <c r="A95" s="927">
        <v>69</v>
      </c>
      <c r="B95" s="863" t="s">
        <v>2142</v>
      </c>
      <c r="C95" s="925">
        <f t="shared" si="17"/>
        <v>3681890.3200000003</v>
      </c>
      <c r="D95" s="925">
        <f t="shared" si="18"/>
        <v>0</v>
      </c>
      <c r="E95" s="925">
        <v>0</v>
      </c>
      <c r="F95" s="925">
        <v>0</v>
      </c>
      <c r="G95" s="925">
        <v>0</v>
      </c>
      <c r="H95" s="925">
        <v>0</v>
      </c>
      <c r="I95" s="925">
        <v>0</v>
      </c>
      <c r="J95" s="925">
        <v>0</v>
      </c>
      <c r="K95" s="861">
        <v>0</v>
      </c>
      <c r="L95" s="925">
        <v>0</v>
      </c>
      <c r="M95" s="925">
        <v>0</v>
      </c>
      <c r="N95" s="925">
        <v>0</v>
      </c>
      <c r="O95" s="925">
        <v>401.6</v>
      </c>
      <c r="P95" s="925">
        <v>3414456.85</v>
      </c>
      <c r="Q95" s="925">
        <v>0</v>
      </c>
      <c r="R95" s="925">
        <v>0</v>
      </c>
      <c r="S95" s="925">
        <v>0</v>
      </c>
      <c r="T95" s="925">
        <v>0</v>
      </c>
      <c r="U95" s="925">
        <v>0</v>
      </c>
      <c r="V95" s="925">
        <v>0</v>
      </c>
      <c r="W95" s="925">
        <v>0</v>
      </c>
      <c r="X95" s="925">
        <v>0</v>
      </c>
      <c r="Y95" s="925">
        <v>0</v>
      </c>
      <c r="Z95" s="921">
        <v>267433.46999999997</v>
      </c>
      <c r="AA95" s="925"/>
    </row>
    <row r="96" spans="1:27" s="867" customFormat="1" ht="108" customHeight="1">
      <c r="A96" s="1198" t="s">
        <v>1977</v>
      </c>
      <c r="B96" s="1199"/>
      <c r="C96" s="925">
        <f t="shared" si="17"/>
        <v>98101465.390000001</v>
      </c>
      <c r="D96" s="925">
        <f t="shared" si="18"/>
        <v>0</v>
      </c>
      <c r="E96" s="925">
        <f t="shared" ref="E96:AA96" si="22">SUM(E97:E107)</f>
        <v>0</v>
      </c>
      <c r="F96" s="925">
        <f t="shared" si="22"/>
        <v>0</v>
      </c>
      <c r="G96" s="925">
        <f t="shared" si="22"/>
        <v>0</v>
      </c>
      <c r="H96" s="925">
        <f t="shared" si="22"/>
        <v>0</v>
      </c>
      <c r="I96" s="925">
        <f t="shared" si="22"/>
        <v>0</v>
      </c>
      <c r="J96" s="925">
        <f t="shared" si="22"/>
        <v>0</v>
      </c>
      <c r="K96" s="861">
        <f t="shared" si="22"/>
        <v>0</v>
      </c>
      <c r="L96" s="925">
        <f t="shared" si="22"/>
        <v>0</v>
      </c>
      <c r="M96" s="925">
        <f t="shared" si="22"/>
        <v>0</v>
      </c>
      <c r="N96" s="925">
        <f t="shared" si="22"/>
        <v>0</v>
      </c>
      <c r="O96" s="925">
        <f t="shared" si="22"/>
        <v>8774.630000000001</v>
      </c>
      <c r="P96" s="925">
        <f t="shared" si="22"/>
        <v>54666905.739999995</v>
      </c>
      <c r="Q96" s="925">
        <f t="shared" si="22"/>
        <v>0</v>
      </c>
      <c r="R96" s="925">
        <f t="shared" si="22"/>
        <v>0</v>
      </c>
      <c r="S96" s="925">
        <f t="shared" si="22"/>
        <v>5639</v>
      </c>
      <c r="T96" s="925">
        <f t="shared" si="22"/>
        <v>22261142.329999998</v>
      </c>
      <c r="U96" s="925">
        <f t="shared" si="22"/>
        <v>3119</v>
      </c>
      <c r="V96" s="925">
        <f t="shared" si="22"/>
        <v>14173386.619999999</v>
      </c>
      <c r="W96" s="925">
        <f t="shared" si="22"/>
        <v>0</v>
      </c>
      <c r="X96" s="925">
        <f t="shared" si="22"/>
        <v>0</v>
      </c>
      <c r="Y96" s="925">
        <f t="shared" si="22"/>
        <v>0</v>
      </c>
      <c r="Z96" s="921">
        <f t="shared" si="22"/>
        <v>7000030.7000000002</v>
      </c>
      <c r="AA96" s="925">
        <f t="shared" si="22"/>
        <v>0</v>
      </c>
    </row>
    <row r="97" spans="1:27" s="867" customFormat="1" ht="90.75" customHeight="1">
      <c r="A97" s="927">
        <v>70</v>
      </c>
      <c r="B97" s="863" t="s">
        <v>1521</v>
      </c>
      <c r="C97" s="925">
        <f t="shared" si="17"/>
        <v>7307335.2199999997</v>
      </c>
      <c r="D97" s="925">
        <f t="shared" si="18"/>
        <v>0</v>
      </c>
      <c r="E97" s="925">
        <v>0</v>
      </c>
      <c r="F97" s="925">
        <v>0</v>
      </c>
      <c r="G97" s="925">
        <v>0</v>
      </c>
      <c r="H97" s="925">
        <v>0</v>
      </c>
      <c r="I97" s="925">
        <v>0</v>
      </c>
      <c r="J97" s="925">
        <v>0</v>
      </c>
      <c r="K97" s="861">
        <v>0</v>
      </c>
      <c r="L97" s="925">
        <v>0</v>
      </c>
      <c r="M97" s="925">
        <v>0</v>
      </c>
      <c r="N97" s="925">
        <v>0</v>
      </c>
      <c r="O97" s="925">
        <v>916</v>
      </c>
      <c r="P97" s="925">
        <v>6776568.1799999997</v>
      </c>
      <c r="Q97" s="925">
        <v>0</v>
      </c>
      <c r="R97" s="925">
        <v>0</v>
      </c>
      <c r="S97" s="925">
        <v>0</v>
      </c>
      <c r="T97" s="925">
        <v>0</v>
      </c>
      <c r="U97" s="925">
        <v>0</v>
      </c>
      <c r="V97" s="925">
        <v>0</v>
      </c>
      <c r="W97" s="925">
        <v>0</v>
      </c>
      <c r="X97" s="925">
        <v>0</v>
      </c>
      <c r="Y97" s="925">
        <v>0</v>
      </c>
      <c r="Z97" s="921">
        <v>530767.04</v>
      </c>
      <c r="AA97" s="925">
        <v>0</v>
      </c>
    </row>
    <row r="98" spans="1:27" s="867" customFormat="1" ht="95.25" customHeight="1">
      <c r="A98" s="927">
        <v>71</v>
      </c>
      <c r="B98" s="863" t="s">
        <v>2143</v>
      </c>
      <c r="C98" s="925">
        <f t="shared" si="17"/>
        <v>3443046.89</v>
      </c>
      <c r="D98" s="925">
        <f t="shared" si="18"/>
        <v>0</v>
      </c>
      <c r="E98" s="925">
        <v>0</v>
      </c>
      <c r="F98" s="925">
        <v>0</v>
      </c>
      <c r="G98" s="925">
        <v>0</v>
      </c>
      <c r="H98" s="925">
        <v>0</v>
      </c>
      <c r="I98" s="925">
        <v>0</v>
      </c>
      <c r="J98" s="925">
        <v>0</v>
      </c>
      <c r="K98" s="861">
        <v>0</v>
      </c>
      <c r="L98" s="925">
        <v>0</v>
      </c>
      <c r="M98" s="925">
        <v>0</v>
      </c>
      <c r="N98" s="925">
        <v>0</v>
      </c>
      <c r="O98" s="925">
        <v>0</v>
      </c>
      <c r="P98" s="925">
        <v>0</v>
      </c>
      <c r="Q98" s="925">
        <v>0</v>
      </c>
      <c r="R98" s="925">
        <v>0</v>
      </c>
      <c r="S98" s="925">
        <v>376</v>
      </c>
      <c r="T98" s="925">
        <v>1484339.34</v>
      </c>
      <c r="U98" s="925">
        <v>376</v>
      </c>
      <c r="V98" s="925">
        <v>1708622.43</v>
      </c>
      <c r="W98" s="925">
        <v>0</v>
      </c>
      <c r="X98" s="925">
        <v>0</v>
      </c>
      <c r="Y98" s="925">
        <v>0</v>
      </c>
      <c r="Z98" s="921">
        <v>250085.12</v>
      </c>
      <c r="AA98" s="925">
        <v>0</v>
      </c>
    </row>
    <row r="99" spans="1:27" s="867" customFormat="1" ht="117" customHeight="1">
      <c r="A99" s="927">
        <v>72</v>
      </c>
      <c r="B99" s="863" t="s">
        <v>1524</v>
      </c>
      <c r="C99" s="925">
        <f t="shared" si="17"/>
        <v>16167753.49</v>
      </c>
      <c r="D99" s="925">
        <f t="shared" si="18"/>
        <v>0</v>
      </c>
      <c r="E99" s="925">
        <v>0</v>
      </c>
      <c r="F99" s="925">
        <v>0</v>
      </c>
      <c r="G99" s="925">
        <v>0</v>
      </c>
      <c r="H99" s="925">
        <v>0</v>
      </c>
      <c r="I99" s="925">
        <v>0</v>
      </c>
      <c r="J99" s="925">
        <v>0</v>
      </c>
      <c r="K99" s="861">
        <v>0</v>
      </c>
      <c r="L99" s="925">
        <v>0</v>
      </c>
      <c r="M99" s="925">
        <v>0</v>
      </c>
      <c r="N99" s="925">
        <v>0</v>
      </c>
      <c r="O99" s="925">
        <v>1025</v>
      </c>
      <c r="P99" s="925">
        <v>5045179.7699999996</v>
      </c>
      <c r="Q99" s="925">
        <v>0</v>
      </c>
      <c r="R99" s="925">
        <v>0</v>
      </c>
      <c r="S99" s="925">
        <v>2520</v>
      </c>
      <c r="T99" s="925">
        <v>9948231.7200000007</v>
      </c>
      <c r="U99" s="925">
        <v>0</v>
      </c>
      <c r="V99" s="925">
        <v>0</v>
      </c>
      <c r="W99" s="925">
        <v>0</v>
      </c>
      <c r="X99" s="925">
        <v>0</v>
      </c>
      <c r="Y99" s="925">
        <v>0</v>
      </c>
      <c r="Z99" s="921">
        <v>1174342</v>
      </c>
      <c r="AA99" s="925">
        <v>0</v>
      </c>
    </row>
    <row r="100" spans="1:27" s="867" customFormat="1" ht="108.75" customHeight="1">
      <c r="A100" s="927">
        <v>73</v>
      </c>
      <c r="B100" s="863" t="s">
        <v>2144</v>
      </c>
      <c r="C100" s="925">
        <f t="shared" si="17"/>
        <v>13296021.5</v>
      </c>
      <c r="D100" s="925">
        <f t="shared" si="18"/>
        <v>0</v>
      </c>
      <c r="E100" s="925">
        <v>0</v>
      </c>
      <c r="F100" s="925">
        <v>0</v>
      </c>
      <c r="G100" s="925">
        <v>0</v>
      </c>
      <c r="H100" s="925">
        <v>0</v>
      </c>
      <c r="I100" s="925">
        <v>0</v>
      </c>
      <c r="J100" s="925">
        <v>0</v>
      </c>
      <c r="K100" s="861">
        <v>0</v>
      </c>
      <c r="L100" s="925">
        <v>0</v>
      </c>
      <c r="M100" s="925">
        <v>0</v>
      </c>
      <c r="N100" s="925">
        <v>0</v>
      </c>
      <c r="O100" s="925">
        <v>0</v>
      </c>
      <c r="P100" s="925">
        <v>0</v>
      </c>
      <c r="Q100" s="925">
        <v>0</v>
      </c>
      <c r="R100" s="925">
        <v>0</v>
      </c>
      <c r="S100" s="925">
        <v>1452</v>
      </c>
      <c r="T100" s="925">
        <v>5732076.3700000001</v>
      </c>
      <c r="U100" s="925">
        <v>1452</v>
      </c>
      <c r="V100" s="925">
        <v>6598190.8899999997</v>
      </c>
      <c r="W100" s="925">
        <v>0</v>
      </c>
      <c r="X100" s="925">
        <v>0</v>
      </c>
      <c r="Y100" s="925">
        <v>0</v>
      </c>
      <c r="Z100" s="921">
        <v>965754.24</v>
      </c>
      <c r="AA100" s="925">
        <v>0</v>
      </c>
    </row>
    <row r="101" spans="1:27" s="867" customFormat="1" ht="86.45" customHeight="1">
      <c r="A101" s="927">
        <v>74</v>
      </c>
      <c r="B101" s="863" t="s">
        <v>1549</v>
      </c>
      <c r="C101" s="925">
        <f t="shared" si="17"/>
        <v>18071290.91</v>
      </c>
      <c r="D101" s="925">
        <f t="shared" si="18"/>
        <v>0</v>
      </c>
      <c r="E101" s="925">
        <v>0</v>
      </c>
      <c r="F101" s="925">
        <v>0</v>
      </c>
      <c r="G101" s="925">
        <v>0</v>
      </c>
      <c r="H101" s="925">
        <v>0</v>
      </c>
      <c r="I101" s="925">
        <v>0</v>
      </c>
      <c r="J101" s="925">
        <v>0</v>
      </c>
      <c r="K101" s="861">
        <v>0</v>
      </c>
      <c r="L101" s="925">
        <v>0</v>
      </c>
      <c r="M101" s="925">
        <v>0</v>
      </c>
      <c r="N101" s="925">
        <v>0</v>
      </c>
      <c r="O101" s="925">
        <v>1197.5999999999999</v>
      </c>
      <c r="P101" s="925">
        <v>5894738.8200000003</v>
      </c>
      <c r="Q101" s="925">
        <v>0</v>
      </c>
      <c r="R101" s="925">
        <v>0</v>
      </c>
      <c r="S101" s="925">
        <v>1291</v>
      </c>
      <c r="T101" s="925">
        <v>5096494.9000000004</v>
      </c>
      <c r="U101" s="925">
        <v>1291</v>
      </c>
      <c r="V101" s="925">
        <v>5866573.2999999998</v>
      </c>
      <c r="W101" s="925">
        <v>0</v>
      </c>
      <c r="X101" s="925">
        <v>0</v>
      </c>
      <c r="Y101" s="925">
        <v>0</v>
      </c>
      <c r="Z101" s="921">
        <v>1213483.8899999999</v>
      </c>
      <c r="AA101" s="925">
        <v>0</v>
      </c>
    </row>
    <row r="102" spans="1:27" s="867" customFormat="1" ht="105" customHeight="1">
      <c r="A102" s="927">
        <v>75</v>
      </c>
      <c r="B102" s="863" t="s">
        <v>1550</v>
      </c>
      <c r="C102" s="925">
        <f t="shared" si="17"/>
        <v>8476311.6199999992</v>
      </c>
      <c r="D102" s="925">
        <f>SUM(E102:J102)</f>
        <v>0</v>
      </c>
      <c r="E102" s="925">
        <v>0</v>
      </c>
      <c r="F102" s="925">
        <v>0</v>
      </c>
      <c r="G102" s="925">
        <v>0</v>
      </c>
      <c r="H102" s="925">
        <v>0</v>
      </c>
      <c r="I102" s="925">
        <v>0</v>
      </c>
      <c r="J102" s="925">
        <v>0</v>
      </c>
      <c r="K102" s="861">
        <v>0</v>
      </c>
      <c r="L102" s="925">
        <v>0</v>
      </c>
      <c r="M102" s="925">
        <v>0</v>
      </c>
      <c r="N102" s="925">
        <v>0</v>
      </c>
      <c r="O102" s="925">
        <v>1597</v>
      </c>
      <c r="P102" s="925">
        <v>7860636.1799999997</v>
      </c>
      <c r="Q102" s="925">
        <v>0</v>
      </c>
      <c r="R102" s="925">
        <v>0</v>
      </c>
      <c r="S102" s="925">
        <v>0</v>
      </c>
      <c r="T102" s="925">
        <v>0</v>
      </c>
      <c r="U102" s="925">
        <v>0</v>
      </c>
      <c r="V102" s="925">
        <v>0</v>
      </c>
      <c r="W102" s="925">
        <v>0</v>
      </c>
      <c r="X102" s="925">
        <v>0</v>
      </c>
      <c r="Y102" s="925">
        <v>0</v>
      </c>
      <c r="Z102" s="921">
        <v>615675.43999999994</v>
      </c>
      <c r="AA102" s="925">
        <v>0</v>
      </c>
    </row>
    <row r="103" spans="1:27" s="867" customFormat="1" ht="87.6" customHeight="1">
      <c r="A103" s="927">
        <v>76</v>
      </c>
      <c r="B103" s="863" t="s">
        <v>1526</v>
      </c>
      <c r="C103" s="925">
        <f t="shared" si="17"/>
        <v>3409632.1799999997</v>
      </c>
      <c r="D103" s="925">
        <f t="shared" si="18"/>
        <v>0</v>
      </c>
      <c r="E103" s="925">
        <f t="shared" ref="E103:N103" si="23">SUM(E106:E107)</f>
        <v>0</v>
      </c>
      <c r="F103" s="925">
        <f t="shared" si="23"/>
        <v>0</v>
      </c>
      <c r="G103" s="925">
        <f t="shared" si="23"/>
        <v>0</v>
      </c>
      <c r="H103" s="925">
        <f t="shared" si="23"/>
        <v>0</v>
      </c>
      <c r="I103" s="925">
        <f t="shared" si="23"/>
        <v>0</v>
      </c>
      <c r="J103" s="925">
        <f t="shared" si="23"/>
        <v>0</v>
      </c>
      <c r="K103" s="861">
        <f t="shared" si="23"/>
        <v>0</v>
      </c>
      <c r="L103" s="925">
        <f t="shared" si="23"/>
        <v>0</v>
      </c>
      <c r="M103" s="925">
        <f t="shared" si="23"/>
        <v>0</v>
      </c>
      <c r="N103" s="925">
        <f t="shared" si="23"/>
        <v>0</v>
      </c>
      <c r="O103" s="925">
        <v>642.4</v>
      </c>
      <c r="P103" s="925">
        <v>3161974.13</v>
      </c>
      <c r="Q103" s="925">
        <v>0</v>
      </c>
      <c r="R103" s="925">
        <v>0</v>
      </c>
      <c r="S103" s="925">
        <v>0</v>
      </c>
      <c r="T103" s="925">
        <v>0</v>
      </c>
      <c r="U103" s="925">
        <v>0</v>
      </c>
      <c r="V103" s="925">
        <v>0</v>
      </c>
      <c r="W103" s="925">
        <v>0</v>
      </c>
      <c r="X103" s="925">
        <v>0</v>
      </c>
      <c r="Y103" s="925">
        <v>0</v>
      </c>
      <c r="Z103" s="921">
        <v>247658.05</v>
      </c>
      <c r="AA103" s="925">
        <v>0</v>
      </c>
    </row>
    <row r="104" spans="1:27" s="867" customFormat="1" ht="87.6" customHeight="1">
      <c r="A104" s="927">
        <v>77</v>
      </c>
      <c r="B104" s="863" t="s">
        <v>1789</v>
      </c>
      <c r="C104" s="925">
        <f t="shared" si="17"/>
        <v>3645690.17</v>
      </c>
      <c r="D104" s="925">
        <f t="shared" si="18"/>
        <v>0</v>
      </c>
      <c r="E104" s="925">
        <v>0</v>
      </c>
      <c r="F104" s="925">
        <v>0</v>
      </c>
      <c r="G104" s="925">
        <v>0</v>
      </c>
      <c r="H104" s="925">
        <v>0</v>
      </c>
      <c r="I104" s="925">
        <v>0</v>
      </c>
      <c r="J104" s="925">
        <v>0</v>
      </c>
      <c r="K104" s="861">
        <v>0</v>
      </c>
      <c r="L104" s="925">
        <v>0</v>
      </c>
      <c r="M104" s="925">
        <v>0</v>
      </c>
      <c r="N104" s="925">
        <v>0</v>
      </c>
      <c r="O104" s="925">
        <v>457</v>
      </c>
      <c r="P104" s="925">
        <v>3380886.09</v>
      </c>
      <c r="Q104" s="925">
        <v>0</v>
      </c>
      <c r="R104" s="925">
        <v>0</v>
      </c>
      <c r="S104" s="925">
        <v>0</v>
      </c>
      <c r="T104" s="925">
        <v>0</v>
      </c>
      <c r="U104" s="925">
        <v>0</v>
      </c>
      <c r="V104" s="925">
        <v>0</v>
      </c>
      <c r="W104" s="925">
        <v>0</v>
      </c>
      <c r="X104" s="925">
        <v>0</v>
      </c>
      <c r="Y104" s="925">
        <v>0</v>
      </c>
      <c r="Z104" s="921">
        <v>264804.08</v>
      </c>
      <c r="AA104" s="925">
        <v>0</v>
      </c>
    </row>
    <row r="105" spans="1:27" s="867" customFormat="1" ht="87.6" customHeight="1">
      <c r="A105" s="927">
        <v>78</v>
      </c>
      <c r="B105" s="863" t="s">
        <v>2145</v>
      </c>
      <c r="C105" s="925">
        <f t="shared" si="17"/>
        <v>4164223.7800000003</v>
      </c>
      <c r="D105" s="925">
        <f t="shared" si="18"/>
        <v>0</v>
      </c>
      <c r="E105" s="925">
        <v>0</v>
      </c>
      <c r="F105" s="925">
        <v>0</v>
      </c>
      <c r="G105" s="925">
        <v>0</v>
      </c>
      <c r="H105" s="925">
        <v>0</v>
      </c>
      <c r="I105" s="925">
        <v>0</v>
      </c>
      <c r="J105" s="925">
        <v>0</v>
      </c>
      <c r="K105" s="861">
        <v>0</v>
      </c>
      <c r="L105" s="925">
        <v>0</v>
      </c>
      <c r="M105" s="925">
        <v>0</v>
      </c>
      <c r="N105" s="925">
        <v>0</v>
      </c>
      <c r="O105" s="925">
        <v>522</v>
      </c>
      <c r="P105" s="925">
        <v>3861756.1</v>
      </c>
      <c r="Q105" s="925">
        <v>0</v>
      </c>
      <c r="R105" s="925">
        <v>0</v>
      </c>
      <c r="S105" s="925">
        <v>0</v>
      </c>
      <c r="T105" s="925">
        <v>0</v>
      </c>
      <c r="U105" s="925">
        <v>0</v>
      </c>
      <c r="V105" s="925">
        <v>0</v>
      </c>
      <c r="W105" s="925">
        <v>0</v>
      </c>
      <c r="X105" s="925">
        <v>0</v>
      </c>
      <c r="Y105" s="925">
        <v>0</v>
      </c>
      <c r="Z105" s="921">
        <v>302467.68</v>
      </c>
      <c r="AA105" s="925">
        <v>0</v>
      </c>
    </row>
    <row r="106" spans="1:27" s="867" customFormat="1" ht="88.9" customHeight="1">
      <c r="A106" s="927">
        <v>79</v>
      </c>
      <c r="B106" s="863" t="s">
        <v>1346</v>
      </c>
      <c r="C106" s="925">
        <f t="shared" si="17"/>
        <v>10632111.35</v>
      </c>
      <c r="D106" s="925">
        <f t="shared" si="18"/>
        <v>0</v>
      </c>
      <c r="E106" s="925">
        <v>0</v>
      </c>
      <c r="F106" s="925">
        <v>0</v>
      </c>
      <c r="G106" s="925">
        <v>0</v>
      </c>
      <c r="H106" s="925">
        <v>0</v>
      </c>
      <c r="I106" s="925">
        <v>0</v>
      </c>
      <c r="J106" s="925">
        <v>0</v>
      </c>
      <c r="K106" s="861">
        <v>0</v>
      </c>
      <c r="L106" s="925">
        <v>0</v>
      </c>
      <c r="M106" s="925">
        <v>0</v>
      </c>
      <c r="N106" s="925">
        <v>0</v>
      </c>
      <c r="O106" s="925">
        <v>1162.8</v>
      </c>
      <c r="P106" s="925">
        <v>9886280.9499999993</v>
      </c>
      <c r="Q106" s="925">
        <v>0</v>
      </c>
      <c r="R106" s="925">
        <v>0</v>
      </c>
      <c r="S106" s="925">
        <v>0</v>
      </c>
      <c r="T106" s="925">
        <v>0</v>
      </c>
      <c r="U106" s="925">
        <v>0</v>
      </c>
      <c r="V106" s="925">
        <v>0</v>
      </c>
      <c r="W106" s="925">
        <v>0</v>
      </c>
      <c r="X106" s="925">
        <v>0</v>
      </c>
      <c r="Y106" s="925">
        <v>0</v>
      </c>
      <c r="Z106" s="921">
        <v>745830.40000000002</v>
      </c>
      <c r="AA106" s="925">
        <v>0</v>
      </c>
    </row>
    <row r="107" spans="1:27" s="867" customFormat="1" ht="69" customHeight="1">
      <c r="A107" s="927">
        <v>80</v>
      </c>
      <c r="B107" s="868" t="s">
        <v>1487</v>
      </c>
      <c r="C107" s="925">
        <f t="shared" si="17"/>
        <v>9488048.2799999993</v>
      </c>
      <c r="D107" s="925">
        <f t="shared" si="18"/>
        <v>0</v>
      </c>
      <c r="E107" s="925">
        <v>0</v>
      </c>
      <c r="F107" s="925">
        <v>0</v>
      </c>
      <c r="G107" s="925">
        <v>0</v>
      </c>
      <c r="H107" s="925">
        <v>0</v>
      </c>
      <c r="I107" s="925">
        <v>0</v>
      </c>
      <c r="J107" s="925">
        <v>0</v>
      </c>
      <c r="K107" s="861">
        <v>0</v>
      </c>
      <c r="L107" s="925">
        <v>0</v>
      </c>
      <c r="M107" s="925">
        <v>0</v>
      </c>
      <c r="N107" s="925">
        <v>0</v>
      </c>
      <c r="O107" s="925">
        <v>1254.83</v>
      </c>
      <c r="P107" s="925">
        <v>8798885.5199999996</v>
      </c>
      <c r="Q107" s="925">
        <v>0</v>
      </c>
      <c r="R107" s="925">
        <v>0</v>
      </c>
      <c r="S107" s="925">
        <v>0</v>
      </c>
      <c r="T107" s="925">
        <v>0</v>
      </c>
      <c r="U107" s="925">
        <v>0</v>
      </c>
      <c r="V107" s="925">
        <v>0</v>
      </c>
      <c r="W107" s="925">
        <v>0</v>
      </c>
      <c r="X107" s="925">
        <v>0</v>
      </c>
      <c r="Y107" s="925">
        <v>0</v>
      </c>
      <c r="Z107" s="921">
        <v>689162.76</v>
      </c>
      <c r="AA107" s="925">
        <v>0</v>
      </c>
    </row>
    <row r="108" spans="1:27" s="867" customFormat="1" ht="92.45" customHeight="1">
      <c r="A108" s="1196" t="s">
        <v>1057</v>
      </c>
      <c r="B108" s="1197"/>
      <c r="C108" s="925">
        <f t="shared" si="17"/>
        <v>3460390.15</v>
      </c>
      <c r="D108" s="925">
        <f t="shared" si="18"/>
        <v>0</v>
      </c>
      <c r="E108" s="925">
        <f t="shared" ref="E108:AA108" si="24">E109</f>
        <v>0</v>
      </c>
      <c r="F108" s="925">
        <f t="shared" si="24"/>
        <v>0</v>
      </c>
      <c r="G108" s="925">
        <f t="shared" si="24"/>
        <v>0</v>
      </c>
      <c r="H108" s="925">
        <f t="shared" si="24"/>
        <v>0</v>
      </c>
      <c r="I108" s="925">
        <f t="shared" si="24"/>
        <v>0</v>
      </c>
      <c r="J108" s="925">
        <f t="shared" si="24"/>
        <v>0</v>
      </c>
      <c r="K108" s="861">
        <f t="shared" si="24"/>
        <v>0</v>
      </c>
      <c r="L108" s="925">
        <f t="shared" si="24"/>
        <v>0</v>
      </c>
      <c r="M108" s="925">
        <f t="shared" si="24"/>
        <v>0</v>
      </c>
      <c r="N108" s="925">
        <f t="shared" si="24"/>
        <v>0</v>
      </c>
      <c r="O108" s="925">
        <f t="shared" si="24"/>
        <v>377.44</v>
      </c>
      <c r="P108" s="925">
        <f t="shared" si="24"/>
        <v>3209045.31</v>
      </c>
      <c r="Q108" s="925">
        <f t="shared" si="24"/>
        <v>0</v>
      </c>
      <c r="R108" s="925">
        <f t="shared" si="24"/>
        <v>0</v>
      </c>
      <c r="S108" s="925">
        <f t="shared" si="24"/>
        <v>0</v>
      </c>
      <c r="T108" s="925">
        <f t="shared" si="24"/>
        <v>0</v>
      </c>
      <c r="U108" s="925">
        <f t="shared" si="24"/>
        <v>0</v>
      </c>
      <c r="V108" s="925">
        <f t="shared" si="24"/>
        <v>0</v>
      </c>
      <c r="W108" s="925">
        <f t="shared" si="24"/>
        <v>0</v>
      </c>
      <c r="X108" s="925">
        <f t="shared" si="24"/>
        <v>0</v>
      </c>
      <c r="Y108" s="925">
        <f t="shared" si="24"/>
        <v>0</v>
      </c>
      <c r="Z108" s="921">
        <f t="shared" si="24"/>
        <v>251344.84</v>
      </c>
      <c r="AA108" s="925">
        <f t="shared" si="24"/>
        <v>0</v>
      </c>
    </row>
    <row r="109" spans="1:27" s="867" customFormat="1" ht="136.15" customHeight="1">
      <c r="A109" s="927">
        <v>81</v>
      </c>
      <c r="B109" s="868" t="s">
        <v>1453</v>
      </c>
      <c r="C109" s="925">
        <f t="shared" si="17"/>
        <v>3460390.15</v>
      </c>
      <c r="D109" s="925">
        <f t="shared" si="18"/>
        <v>0</v>
      </c>
      <c r="E109" s="925">
        <v>0</v>
      </c>
      <c r="F109" s="925">
        <v>0</v>
      </c>
      <c r="G109" s="925">
        <v>0</v>
      </c>
      <c r="H109" s="925">
        <v>0</v>
      </c>
      <c r="I109" s="925">
        <v>0</v>
      </c>
      <c r="J109" s="925">
        <v>0</v>
      </c>
      <c r="K109" s="861">
        <v>0</v>
      </c>
      <c r="L109" s="925">
        <v>0</v>
      </c>
      <c r="M109" s="925">
        <v>0</v>
      </c>
      <c r="N109" s="925">
        <v>0</v>
      </c>
      <c r="O109" s="925">
        <v>377.44</v>
      </c>
      <c r="P109" s="925">
        <v>3209045.31</v>
      </c>
      <c r="Q109" s="925">
        <v>0</v>
      </c>
      <c r="R109" s="925">
        <v>0</v>
      </c>
      <c r="S109" s="925">
        <v>0</v>
      </c>
      <c r="T109" s="925">
        <v>0</v>
      </c>
      <c r="U109" s="925">
        <v>0</v>
      </c>
      <c r="V109" s="925">
        <v>0</v>
      </c>
      <c r="W109" s="925">
        <v>0</v>
      </c>
      <c r="X109" s="925">
        <v>0</v>
      </c>
      <c r="Y109" s="925">
        <v>0</v>
      </c>
      <c r="Z109" s="921">
        <v>251344.84</v>
      </c>
      <c r="AA109" s="925">
        <v>0</v>
      </c>
    </row>
    <row r="110" spans="1:27" s="867" customFormat="1" ht="103.5" customHeight="1">
      <c r="A110" s="1196" t="s">
        <v>1976</v>
      </c>
      <c r="B110" s="1197"/>
      <c r="C110" s="925">
        <f t="shared" si="17"/>
        <v>3386423.36</v>
      </c>
      <c r="D110" s="925">
        <f t="shared" si="18"/>
        <v>0</v>
      </c>
      <c r="E110" s="925">
        <f t="shared" ref="E110:AA110" si="25">E111</f>
        <v>0</v>
      </c>
      <c r="F110" s="925">
        <f t="shared" si="25"/>
        <v>0</v>
      </c>
      <c r="G110" s="925">
        <f t="shared" si="25"/>
        <v>0</v>
      </c>
      <c r="H110" s="925">
        <f t="shared" si="25"/>
        <v>0</v>
      </c>
      <c r="I110" s="925">
        <f t="shared" si="25"/>
        <v>0</v>
      </c>
      <c r="J110" s="925">
        <f t="shared" si="25"/>
        <v>0</v>
      </c>
      <c r="K110" s="861">
        <f t="shared" si="25"/>
        <v>0</v>
      </c>
      <c r="L110" s="925">
        <f t="shared" si="25"/>
        <v>0</v>
      </c>
      <c r="M110" s="925">
        <f t="shared" si="25"/>
        <v>0</v>
      </c>
      <c r="N110" s="925">
        <f t="shared" si="25"/>
        <v>0</v>
      </c>
      <c r="O110" s="925">
        <f t="shared" si="25"/>
        <v>424.5</v>
      </c>
      <c r="P110" s="925">
        <f t="shared" si="25"/>
        <v>3140451.08</v>
      </c>
      <c r="Q110" s="925">
        <f t="shared" si="25"/>
        <v>0</v>
      </c>
      <c r="R110" s="925">
        <f t="shared" si="25"/>
        <v>0</v>
      </c>
      <c r="S110" s="925">
        <f t="shared" si="25"/>
        <v>0</v>
      </c>
      <c r="T110" s="925">
        <f t="shared" si="25"/>
        <v>0</v>
      </c>
      <c r="U110" s="925">
        <f t="shared" si="25"/>
        <v>0</v>
      </c>
      <c r="V110" s="925">
        <f t="shared" si="25"/>
        <v>0</v>
      </c>
      <c r="W110" s="925">
        <f t="shared" si="25"/>
        <v>0</v>
      </c>
      <c r="X110" s="925">
        <f t="shared" si="25"/>
        <v>0</v>
      </c>
      <c r="Y110" s="925">
        <f t="shared" si="25"/>
        <v>0</v>
      </c>
      <c r="Z110" s="921">
        <f t="shared" si="25"/>
        <v>245972.28</v>
      </c>
      <c r="AA110" s="925">
        <f t="shared" si="25"/>
        <v>0</v>
      </c>
    </row>
    <row r="111" spans="1:27" s="867" customFormat="1" ht="93" customHeight="1">
      <c r="A111" s="927">
        <v>82</v>
      </c>
      <c r="B111" s="863" t="s">
        <v>2146</v>
      </c>
      <c r="C111" s="925">
        <f t="shared" si="17"/>
        <v>3386423.36</v>
      </c>
      <c r="D111" s="925">
        <f t="shared" si="18"/>
        <v>0</v>
      </c>
      <c r="E111" s="925">
        <v>0</v>
      </c>
      <c r="F111" s="925">
        <v>0</v>
      </c>
      <c r="G111" s="925">
        <v>0</v>
      </c>
      <c r="H111" s="925">
        <v>0</v>
      </c>
      <c r="I111" s="925">
        <v>0</v>
      </c>
      <c r="J111" s="925">
        <v>0</v>
      </c>
      <c r="K111" s="861">
        <v>0</v>
      </c>
      <c r="L111" s="925">
        <v>0</v>
      </c>
      <c r="M111" s="925">
        <v>0</v>
      </c>
      <c r="N111" s="925">
        <v>0</v>
      </c>
      <c r="O111" s="925">
        <v>424.5</v>
      </c>
      <c r="P111" s="925">
        <v>3140451.08</v>
      </c>
      <c r="Q111" s="925">
        <v>0</v>
      </c>
      <c r="R111" s="925">
        <v>0</v>
      </c>
      <c r="S111" s="925">
        <v>0</v>
      </c>
      <c r="T111" s="925">
        <v>0</v>
      </c>
      <c r="U111" s="925">
        <v>0</v>
      </c>
      <c r="V111" s="925">
        <v>0</v>
      </c>
      <c r="W111" s="925">
        <v>0</v>
      </c>
      <c r="X111" s="925">
        <v>0</v>
      </c>
      <c r="Y111" s="925">
        <v>0</v>
      </c>
      <c r="Z111" s="921">
        <v>245972.28</v>
      </c>
      <c r="AA111" s="925">
        <v>0</v>
      </c>
    </row>
    <row r="112" spans="1:27" s="867" customFormat="1" ht="92.45" customHeight="1">
      <c r="A112" s="1196" t="s">
        <v>1070</v>
      </c>
      <c r="B112" s="1197"/>
      <c r="C112" s="925">
        <f t="shared" si="17"/>
        <v>23240393.039999999</v>
      </c>
      <c r="D112" s="925">
        <f t="shared" si="18"/>
        <v>1590016.96</v>
      </c>
      <c r="E112" s="925">
        <f t="shared" ref="E112:Z112" si="26">SUM(E113:E115)</f>
        <v>358536.94</v>
      </c>
      <c r="F112" s="925">
        <f t="shared" si="26"/>
        <v>953708.25</v>
      </c>
      <c r="G112" s="925">
        <f t="shared" si="26"/>
        <v>277771.77</v>
      </c>
      <c r="H112" s="925">
        <f t="shared" si="26"/>
        <v>0</v>
      </c>
      <c r="I112" s="925">
        <f t="shared" si="26"/>
        <v>0</v>
      </c>
      <c r="J112" s="925">
        <f t="shared" si="26"/>
        <v>0</v>
      </c>
      <c r="K112" s="861">
        <f t="shared" si="26"/>
        <v>0</v>
      </c>
      <c r="L112" s="925">
        <f t="shared" si="26"/>
        <v>0</v>
      </c>
      <c r="M112" s="925">
        <f t="shared" si="26"/>
        <v>0</v>
      </c>
      <c r="N112" s="925">
        <f t="shared" si="26"/>
        <v>0</v>
      </c>
      <c r="O112" s="925">
        <f t="shared" si="26"/>
        <v>984</v>
      </c>
      <c r="P112" s="925">
        <f t="shared" si="26"/>
        <v>7279632.2000000002</v>
      </c>
      <c r="Q112" s="925">
        <f t="shared" si="26"/>
        <v>0</v>
      </c>
      <c r="R112" s="925">
        <f t="shared" si="26"/>
        <v>0</v>
      </c>
      <c r="S112" s="925">
        <f t="shared" si="26"/>
        <v>1493.5</v>
      </c>
      <c r="T112" s="925">
        <f t="shared" si="26"/>
        <v>5895906.3799999999</v>
      </c>
      <c r="U112" s="925">
        <f t="shared" si="26"/>
        <v>1483.5</v>
      </c>
      <c r="V112" s="925">
        <f t="shared" si="26"/>
        <v>6786775.54</v>
      </c>
      <c r="W112" s="925">
        <f t="shared" si="26"/>
        <v>0</v>
      </c>
      <c r="X112" s="925">
        <f t="shared" si="26"/>
        <v>0</v>
      </c>
      <c r="Y112" s="925">
        <f t="shared" si="26"/>
        <v>0</v>
      </c>
      <c r="Z112" s="921">
        <f t="shared" si="26"/>
        <v>1688061.96</v>
      </c>
      <c r="AA112" s="925">
        <f>SUM(AA113:AA115)</f>
        <v>0</v>
      </c>
    </row>
    <row r="113" spans="1:27" s="867" customFormat="1" ht="90" customHeight="1">
      <c r="A113" s="927">
        <v>83</v>
      </c>
      <c r="B113" s="868" t="s">
        <v>1087</v>
      </c>
      <c r="C113" s="925">
        <f t="shared" si="17"/>
        <v>13676038.640000001</v>
      </c>
      <c r="D113" s="925">
        <f t="shared" si="18"/>
        <v>0</v>
      </c>
      <c r="E113" s="925">
        <v>0</v>
      </c>
      <c r="F113" s="925">
        <v>0</v>
      </c>
      <c r="G113" s="925">
        <v>0</v>
      </c>
      <c r="H113" s="925">
        <v>0</v>
      </c>
      <c r="I113" s="925">
        <v>0</v>
      </c>
      <c r="J113" s="925">
        <v>0</v>
      </c>
      <c r="K113" s="861">
        <v>0</v>
      </c>
      <c r="L113" s="925">
        <v>0</v>
      </c>
      <c r="M113" s="873">
        <v>0</v>
      </c>
      <c r="N113" s="873">
        <v>0</v>
      </c>
      <c r="O113" s="873">
        <v>0</v>
      </c>
      <c r="P113" s="873">
        <v>0</v>
      </c>
      <c r="Q113" s="925">
        <v>0</v>
      </c>
      <c r="R113" s="925">
        <v>0</v>
      </c>
      <c r="S113" s="925">
        <v>1493.5</v>
      </c>
      <c r="T113" s="925">
        <v>5895906.3799999999</v>
      </c>
      <c r="U113" s="925">
        <v>1483.5</v>
      </c>
      <c r="V113" s="925">
        <v>6786775.54</v>
      </c>
      <c r="W113" s="873">
        <v>0</v>
      </c>
      <c r="X113" s="873">
        <v>0</v>
      </c>
      <c r="Y113" s="925">
        <v>0</v>
      </c>
      <c r="Z113" s="921">
        <v>993356.72</v>
      </c>
      <c r="AA113" s="873">
        <v>0</v>
      </c>
    </row>
    <row r="114" spans="1:27" s="867" customFormat="1" ht="98.45" customHeight="1">
      <c r="A114" s="927">
        <v>84</v>
      </c>
      <c r="B114" s="868" t="s">
        <v>1384</v>
      </c>
      <c r="C114" s="925">
        <f t="shared" si="17"/>
        <v>1714553.24</v>
      </c>
      <c r="D114" s="925">
        <f t="shared" si="18"/>
        <v>1590016.96</v>
      </c>
      <c r="E114" s="925">
        <v>358536.94</v>
      </c>
      <c r="F114" s="925">
        <v>953708.25</v>
      </c>
      <c r="G114" s="925">
        <v>277771.77</v>
      </c>
      <c r="H114" s="925">
        <v>0</v>
      </c>
      <c r="I114" s="925">
        <v>0</v>
      </c>
      <c r="J114" s="925">
        <v>0</v>
      </c>
      <c r="K114" s="861">
        <v>0</v>
      </c>
      <c r="L114" s="925">
        <v>0</v>
      </c>
      <c r="M114" s="873">
        <v>0</v>
      </c>
      <c r="N114" s="873">
        <v>0</v>
      </c>
      <c r="O114" s="925">
        <v>0</v>
      </c>
      <c r="P114" s="925">
        <v>0</v>
      </c>
      <c r="Q114" s="925">
        <v>0</v>
      </c>
      <c r="R114" s="925">
        <v>0</v>
      </c>
      <c r="S114" s="925">
        <v>0</v>
      </c>
      <c r="T114" s="925">
        <v>0</v>
      </c>
      <c r="U114" s="925">
        <v>0</v>
      </c>
      <c r="V114" s="925">
        <v>0</v>
      </c>
      <c r="W114" s="873">
        <v>0</v>
      </c>
      <c r="X114" s="873">
        <v>0</v>
      </c>
      <c r="Y114" s="925">
        <v>0</v>
      </c>
      <c r="Z114" s="921">
        <v>124536.28</v>
      </c>
      <c r="AA114" s="873">
        <v>0</v>
      </c>
    </row>
    <row r="115" spans="1:27" s="867" customFormat="1" ht="97.15" customHeight="1">
      <c r="A115" s="927">
        <v>85</v>
      </c>
      <c r="B115" s="868" t="s">
        <v>1385</v>
      </c>
      <c r="C115" s="925">
        <f t="shared" si="17"/>
        <v>7849801.1600000001</v>
      </c>
      <c r="D115" s="925">
        <f t="shared" si="18"/>
        <v>0</v>
      </c>
      <c r="E115" s="925">
        <v>0</v>
      </c>
      <c r="F115" s="925">
        <v>0</v>
      </c>
      <c r="G115" s="925">
        <v>0</v>
      </c>
      <c r="H115" s="925">
        <v>0</v>
      </c>
      <c r="I115" s="925">
        <v>0</v>
      </c>
      <c r="J115" s="925">
        <v>0</v>
      </c>
      <c r="K115" s="861">
        <v>0</v>
      </c>
      <c r="L115" s="925">
        <v>0</v>
      </c>
      <c r="M115" s="873">
        <v>0</v>
      </c>
      <c r="N115" s="873">
        <v>0</v>
      </c>
      <c r="O115" s="925">
        <v>984</v>
      </c>
      <c r="P115" s="925">
        <v>7279632.2000000002</v>
      </c>
      <c r="Q115" s="925">
        <v>0</v>
      </c>
      <c r="R115" s="925">
        <v>0</v>
      </c>
      <c r="S115" s="925">
        <v>0</v>
      </c>
      <c r="T115" s="925">
        <v>0</v>
      </c>
      <c r="U115" s="925">
        <v>0</v>
      </c>
      <c r="V115" s="925">
        <v>0</v>
      </c>
      <c r="W115" s="873">
        <v>0</v>
      </c>
      <c r="X115" s="873">
        <v>0</v>
      </c>
      <c r="Y115" s="925">
        <v>0</v>
      </c>
      <c r="Z115" s="921">
        <v>570168.96</v>
      </c>
      <c r="AA115" s="873">
        <v>0</v>
      </c>
    </row>
    <row r="116" spans="1:27" s="867" customFormat="1" ht="132.6" customHeight="1">
      <c r="A116" s="1198" t="s">
        <v>1249</v>
      </c>
      <c r="B116" s="1199"/>
      <c r="C116" s="925">
        <f t="shared" si="17"/>
        <v>10897874.880000001</v>
      </c>
      <c r="D116" s="925">
        <f t="shared" si="18"/>
        <v>0</v>
      </c>
      <c r="E116" s="925">
        <f t="shared" ref="E116:AA116" si="27">E117+E118</f>
        <v>0</v>
      </c>
      <c r="F116" s="925">
        <f t="shared" si="27"/>
        <v>0</v>
      </c>
      <c r="G116" s="925">
        <f t="shared" si="27"/>
        <v>0</v>
      </c>
      <c r="H116" s="925">
        <f t="shared" si="27"/>
        <v>0</v>
      </c>
      <c r="I116" s="925">
        <f t="shared" si="27"/>
        <v>0</v>
      </c>
      <c r="J116" s="925">
        <f t="shared" si="27"/>
        <v>0</v>
      </c>
      <c r="K116" s="861">
        <f t="shared" si="27"/>
        <v>0</v>
      </c>
      <c r="L116" s="925">
        <f t="shared" si="27"/>
        <v>0</v>
      </c>
      <c r="M116" s="925">
        <f t="shared" si="27"/>
        <v>0</v>
      </c>
      <c r="N116" s="925">
        <f t="shared" si="27"/>
        <v>0</v>
      </c>
      <c r="O116" s="925">
        <f t="shared" si="27"/>
        <v>1799.03</v>
      </c>
      <c r="P116" s="925">
        <f t="shared" si="27"/>
        <v>10471764.300000001</v>
      </c>
      <c r="Q116" s="925">
        <f t="shared" si="27"/>
        <v>0</v>
      </c>
      <c r="R116" s="925">
        <f t="shared" si="27"/>
        <v>0</v>
      </c>
      <c r="S116" s="925">
        <f t="shared" si="27"/>
        <v>0</v>
      </c>
      <c r="T116" s="925">
        <f t="shared" si="27"/>
        <v>0</v>
      </c>
      <c r="U116" s="925">
        <f t="shared" si="27"/>
        <v>0</v>
      </c>
      <c r="V116" s="925">
        <f t="shared" si="27"/>
        <v>0</v>
      </c>
      <c r="W116" s="925">
        <f t="shared" si="27"/>
        <v>0</v>
      </c>
      <c r="X116" s="925">
        <f t="shared" si="27"/>
        <v>0</v>
      </c>
      <c r="Y116" s="925">
        <f t="shared" si="27"/>
        <v>0</v>
      </c>
      <c r="Z116" s="921">
        <f t="shared" si="27"/>
        <v>426110.57999999996</v>
      </c>
      <c r="AA116" s="925">
        <f t="shared" si="27"/>
        <v>0</v>
      </c>
    </row>
    <row r="117" spans="1:27" s="867" customFormat="1" ht="90" customHeight="1">
      <c r="A117" s="927">
        <v>86</v>
      </c>
      <c r="B117" s="863" t="s">
        <v>1091</v>
      </c>
      <c r="C117" s="925">
        <f t="shared" si="17"/>
        <v>3764706.3499999996</v>
      </c>
      <c r="D117" s="925">
        <f t="shared" si="18"/>
        <v>0</v>
      </c>
      <c r="E117" s="925">
        <v>0</v>
      </c>
      <c r="F117" s="925">
        <v>0</v>
      </c>
      <c r="G117" s="925">
        <v>0</v>
      </c>
      <c r="H117" s="925">
        <v>0</v>
      </c>
      <c r="I117" s="925">
        <v>0</v>
      </c>
      <c r="J117" s="925">
        <v>0</v>
      </c>
      <c r="K117" s="861">
        <v>0</v>
      </c>
      <c r="L117" s="925">
        <v>0</v>
      </c>
      <c r="M117" s="925">
        <v>0</v>
      </c>
      <c r="N117" s="925">
        <v>0</v>
      </c>
      <c r="O117" s="925">
        <v>978</v>
      </c>
      <c r="P117" s="925">
        <v>3491257.55</v>
      </c>
      <c r="Q117" s="925">
        <v>0</v>
      </c>
      <c r="R117" s="925">
        <v>0</v>
      </c>
      <c r="S117" s="925">
        <v>0</v>
      </c>
      <c r="T117" s="925">
        <v>0</v>
      </c>
      <c r="U117" s="925">
        <v>0</v>
      </c>
      <c r="V117" s="925">
        <v>0</v>
      </c>
      <c r="W117" s="925">
        <v>0</v>
      </c>
      <c r="X117" s="925">
        <v>0</v>
      </c>
      <c r="Y117" s="925">
        <v>0</v>
      </c>
      <c r="Z117" s="921">
        <v>273448.8</v>
      </c>
      <c r="AA117" s="925">
        <v>0</v>
      </c>
    </row>
    <row r="118" spans="1:27" s="867" customFormat="1" ht="93.6" customHeight="1">
      <c r="A118" s="927">
        <v>87</v>
      </c>
      <c r="B118" s="863" t="s">
        <v>1159</v>
      </c>
      <c r="C118" s="925">
        <f t="shared" si="17"/>
        <v>7133168.5300000003</v>
      </c>
      <c r="D118" s="925">
        <f t="shared" si="18"/>
        <v>0</v>
      </c>
      <c r="E118" s="925">
        <v>0</v>
      </c>
      <c r="F118" s="925">
        <v>0</v>
      </c>
      <c r="G118" s="925">
        <v>0</v>
      </c>
      <c r="H118" s="925">
        <v>0</v>
      </c>
      <c r="I118" s="925">
        <v>0</v>
      </c>
      <c r="J118" s="925">
        <v>0</v>
      </c>
      <c r="K118" s="861">
        <v>0</v>
      </c>
      <c r="L118" s="925">
        <v>0</v>
      </c>
      <c r="M118" s="925">
        <v>0</v>
      </c>
      <c r="N118" s="925">
        <v>0</v>
      </c>
      <c r="O118" s="925">
        <v>821.03</v>
      </c>
      <c r="P118" s="925">
        <v>6980506.75</v>
      </c>
      <c r="Q118" s="925">
        <v>0</v>
      </c>
      <c r="R118" s="925">
        <v>0</v>
      </c>
      <c r="S118" s="925">
        <v>0</v>
      </c>
      <c r="T118" s="925">
        <v>0</v>
      </c>
      <c r="U118" s="925">
        <v>0</v>
      </c>
      <c r="V118" s="925">
        <v>0</v>
      </c>
      <c r="W118" s="925">
        <v>0</v>
      </c>
      <c r="X118" s="925">
        <v>0</v>
      </c>
      <c r="Y118" s="925">
        <v>0</v>
      </c>
      <c r="Z118" s="921">
        <v>152661.78</v>
      </c>
      <c r="AA118" s="925">
        <v>0</v>
      </c>
    </row>
    <row r="119" spans="1:27" s="867" customFormat="1" ht="94.9" customHeight="1">
      <c r="A119" s="1198" t="s">
        <v>1059</v>
      </c>
      <c r="B119" s="1199"/>
      <c r="C119" s="925">
        <f t="shared" si="17"/>
        <v>4141657</v>
      </c>
      <c r="D119" s="925">
        <f t="shared" si="18"/>
        <v>1688694</v>
      </c>
      <c r="E119" s="925">
        <f t="shared" ref="E119:AA119" si="28">SUM(E120:E140)</f>
        <v>270985</v>
      </c>
      <c r="F119" s="925">
        <f t="shared" si="28"/>
        <v>796303</v>
      </c>
      <c r="G119" s="925">
        <f t="shared" si="28"/>
        <v>0</v>
      </c>
      <c r="H119" s="925">
        <f t="shared" si="28"/>
        <v>264124</v>
      </c>
      <c r="I119" s="925">
        <f t="shared" si="28"/>
        <v>0</v>
      </c>
      <c r="J119" s="925">
        <f t="shared" si="28"/>
        <v>357282</v>
      </c>
      <c r="K119" s="861">
        <f t="shared" si="28"/>
        <v>0</v>
      </c>
      <c r="L119" s="925">
        <f t="shared" si="28"/>
        <v>0</v>
      </c>
      <c r="M119" s="925">
        <f t="shared" si="28"/>
        <v>0</v>
      </c>
      <c r="N119" s="925">
        <f t="shared" si="28"/>
        <v>0</v>
      </c>
      <c r="O119" s="925">
        <f t="shared" si="28"/>
        <v>621</v>
      </c>
      <c r="P119" s="925">
        <f t="shared" si="28"/>
        <v>914733</v>
      </c>
      <c r="Q119" s="925">
        <f t="shared" si="28"/>
        <v>0</v>
      </c>
      <c r="R119" s="925">
        <f t="shared" si="28"/>
        <v>0</v>
      </c>
      <c r="S119" s="925">
        <f t="shared" si="28"/>
        <v>0</v>
      </c>
      <c r="T119" s="925">
        <f t="shared" si="28"/>
        <v>0</v>
      </c>
      <c r="U119" s="925">
        <f t="shared" si="28"/>
        <v>0</v>
      </c>
      <c r="V119" s="925">
        <f t="shared" si="28"/>
        <v>0</v>
      </c>
      <c r="W119" s="925">
        <f t="shared" si="28"/>
        <v>397.4</v>
      </c>
      <c r="X119" s="925">
        <f t="shared" si="28"/>
        <v>576230</v>
      </c>
      <c r="Y119" s="925">
        <f t="shared" si="28"/>
        <v>0</v>
      </c>
      <c r="Z119" s="921">
        <f t="shared" si="28"/>
        <v>962000</v>
      </c>
      <c r="AA119" s="925">
        <f t="shared" si="28"/>
        <v>0</v>
      </c>
    </row>
    <row r="120" spans="1:27" s="867" customFormat="1" ht="99.6" customHeight="1">
      <c r="A120" s="927">
        <v>88</v>
      </c>
      <c r="B120" s="907" t="s">
        <v>2104</v>
      </c>
      <c r="C120" s="908">
        <f t="shared" ref="C120:C128" si="29">D120+N120+P120+R120+T120+X120+Z120</f>
        <v>327980</v>
      </c>
      <c r="D120" s="908">
        <f t="shared" si="18"/>
        <v>327980</v>
      </c>
      <c r="E120" s="909">
        <v>0</v>
      </c>
      <c r="F120" s="909">
        <v>327980</v>
      </c>
      <c r="G120" s="909">
        <v>0</v>
      </c>
      <c r="H120" s="909">
        <v>0</v>
      </c>
      <c r="I120" s="909">
        <v>0</v>
      </c>
      <c r="J120" s="909">
        <v>0</v>
      </c>
      <c r="K120" s="910">
        <v>0</v>
      </c>
      <c r="L120" s="909">
        <v>0</v>
      </c>
      <c r="M120" s="910">
        <v>0</v>
      </c>
      <c r="N120" s="909">
        <v>0</v>
      </c>
      <c r="O120" s="909">
        <v>0</v>
      </c>
      <c r="P120" s="909">
        <v>0</v>
      </c>
      <c r="Q120" s="909">
        <v>0</v>
      </c>
      <c r="R120" s="909">
        <v>0</v>
      </c>
      <c r="S120" s="909">
        <v>0</v>
      </c>
      <c r="T120" s="909">
        <v>0</v>
      </c>
      <c r="U120" s="908">
        <v>0</v>
      </c>
      <c r="V120" s="908">
        <v>0</v>
      </c>
      <c r="W120" s="909">
        <v>0</v>
      </c>
      <c r="X120" s="909">
        <v>0</v>
      </c>
      <c r="Y120" s="908">
        <v>0</v>
      </c>
      <c r="Z120" s="909">
        <v>0</v>
      </c>
      <c r="AA120" s="909">
        <v>0</v>
      </c>
    </row>
    <row r="121" spans="1:27" s="867" customFormat="1" ht="91.15" customHeight="1">
      <c r="A121" s="927">
        <v>89</v>
      </c>
      <c r="B121" s="907" t="s">
        <v>2147</v>
      </c>
      <c r="C121" s="908">
        <f t="shared" si="29"/>
        <v>127310</v>
      </c>
      <c r="D121" s="908">
        <f t="shared" si="18"/>
        <v>0</v>
      </c>
      <c r="E121" s="909">
        <v>0</v>
      </c>
      <c r="F121" s="909">
        <v>0</v>
      </c>
      <c r="G121" s="909">
        <v>0</v>
      </c>
      <c r="H121" s="909">
        <v>0</v>
      </c>
      <c r="I121" s="909">
        <v>0</v>
      </c>
      <c r="J121" s="909">
        <v>0</v>
      </c>
      <c r="K121" s="910">
        <v>0</v>
      </c>
      <c r="L121" s="909">
        <v>0</v>
      </c>
      <c r="M121" s="910">
        <v>0</v>
      </c>
      <c r="N121" s="909">
        <v>0</v>
      </c>
      <c r="O121" s="909">
        <v>0</v>
      </c>
      <c r="P121" s="909">
        <v>0</v>
      </c>
      <c r="Q121" s="909">
        <v>0</v>
      </c>
      <c r="R121" s="909">
        <v>0</v>
      </c>
      <c r="S121" s="909">
        <v>0</v>
      </c>
      <c r="T121" s="909">
        <v>0</v>
      </c>
      <c r="U121" s="908">
        <v>0</v>
      </c>
      <c r="V121" s="908">
        <v>0</v>
      </c>
      <c r="W121" s="909">
        <v>87.8</v>
      </c>
      <c r="X121" s="909">
        <v>127310</v>
      </c>
      <c r="Y121" s="908">
        <v>0</v>
      </c>
      <c r="Z121" s="909">
        <v>0</v>
      </c>
      <c r="AA121" s="909">
        <v>0</v>
      </c>
    </row>
    <row r="122" spans="1:27" s="867" customFormat="1" ht="94.9" customHeight="1">
      <c r="A122" s="927">
        <v>90</v>
      </c>
      <c r="B122" s="907" t="s">
        <v>2148</v>
      </c>
      <c r="C122" s="908">
        <f t="shared" si="29"/>
        <v>264124</v>
      </c>
      <c r="D122" s="908">
        <f t="shared" si="18"/>
        <v>264124</v>
      </c>
      <c r="E122" s="909">
        <v>0</v>
      </c>
      <c r="F122" s="909">
        <v>0</v>
      </c>
      <c r="G122" s="909">
        <v>0</v>
      </c>
      <c r="H122" s="909">
        <v>264124</v>
      </c>
      <c r="I122" s="909">
        <v>0</v>
      </c>
      <c r="J122" s="909">
        <v>0</v>
      </c>
      <c r="K122" s="910">
        <v>0</v>
      </c>
      <c r="L122" s="909">
        <v>0</v>
      </c>
      <c r="M122" s="910">
        <v>0</v>
      </c>
      <c r="N122" s="909">
        <v>0</v>
      </c>
      <c r="O122" s="909">
        <v>0</v>
      </c>
      <c r="P122" s="909">
        <v>0</v>
      </c>
      <c r="Q122" s="909">
        <v>0</v>
      </c>
      <c r="R122" s="909">
        <v>0</v>
      </c>
      <c r="S122" s="909">
        <v>0</v>
      </c>
      <c r="T122" s="909">
        <v>0</v>
      </c>
      <c r="U122" s="908">
        <v>0</v>
      </c>
      <c r="V122" s="908">
        <v>0</v>
      </c>
      <c r="W122" s="909">
        <v>0</v>
      </c>
      <c r="X122" s="909">
        <v>0</v>
      </c>
      <c r="Y122" s="908">
        <v>0</v>
      </c>
      <c r="Z122" s="909">
        <v>0</v>
      </c>
      <c r="AA122" s="909">
        <v>0</v>
      </c>
    </row>
    <row r="123" spans="1:27" s="867" customFormat="1" ht="85.15" customHeight="1">
      <c r="A123" s="927">
        <v>91</v>
      </c>
      <c r="B123" s="907" t="s">
        <v>2105</v>
      </c>
      <c r="C123" s="908">
        <f t="shared" si="29"/>
        <v>175068</v>
      </c>
      <c r="D123" s="908">
        <f t="shared" si="18"/>
        <v>175068</v>
      </c>
      <c r="E123" s="909">
        <v>0</v>
      </c>
      <c r="F123" s="909">
        <v>0</v>
      </c>
      <c r="G123" s="909">
        <v>0</v>
      </c>
      <c r="H123" s="909">
        <v>0</v>
      </c>
      <c r="I123" s="909">
        <v>0</v>
      </c>
      <c r="J123" s="909">
        <v>175068</v>
      </c>
      <c r="K123" s="910">
        <v>0</v>
      </c>
      <c r="L123" s="909">
        <v>0</v>
      </c>
      <c r="M123" s="910">
        <v>0</v>
      </c>
      <c r="N123" s="909">
        <v>0</v>
      </c>
      <c r="O123" s="909">
        <v>0</v>
      </c>
      <c r="P123" s="909">
        <v>0</v>
      </c>
      <c r="Q123" s="909">
        <v>0</v>
      </c>
      <c r="R123" s="909">
        <v>0</v>
      </c>
      <c r="S123" s="909">
        <v>0</v>
      </c>
      <c r="T123" s="909">
        <v>0</v>
      </c>
      <c r="U123" s="908">
        <v>0</v>
      </c>
      <c r="V123" s="908">
        <v>0</v>
      </c>
      <c r="W123" s="909">
        <v>0</v>
      </c>
      <c r="X123" s="909">
        <v>0</v>
      </c>
      <c r="Y123" s="908">
        <v>0</v>
      </c>
      <c r="Z123" s="909">
        <v>0</v>
      </c>
      <c r="AA123" s="909">
        <v>0</v>
      </c>
    </row>
    <row r="124" spans="1:27" s="867" customFormat="1" ht="87.6" customHeight="1">
      <c r="A124" s="927">
        <v>92</v>
      </c>
      <c r="B124" s="907" t="s">
        <v>1134</v>
      </c>
      <c r="C124" s="908">
        <f t="shared" si="29"/>
        <v>182214</v>
      </c>
      <c r="D124" s="908">
        <f t="shared" si="18"/>
        <v>182214</v>
      </c>
      <c r="E124" s="909">
        <v>0</v>
      </c>
      <c r="F124" s="909">
        <v>0</v>
      </c>
      <c r="G124" s="909">
        <v>0</v>
      </c>
      <c r="H124" s="909">
        <v>0</v>
      </c>
      <c r="I124" s="909">
        <v>0</v>
      </c>
      <c r="J124" s="909">
        <v>182214</v>
      </c>
      <c r="K124" s="910">
        <v>0</v>
      </c>
      <c r="L124" s="909">
        <v>0</v>
      </c>
      <c r="M124" s="910">
        <v>0</v>
      </c>
      <c r="N124" s="909">
        <v>0</v>
      </c>
      <c r="O124" s="909">
        <v>0</v>
      </c>
      <c r="P124" s="909">
        <v>0</v>
      </c>
      <c r="Q124" s="909">
        <v>0</v>
      </c>
      <c r="R124" s="909">
        <v>0</v>
      </c>
      <c r="S124" s="909">
        <v>0</v>
      </c>
      <c r="T124" s="909">
        <v>0</v>
      </c>
      <c r="U124" s="908">
        <v>0</v>
      </c>
      <c r="V124" s="908">
        <v>0</v>
      </c>
      <c r="W124" s="909">
        <v>0</v>
      </c>
      <c r="X124" s="909">
        <v>0</v>
      </c>
      <c r="Y124" s="908">
        <v>0</v>
      </c>
      <c r="Z124" s="909">
        <v>0</v>
      </c>
      <c r="AA124" s="909">
        <v>0</v>
      </c>
    </row>
    <row r="125" spans="1:27" s="867" customFormat="1" ht="91.15" customHeight="1">
      <c r="A125" s="927">
        <v>93</v>
      </c>
      <c r="B125" s="907" t="s">
        <v>2106</v>
      </c>
      <c r="C125" s="908">
        <f t="shared" si="29"/>
        <v>62000</v>
      </c>
      <c r="D125" s="908">
        <f t="shared" si="18"/>
        <v>0</v>
      </c>
      <c r="E125" s="909">
        <v>0</v>
      </c>
      <c r="F125" s="909">
        <v>0</v>
      </c>
      <c r="G125" s="909">
        <v>0</v>
      </c>
      <c r="H125" s="909">
        <v>0</v>
      </c>
      <c r="I125" s="909">
        <v>0</v>
      </c>
      <c r="J125" s="909">
        <v>0</v>
      </c>
      <c r="K125" s="910">
        <v>0</v>
      </c>
      <c r="L125" s="909">
        <v>0</v>
      </c>
      <c r="M125" s="910">
        <v>0</v>
      </c>
      <c r="N125" s="909">
        <v>0</v>
      </c>
      <c r="O125" s="909">
        <v>0</v>
      </c>
      <c r="P125" s="909">
        <v>0</v>
      </c>
      <c r="Q125" s="909">
        <v>0</v>
      </c>
      <c r="R125" s="909">
        <v>0</v>
      </c>
      <c r="S125" s="909">
        <v>0</v>
      </c>
      <c r="T125" s="909">
        <v>0</v>
      </c>
      <c r="U125" s="908">
        <v>0</v>
      </c>
      <c r="V125" s="908">
        <v>0</v>
      </c>
      <c r="W125" s="909">
        <v>0</v>
      </c>
      <c r="X125" s="909">
        <v>0</v>
      </c>
      <c r="Y125" s="908">
        <v>0</v>
      </c>
      <c r="Z125" s="909">
        <v>62000</v>
      </c>
      <c r="AA125" s="909">
        <v>0</v>
      </c>
    </row>
    <row r="126" spans="1:27" s="867" customFormat="1" ht="91.15" customHeight="1">
      <c r="A126" s="927">
        <v>94</v>
      </c>
      <c r="B126" s="907" t="s">
        <v>2107</v>
      </c>
      <c r="C126" s="908">
        <f t="shared" si="29"/>
        <v>62000</v>
      </c>
      <c r="D126" s="908">
        <f t="shared" si="18"/>
        <v>0</v>
      </c>
      <c r="E126" s="909">
        <v>0</v>
      </c>
      <c r="F126" s="909">
        <v>0</v>
      </c>
      <c r="G126" s="909">
        <v>0</v>
      </c>
      <c r="H126" s="909">
        <v>0</v>
      </c>
      <c r="I126" s="909">
        <v>0</v>
      </c>
      <c r="J126" s="909">
        <v>0</v>
      </c>
      <c r="K126" s="910">
        <v>0</v>
      </c>
      <c r="L126" s="909">
        <v>0</v>
      </c>
      <c r="M126" s="910">
        <v>0</v>
      </c>
      <c r="N126" s="909">
        <v>0</v>
      </c>
      <c r="O126" s="909">
        <v>0</v>
      </c>
      <c r="P126" s="909">
        <v>0</v>
      </c>
      <c r="Q126" s="909">
        <v>0</v>
      </c>
      <c r="R126" s="909">
        <v>0</v>
      </c>
      <c r="S126" s="909">
        <v>0</v>
      </c>
      <c r="T126" s="909">
        <v>0</v>
      </c>
      <c r="U126" s="908">
        <v>0</v>
      </c>
      <c r="V126" s="908">
        <v>0</v>
      </c>
      <c r="W126" s="909">
        <v>0</v>
      </c>
      <c r="X126" s="909">
        <v>0</v>
      </c>
      <c r="Y126" s="908">
        <v>0</v>
      </c>
      <c r="Z126" s="909">
        <v>62000</v>
      </c>
      <c r="AA126" s="909">
        <v>0</v>
      </c>
    </row>
    <row r="127" spans="1:27" s="867" customFormat="1" ht="91.15" customHeight="1">
      <c r="A127" s="927">
        <v>95</v>
      </c>
      <c r="B127" s="907" t="s">
        <v>1305</v>
      </c>
      <c r="C127" s="908">
        <f t="shared" si="29"/>
        <v>318425</v>
      </c>
      <c r="D127" s="908">
        <f t="shared" si="18"/>
        <v>0</v>
      </c>
      <c r="E127" s="909">
        <v>0</v>
      </c>
      <c r="F127" s="909">
        <v>0</v>
      </c>
      <c r="G127" s="909">
        <v>0</v>
      </c>
      <c r="H127" s="909">
        <v>0</v>
      </c>
      <c r="I127" s="909">
        <v>0</v>
      </c>
      <c r="J127" s="909">
        <v>0</v>
      </c>
      <c r="K127" s="910">
        <v>0</v>
      </c>
      <c r="L127" s="909">
        <v>0</v>
      </c>
      <c r="M127" s="910">
        <v>0</v>
      </c>
      <c r="N127" s="909">
        <v>0</v>
      </c>
      <c r="O127" s="909">
        <v>0</v>
      </c>
      <c r="P127" s="909">
        <v>0</v>
      </c>
      <c r="Q127" s="909">
        <v>0</v>
      </c>
      <c r="R127" s="909">
        <v>0</v>
      </c>
      <c r="S127" s="909">
        <v>0</v>
      </c>
      <c r="T127" s="909">
        <v>0</v>
      </c>
      <c r="U127" s="908">
        <v>0</v>
      </c>
      <c r="V127" s="908">
        <v>0</v>
      </c>
      <c r="W127" s="909">
        <v>166.5</v>
      </c>
      <c r="X127" s="909">
        <v>241425</v>
      </c>
      <c r="Y127" s="908">
        <v>0</v>
      </c>
      <c r="Z127" s="909">
        <v>77000</v>
      </c>
      <c r="AA127" s="909">
        <v>0</v>
      </c>
    </row>
    <row r="128" spans="1:27" s="867" customFormat="1" ht="91.15" customHeight="1">
      <c r="A128" s="927">
        <v>96</v>
      </c>
      <c r="B128" s="907" t="s">
        <v>2108</v>
      </c>
      <c r="C128" s="908">
        <f t="shared" si="29"/>
        <v>205000</v>
      </c>
      <c r="D128" s="908">
        <f t="shared" si="18"/>
        <v>0</v>
      </c>
      <c r="E128" s="911">
        <v>0</v>
      </c>
      <c r="F128" s="911">
        <v>0</v>
      </c>
      <c r="G128" s="911">
        <v>0</v>
      </c>
      <c r="H128" s="911">
        <v>0</v>
      </c>
      <c r="I128" s="911">
        <v>0</v>
      </c>
      <c r="J128" s="911">
        <v>0</v>
      </c>
      <c r="K128" s="910">
        <v>0</v>
      </c>
      <c r="L128" s="911">
        <v>0</v>
      </c>
      <c r="M128" s="910">
        <v>0</v>
      </c>
      <c r="N128" s="911">
        <v>0</v>
      </c>
      <c r="O128" s="911">
        <v>0</v>
      </c>
      <c r="P128" s="911">
        <v>0</v>
      </c>
      <c r="Q128" s="911">
        <v>0</v>
      </c>
      <c r="R128" s="911">
        <v>0</v>
      </c>
      <c r="S128" s="911">
        <v>0</v>
      </c>
      <c r="T128" s="911">
        <v>0</v>
      </c>
      <c r="U128" s="908">
        <v>0</v>
      </c>
      <c r="V128" s="908">
        <v>0</v>
      </c>
      <c r="W128" s="911">
        <v>0</v>
      </c>
      <c r="X128" s="911">
        <v>0</v>
      </c>
      <c r="Y128" s="908">
        <v>0</v>
      </c>
      <c r="Z128" s="911">
        <v>205000</v>
      </c>
      <c r="AA128" s="911">
        <v>0</v>
      </c>
    </row>
    <row r="129" spans="1:27" s="867" customFormat="1" ht="91.15" customHeight="1">
      <c r="A129" s="927">
        <v>97</v>
      </c>
      <c r="B129" s="907" t="s">
        <v>1306</v>
      </c>
      <c r="C129" s="908">
        <f>D129+N129+P129+R129+T129+X129+Z129</f>
        <v>530323</v>
      </c>
      <c r="D129" s="908">
        <f t="shared" ref="D129:D140" si="30">SUM(E129:J129)</f>
        <v>468323</v>
      </c>
      <c r="E129" s="911">
        <v>0</v>
      </c>
      <c r="F129" s="911">
        <v>468323</v>
      </c>
      <c r="G129" s="911">
        <v>0</v>
      </c>
      <c r="H129" s="911">
        <v>0</v>
      </c>
      <c r="I129" s="911">
        <v>0</v>
      </c>
      <c r="J129" s="911">
        <v>0</v>
      </c>
      <c r="K129" s="910">
        <v>0</v>
      </c>
      <c r="L129" s="911">
        <v>0</v>
      </c>
      <c r="M129" s="910">
        <v>0</v>
      </c>
      <c r="N129" s="911">
        <v>0</v>
      </c>
      <c r="O129" s="911">
        <v>0</v>
      </c>
      <c r="P129" s="911">
        <v>0</v>
      </c>
      <c r="Q129" s="911">
        <v>0</v>
      </c>
      <c r="R129" s="911">
        <v>0</v>
      </c>
      <c r="S129" s="911">
        <v>0</v>
      </c>
      <c r="T129" s="911">
        <v>0</v>
      </c>
      <c r="U129" s="908">
        <v>0</v>
      </c>
      <c r="V129" s="908">
        <v>0</v>
      </c>
      <c r="W129" s="911">
        <v>0</v>
      </c>
      <c r="X129" s="911">
        <v>0</v>
      </c>
      <c r="Y129" s="908">
        <v>0</v>
      </c>
      <c r="Z129" s="911">
        <v>62000</v>
      </c>
      <c r="AA129" s="911">
        <v>0</v>
      </c>
    </row>
    <row r="130" spans="1:27" s="867" customFormat="1" ht="91.15" customHeight="1">
      <c r="A130" s="927">
        <v>98</v>
      </c>
      <c r="B130" s="907" t="s">
        <v>1173</v>
      </c>
      <c r="C130" s="908">
        <f t="shared" ref="C130:C140" si="31">D130+N130+P130+R130+T130+X130+Z130</f>
        <v>336985</v>
      </c>
      <c r="D130" s="908">
        <f t="shared" si="30"/>
        <v>270985</v>
      </c>
      <c r="E130" s="911">
        <v>270985</v>
      </c>
      <c r="F130" s="911">
        <v>0</v>
      </c>
      <c r="G130" s="911">
        <v>0</v>
      </c>
      <c r="H130" s="911">
        <v>0</v>
      </c>
      <c r="I130" s="911">
        <v>0</v>
      </c>
      <c r="J130" s="911">
        <v>0</v>
      </c>
      <c r="K130" s="910">
        <v>0</v>
      </c>
      <c r="L130" s="911">
        <v>0</v>
      </c>
      <c r="M130" s="910">
        <v>0</v>
      </c>
      <c r="N130" s="911">
        <v>0</v>
      </c>
      <c r="O130" s="911">
        <v>0</v>
      </c>
      <c r="P130" s="911">
        <v>0</v>
      </c>
      <c r="Q130" s="911">
        <v>0</v>
      </c>
      <c r="R130" s="911">
        <v>0</v>
      </c>
      <c r="S130" s="911">
        <v>0</v>
      </c>
      <c r="T130" s="911">
        <v>0</v>
      </c>
      <c r="U130" s="908">
        <v>0</v>
      </c>
      <c r="V130" s="908">
        <v>0</v>
      </c>
      <c r="W130" s="911">
        <v>0</v>
      </c>
      <c r="X130" s="911">
        <v>0</v>
      </c>
      <c r="Y130" s="908">
        <v>0</v>
      </c>
      <c r="Z130" s="911">
        <v>66000</v>
      </c>
      <c r="AA130" s="911">
        <v>0</v>
      </c>
    </row>
    <row r="131" spans="1:27" s="867" customFormat="1" ht="91.15" customHeight="1">
      <c r="A131" s="927">
        <v>99</v>
      </c>
      <c r="B131" s="907" t="s">
        <v>2109</v>
      </c>
      <c r="C131" s="908">
        <f t="shared" si="31"/>
        <v>81000</v>
      </c>
      <c r="D131" s="908">
        <f t="shared" si="30"/>
        <v>0</v>
      </c>
      <c r="E131" s="911">
        <v>0</v>
      </c>
      <c r="F131" s="911">
        <v>0</v>
      </c>
      <c r="G131" s="912">
        <v>0</v>
      </c>
      <c r="H131" s="911">
        <v>0</v>
      </c>
      <c r="I131" s="911">
        <v>0</v>
      </c>
      <c r="J131" s="911">
        <v>0</v>
      </c>
      <c r="K131" s="910">
        <v>0</v>
      </c>
      <c r="L131" s="911">
        <v>0</v>
      </c>
      <c r="M131" s="910">
        <v>0</v>
      </c>
      <c r="N131" s="911">
        <v>0</v>
      </c>
      <c r="O131" s="911">
        <v>0</v>
      </c>
      <c r="P131" s="911">
        <v>0</v>
      </c>
      <c r="Q131" s="911">
        <v>0</v>
      </c>
      <c r="R131" s="911">
        <v>0</v>
      </c>
      <c r="S131" s="911">
        <v>0</v>
      </c>
      <c r="T131" s="911">
        <v>0</v>
      </c>
      <c r="U131" s="908">
        <v>0</v>
      </c>
      <c r="V131" s="908">
        <v>0</v>
      </c>
      <c r="W131" s="911">
        <v>0</v>
      </c>
      <c r="X131" s="911">
        <v>0</v>
      </c>
      <c r="Y131" s="908">
        <v>0</v>
      </c>
      <c r="Z131" s="911">
        <v>81000</v>
      </c>
      <c r="AA131" s="911">
        <v>0</v>
      </c>
    </row>
    <row r="132" spans="1:27" s="867" customFormat="1" ht="91.15" customHeight="1">
      <c r="A132" s="927">
        <v>100</v>
      </c>
      <c r="B132" s="907" t="s">
        <v>2110</v>
      </c>
      <c r="C132" s="908">
        <f t="shared" si="31"/>
        <v>47000</v>
      </c>
      <c r="D132" s="908">
        <f t="shared" si="30"/>
        <v>0</v>
      </c>
      <c r="E132" s="911">
        <v>0</v>
      </c>
      <c r="F132" s="911">
        <v>0</v>
      </c>
      <c r="G132" s="911">
        <v>0</v>
      </c>
      <c r="H132" s="911">
        <v>0</v>
      </c>
      <c r="I132" s="911">
        <v>0</v>
      </c>
      <c r="J132" s="911">
        <v>0</v>
      </c>
      <c r="K132" s="910">
        <v>0</v>
      </c>
      <c r="L132" s="911">
        <v>0</v>
      </c>
      <c r="M132" s="910">
        <v>0</v>
      </c>
      <c r="N132" s="911">
        <v>0</v>
      </c>
      <c r="O132" s="911">
        <v>0</v>
      </c>
      <c r="P132" s="911">
        <v>0</v>
      </c>
      <c r="Q132" s="911">
        <v>0</v>
      </c>
      <c r="R132" s="911">
        <v>0</v>
      </c>
      <c r="S132" s="911">
        <v>0</v>
      </c>
      <c r="T132" s="911">
        <v>0</v>
      </c>
      <c r="U132" s="908">
        <v>0</v>
      </c>
      <c r="V132" s="908">
        <v>0</v>
      </c>
      <c r="W132" s="909">
        <v>0</v>
      </c>
      <c r="X132" s="909">
        <v>0</v>
      </c>
      <c r="Y132" s="908">
        <v>0</v>
      </c>
      <c r="Z132" s="909">
        <v>47000</v>
      </c>
      <c r="AA132" s="909">
        <v>0</v>
      </c>
    </row>
    <row r="133" spans="1:27" s="867" customFormat="1" ht="91.15" customHeight="1">
      <c r="A133" s="927">
        <v>101</v>
      </c>
      <c r="B133" s="907" t="s">
        <v>2111</v>
      </c>
      <c r="C133" s="908">
        <f t="shared" si="31"/>
        <v>47000</v>
      </c>
      <c r="D133" s="908">
        <f t="shared" si="30"/>
        <v>0</v>
      </c>
      <c r="E133" s="911">
        <v>0</v>
      </c>
      <c r="F133" s="911">
        <v>0</v>
      </c>
      <c r="G133" s="911">
        <v>0</v>
      </c>
      <c r="H133" s="911">
        <v>0</v>
      </c>
      <c r="I133" s="911">
        <v>0</v>
      </c>
      <c r="J133" s="911">
        <v>0</v>
      </c>
      <c r="K133" s="910">
        <v>0</v>
      </c>
      <c r="L133" s="911">
        <v>0</v>
      </c>
      <c r="M133" s="910">
        <v>0</v>
      </c>
      <c r="N133" s="911">
        <v>0</v>
      </c>
      <c r="O133" s="911">
        <v>0</v>
      </c>
      <c r="P133" s="911">
        <v>0</v>
      </c>
      <c r="Q133" s="911">
        <v>0</v>
      </c>
      <c r="R133" s="911">
        <v>0</v>
      </c>
      <c r="S133" s="911">
        <v>0</v>
      </c>
      <c r="T133" s="911">
        <v>0</v>
      </c>
      <c r="U133" s="908">
        <v>0</v>
      </c>
      <c r="V133" s="908">
        <v>0</v>
      </c>
      <c r="W133" s="909">
        <v>0</v>
      </c>
      <c r="X133" s="909">
        <v>0</v>
      </c>
      <c r="Y133" s="908">
        <v>0</v>
      </c>
      <c r="Z133" s="909">
        <v>47000</v>
      </c>
      <c r="AA133" s="909">
        <v>0</v>
      </c>
    </row>
    <row r="134" spans="1:27" s="867" customFormat="1" ht="91.15" customHeight="1">
      <c r="A134" s="927">
        <v>102</v>
      </c>
      <c r="B134" s="907" t="s">
        <v>2112</v>
      </c>
      <c r="C134" s="908">
        <f t="shared" si="31"/>
        <v>66000</v>
      </c>
      <c r="D134" s="908">
        <f t="shared" ref="D134:D138" si="32">SUM(E134:J134)</f>
        <v>0</v>
      </c>
      <c r="E134" s="911">
        <v>0</v>
      </c>
      <c r="F134" s="911">
        <v>0</v>
      </c>
      <c r="G134" s="912">
        <v>0</v>
      </c>
      <c r="H134" s="911">
        <v>0</v>
      </c>
      <c r="I134" s="911">
        <v>0</v>
      </c>
      <c r="J134" s="911">
        <v>0</v>
      </c>
      <c r="K134" s="910">
        <v>0</v>
      </c>
      <c r="L134" s="911">
        <v>0</v>
      </c>
      <c r="M134" s="910">
        <v>0</v>
      </c>
      <c r="N134" s="911">
        <v>0</v>
      </c>
      <c r="O134" s="911">
        <v>0</v>
      </c>
      <c r="P134" s="911">
        <v>0</v>
      </c>
      <c r="Q134" s="911">
        <v>0</v>
      </c>
      <c r="R134" s="911">
        <v>0</v>
      </c>
      <c r="S134" s="911">
        <v>0</v>
      </c>
      <c r="T134" s="911">
        <v>0</v>
      </c>
      <c r="U134" s="908">
        <v>0</v>
      </c>
      <c r="V134" s="908">
        <v>0</v>
      </c>
      <c r="W134" s="909">
        <v>0</v>
      </c>
      <c r="X134" s="909">
        <v>0</v>
      </c>
      <c r="Y134" s="908">
        <v>0</v>
      </c>
      <c r="Z134" s="909">
        <v>66000</v>
      </c>
      <c r="AA134" s="909">
        <v>0</v>
      </c>
    </row>
    <row r="135" spans="1:27" s="867" customFormat="1" ht="91.15" customHeight="1">
      <c r="A135" s="927">
        <v>103</v>
      </c>
      <c r="B135" s="907" t="s">
        <v>2113</v>
      </c>
      <c r="C135" s="908">
        <f t="shared" si="31"/>
        <v>39000</v>
      </c>
      <c r="D135" s="908">
        <f t="shared" si="32"/>
        <v>0</v>
      </c>
      <c r="E135" s="911">
        <v>0</v>
      </c>
      <c r="F135" s="911">
        <v>0</v>
      </c>
      <c r="G135" s="911">
        <v>0</v>
      </c>
      <c r="H135" s="911">
        <v>0</v>
      </c>
      <c r="I135" s="911">
        <v>0</v>
      </c>
      <c r="J135" s="911">
        <v>0</v>
      </c>
      <c r="K135" s="910">
        <v>0</v>
      </c>
      <c r="L135" s="911">
        <v>0</v>
      </c>
      <c r="M135" s="910">
        <v>0</v>
      </c>
      <c r="N135" s="911">
        <v>0</v>
      </c>
      <c r="O135" s="911">
        <v>0</v>
      </c>
      <c r="P135" s="911">
        <v>0</v>
      </c>
      <c r="Q135" s="911">
        <v>0</v>
      </c>
      <c r="R135" s="911">
        <v>0</v>
      </c>
      <c r="S135" s="911">
        <v>0</v>
      </c>
      <c r="T135" s="911">
        <v>0</v>
      </c>
      <c r="U135" s="908">
        <v>0</v>
      </c>
      <c r="V135" s="908">
        <v>0</v>
      </c>
      <c r="W135" s="909">
        <v>0</v>
      </c>
      <c r="X135" s="909">
        <v>0</v>
      </c>
      <c r="Y135" s="908">
        <v>0</v>
      </c>
      <c r="Z135" s="909">
        <v>39000</v>
      </c>
      <c r="AA135" s="909">
        <v>0</v>
      </c>
    </row>
    <row r="136" spans="1:27" s="867" customFormat="1" ht="91.15" customHeight="1">
      <c r="A136" s="927">
        <v>104</v>
      </c>
      <c r="B136" s="907" t="s">
        <v>2114</v>
      </c>
      <c r="C136" s="908">
        <f t="shared" si="31"/>
        <v>39000</v>
      </c>
      <c r="D136" s="908">
        <f t="shared" si="32"/>
        <v>0</v>
      </c>
      <c r="E136" s="911">
        <v>0</v>
      </c>
      <c r="F136" s="911">
        <v>0</v>
      </c>
      <c r="G136" s="911">
        <v>0</v>
      </c>
      <c r="H136" s="911">
        <v>0</v>
      </c>
      <c r="I136" s="911">
        <v>0</v>
      </c>
      <c r="J136" s="911">
        <v>0</v>
      </c>
      <c r="K136" s="910">
        <v>0</v>
      </c>
      <c r="L136" s="911">
        <v>0</v>
      </c>
      <c r="M136" s="910">
        <v>0</v>
      </c>
      <c r="N136" s="911">
        <v>0</v>
      </c>
      <c r="O136" s="911">
        <v>0</v>
      </c>
      <c r="P136" s="911">
        <v>0</v>
      </c>
      <c r="Q136" s="911">
        <v>0</v>
      </c>
      <c r="R136" s="911">
        <v>0</v>
      </c>
      <c r="S136" s="911">
        <v>0</v>
      </c>
      <c r="T136" s="911">
        <v>0</v>
      </c>
      <c r="U136" s="908">
        <v>0</v>
      </c>
      <c r="V136" s="908">
        <v>0</v>
      </c>
      <c r="W136" s="909">
        <v>0</v>
      </c>
      <c r="X136" s="909">
        <v>0</v>
      </c>
      <c r="Y136" s="908">
        <v>0</v>
      </c>
      <c r="Z136" s="909">
        <v>39000</v>
      </c>
      <c r="AA136" s="909">
        <v>0</v>
      </c>
    </row>
    <row r="137" spans="1:27" s="867" customFormat="1" ht="91.15" customHeight="1">
      <c r="A137" s="927">
        <v>105</v>
      </c>
      <c r="B137" s="907" t="s">
        <v>2115</v>
      </c>
      <c r="C137" s="908">
        <f t="shared" si="31"/>
        <v>47000</v>
      </c>
      <c r="D137" s="908">
        <f t="shared" si="32"/>
        <v>0</v>
      </c>
      <c r="E137" s="911">
        <v>0</v>
      </c>
      <c r="F137" s="911">
        <v>0</v>
      </c>
      <c r="G137" s="912">
        <v>0</v>
      </c>
      <c r="H137" s="911">
        <v>0</v>
      </c>
      <c r="I137" s="911">
        <v>0</v>
      </c>
      <c r="J137" s="911">
        <v>0</v>
      </c>
      <c r="K137" s="910">
        <v>0</v>
      </c>
      <c r="L137" s="911">
        <v>0</v>
      </c>
      <c r="M137" s="910">
        <v>0</v>
      </c>
      <c r="N137" s="911">
        <v>0</v>
      </c>
      <c r="O137" s="911">
        <v>0</v>
      </c>
      <c r="P137" s="911">
        <v>0</v>
      </c>
      <c r="Q137" s="911">
        <v>0</v>
      </c>
      <c r="R137" s="911">
        <v>0</v>
      </c>
      <c r="S137" s="911">
        <v>0</v>
      </c>
      <c r="T137" s="911">
        <v>0</v>
      </c>
      <c r="U137" s="908">
        <v>0</v>
      </c>
      <c r="V137" s="908">
        <v>0</v>
      </c>
      <c r="W137" s="909">
        <v>0</v>
      </c>
      <c r="X137" s="909">
        <v>0</v>
      </c>
      <c r="Y137" s="908">
        <v>0</v>
      </c>
      <c r="Z137" s="909">
        <v>47000</v>
      </c>
      <c r="AA137" s="909">
        <v>0</v>
      </c>
    </row>
    <row r="138" spans="1:27" s="867" customFormat="1" ht="91.15" customHeight="1">
      <c r="A138" s="927">
        <v>106</v>
      </c>
      <c r="B138" s="907" t="s">
        <v>2116</v>
      </c>
      <c r="C138" s="908">
        <f t="shared" si="31"/>
        <v>62000</v>
      </c>
      <c r="D138" s="908">
        <f t="shared" si="32"/>
        <v>0</v>
      </c>
      <c r="E138" s="911">
        <v>0</v>
      </c>
      <c r="F138" s="911">
        <v>0</v>
      </c>
      <c r="G138" s="911">
        <v>0</v>
      </c>
      <c r="H138" s="911">
        <v>0</v>
      </c>
      <c r="I138" s="911">
        <v>0</v>
      </c>
      <c r="J138" s="911">
        <v>0</v>
      </c>
      <c r="K138" s="910">
        <v>0</v>
      </c>
      <c r="L138" s="911">
        <v>0</v>
      </c>
      <c r="M138" s="910">
        <v>0</v>
      </c>
      <c r="N138" s="911">
        <v>0</v>
      </c>
      <c r="O138" s="911">
        <v>0</v>
      </c>
      <c r="P138" s="911">
        <v>0</v>
      </c>
      <c r="Q138" s="911">
        <v>0</v>
      </c>
      <c r="R138" s="911">
        <v>0</v>
      </c>
      <c r="S138" s="911">
        <v>0</v>
      </c>
      <c r="T138" s="911">
        <v>0</v>
      </c>
      <c r="U138" s="908">
        <v>0</v>
      </c>
      <c r="V138" s="908">
        <v>0</v>
      </c>
      <c r="W138" s="909">
        <v>0</v>
      </c>
      <c r="X138" s="909">
        <v>0</v>
      </c>
      <c r="Y138" s="908">
        <v>0</v>
      </c>
      <c r="Z138" s="909">
        <v>62000</v>
      </c>
      <c r="AA138" s="909">
        <v>0</v>
      </c>
    </row>
    <row r="139" spans="1:27" s="867" customFormat="1" ht="91.15" customHeight="1">
      <c r="A139" s="927">
        <v>107</v>
      </c>
      <c r="B139" s="907" t="s">
        <v>1136</v>
      </c>
      <c r="C139" s="908">
        <f t="shared" si="31"/>
        <v>914733</v>
      </c>
      <c r="D139" s="908">
        <f t="shared" si="30"/>
        <v>0</v>
      </c>
      <c r="E139" s="911">
        <v>0</v>
      </c>
      <c r="F139" s="911">
        <v>0</v>
      </c>
      <c r="G139" s="913" t="s">
        <v>1041</v>
      </c>
      <c r="H139" s="911">
        <v>0</v>
      </c>
      <c r="I139" s="911">
        <v>0</v>
      </c>
      <c r="J139" s="911">
        <v>0</v>
      </c>
      <c r="K139" s="910">
        <v>0</v>
      </c>
      <c r="L139" s="911">
        <v>0</v>
      </c>
      <c r="M139" s="910">
        <v>0</v>
      </c>
      <c r="N139" s="911">
        <v>0</v>
      </c>
      <c r="O139" s="911">
        <v>621</v>
      </c>
      <c r="P139" s="911">
        <v>914733</v>
      </c>
      <c r="Q139" s="911">
        <v>0</v>
      </c>
      <c r="R139" s="911">
        <v>0</v>
      </c>
      <c r="S139" s="911">
        <v>0</v>
      </c>
      <c r="T139" s="911">
        <v>0</v>
      </c>
      <c r="U139" s="908">
        <v>0</v>
      </c>
      <c r="V139" s="908">
        <v>0</v>
      </c>
      <c r="W139" s="909">
        <v>0</v>
      </c>
      <c r="X139" s="909">
        <v>0</v>
      </c>
      <c r="Y139" s="908">
        <v>0</v>
      </c>
      <c r="Z139" s="909">
        <v>0</v>
      </c>
      <c r="AA139" s="909">
        <v>0</v>
      </c>
    </row>
    <row r="140" spans="1:27" s="867" customFormat="1" ht="86.45" customHeight="1">
      <c r="A140" s="927">
        <v>108</v>
      </c>
      <c r="B140" s="907" t="s">
        <v>1307</v>
      </c>
      <c r="C140" s="908">
        <f t="shared" si="31"/>
        <v>207495</v>
      </c>
      <c r="D140" s="908">
        <f t="shared" si="30"/>
        <v>0</v>
      </c>
      <c r="E140" s="911">
        <v>0</v>
      </c>
      <c r="F140" s="911">
        <v>0</v>
      </c>
      <c r="G140" s="911">
        <v>0</v>
      </c>
      <c r="H140" s="911">
        <v>0</v>
      </c>
      <c r="I140" s="911">
        <v>0</v>
      </c>
      <c r="J140" s="911">
        <v>0</v>
      </c>
      <c r="K140" s="910">
        <v>0</v>
      </c>
      <c r="L140" s="911">
        <v>0</v>
      </c>
      <c r="M140" s="910">
        <v>0</v>
      </c>
      <c r="N140" s="911">
        <v>0</v>
      </c>
      <c r="O140" s="911">
        <v>0</v>
      </c>
      <c r="P140" s="911">
        <v>0</v>
      </c>
      <c r="Q140" s="911">
        <v>0</v>
      </c>
      <c r="R140" s="911">
        <v>0</v>
      </c>
      <c r="S140" s="911">
        <v>0</v>
      </c>
      <c r="T140" s="911">
        <v>0</v>
      </c>
      <c r="U140" s="908">
        <v>0</v>
      </c>
      <c r="V140" s="908">
        <v>0</v>
      </c>
      <c r="W140" s="909">
        <v>143.1</v>
      </c>
      <c r="X140" s="909">
        <v>207495</v>
      </c>
      <c r="Y140" s="908">
        <v>0</v>
      </c>
      <c r="Z140" s="909">
        <v>0</v>
      </c>
      <c r="AA140" s="909">
        <v>0</v>
      </c>
    </row>
    <row r="141" spans="1:27" s="867" customFormat="1" ht="126.6" customHeight="1">
      <c r="A141" s="1198" t="s">
        <v>1250</v>
      </c>
      <c r="B141" s="1199"/>
      <c r="C141" s="925">
        <f t="shared" si="17"/>
        <v>61066312.700000003</v>
      </c>
      <c r="D141" s="925">
        <f t="shared" si="18"/>
        <v>3144257.33</v>
      </c>
      <c r="E141" s="925">
        <f t="shared" ref="E141:AA141" si="33">SUM(E142:E150)</f>
        <v>3144257.33</v>
      </c>
      <c r="F141" s="925">
        <f t="shared" si="33"/>
        <v>0</v>
      </c>
      <c r="G141" s="925">
        <f t="shared" si="33"/>
        <v>0</v>
      </c>
      <c r="H141" s="925">
        <f t="shared" si="33"/>
        <v>0</v>
      </c>
      <c r="I141" s="925">
        <f t="shared" si="33"/>
        <v>0</v>
      </c>
      <c r="J141" s="925">
        <f t="shared" si="33"/>
        <v>0</v>
      </c>
      <c r="K141" s="861">
        <f t="shared" si="33"/>
        <v>0</v>
      </c>
      <c r="L141" s="925">
        <f t="shared" si="33"/>
        <v>0</v>
      </c>
      <c r="M141" s="925">
        <f t="shared" si="33"/>
        <v>0</v>
      </c>
      <c r="N141" s="925">
        <f t="shared" si="33"/>
        <v>0</v>
      </c>
      <c r="O141" s="925">
        <f t="shared" si="33"/>
        <v>8900.1999999999989</v>
      </c>
      <c r="P141" s="925">
        <f t="shared" si="33"/>
        <v>43807911.160000004</v>
      </c>
      <c r="Q141" s="925">
        <f t="shared" si="33"/>
        <v>0</v>
      </c>
      <c r="R141" s="925">
        <f t="shared" si="33"/>
        <v>0</v>
      </c>
      <c r="S141" s="925">
        <f t="shared" si="33"/>
        <v>2451.6999999999998</v>
      </c>
      <c r="T141" s="925">
        <f t="shared" si="33"/>
        <v>9678603.0600000005</v>
      </c>
      <c r="U141" s="925">
        <f t="shared" si="33"/>
        <v>0</v>
      </c>
      <c r="V141" s="925">
        <f t="shared" si="33"/>
        <v>0</v>
      </c>
      <c r="W141" s="925">
        <f t="shared" si="33"/>
        <v>0</v>
      </c>
      <c r="X141" s="925">
        <f t="shared" si="33"/>
        <v>0</v>
      </c>
      <c r="Y141" s="925">
        <f t="shared" si="33"/>
        <v>0</v>
      </c>
      <c r="Z141" s="921">
        <f t="shared" si="33"/>
        <v>4435541.1500000004</v>
      </c>
      <c r="AA141" s="925">
        <f t="shared" si="33"/>
        <v>0</v>
      </c>
    </row>
    <row r="142" spans="1:27" s="867" customFormat="1" ht="94.9" customHeight="1">
      <c r="A142" s="927">
        <v>109</v>
      </c>
      <c r="B142" s="868" t="s">
        <v>2149</v>
      </c>
      <c r="C142" s="925">
        <f t="shared" si="17"/>
        <v>2997228.0300000003</v>
      </c>
      <c r="D142" s="925">
        <f t="shared" si="18"/>
        <v>0</v>
      </c>
      <c r="E142" s="925">
        <v>0</v>
      </c>
      <c r="F142" s="925">
        <v>0</v>
      </c>
      <c r="G142" s="925">
        <v>0</v>
      </c>
      <c r="H142" s="925">
        <v>0</v>
      </c>
      <c r="I142" s="925">
        <v>0</v>
      </c>
      <c r="J142" s="925">
        <v>0</v>
      </c>
      <c r="K142" s="861">
        <v>0</v>
      </c>
      <c r="L142" s="925">
        <v>0</v>
      </c>
      <c r="M142" s="925">
        <v>0</v>
      </c>
      <c r="N142" s="925">
        <v>0</v>
      </c>
      <c r="O142" s="925">
        <v>564.70000000000005</v>
      </c>
      <c r="P142" s="925">
        <v>2779524.89</v>
      </c>
      <c r="Q142" s="925">
        <v>0</v>
      </c>
      <c r="R142" s="925">
        <v>0</v>
      </c>
      <c r="S142" s="925">
        <v>0</v>
      </c>
      <c r="T142" s="925">
        <v>0</v>
      </c>
      <c r="U142" s="925">
        <v>0</v>
      </c>
      <c r="V142" s="925">
        <v>0</v>
      </c>
      <c r="W142" s="925">
        <v>0</v>
      </c>
      <c r="X142" s="925">
        <v>0</v>
      </c>
      <c r="Y142" s="925">
        <v>0</v>
      </c>
      <c r="Z142" s="921">
        <v>217703.14</v>
      </c>
      <c r="AA142" s="925">
        <v>0</v>
      </c>
    </row>
    <row r="143" spans="1:27" s="867" customFormat="1" ht="104.25" customHeight="1">
      <c r="A143" s="927">
        <v>110</v>
      </c>
      <c r="B143" s="868" t="s">
        <v>1281</v>
      </c>
      <c r="C143" s="925">
        <f t="shared" si="17"/>
        <v>3233418.31</v>
      </c>
      <c r="D143" s="925">
        <f t="shared" si="18"/>
        <v>0</v>
      </c>
      <c r="E143" s="925">
        <v>0</v>
      </c>
      <c r="F143" s="925">
        <v>0</v>
      </c>
      <c r="G143" s="925">
        <v>0</v>
      </c>
      <c r="H143" s="925">
        <v>0</v>
      </c>
      <c r="I143" s="925">
        <v>0</v>
      </c>
      <c r="J143" s="925">
        <v>0</v>
      </c>
      <c r="K143" s="861">
        <v>0</v>
      </c>
      <c r="L143" s="925">
        <v>0</v>
      </c>
      <c r="M143" s="925">
        <v>0</v>
      </c>
      <c r="N143" s="925">
        <v>0</v>
      </c>
      <c r="O143" s="925">
        <v>609.20000000000005</v>
      </c>
      <c r="P143" s="925">
        <v>2998559.52</v>
      </c>
      <c r="Q143" s="925">
        <v>0</v>
      </c>
      <c r="R143" s="925">
        <v>0</v>
      </c>
      <c r="S143" s="925">
        <v>0</v>
      </c>
      <c r="T143" s="925">
        <v>0</v>
      </c>
      <c r="U143" s="925">
        <v>0</v>
      </c>
      <c r="V143" s="925">
        <v>0</v>
      </c>
      <c r="W143" s="925">
        <v>0</v>
      </c>
      <c r="X143" s="925">
        <v>0</v>
      </c>
      <c r="Y143" s="925">
        <v>0</v>
      </c>
      <c r="Z143" s="921">
        <v>234858.79</v>
      </c>
      <c r="AA143" s="925">
        <v>0</v>
      </c>
    </row>
    <row r="144" spans="1:27" s="867" customFormat="1" ht="99.6" customHeight="1">
      <c r="A144" s="927">
        <v>111</v>
      </c>
      <c r="B144" s="868" t="s">
        <v>2150</v>
      </c>
      <c r="C144" s="925">
        <f t="shared" si="17"/>
        <v>11676822.52</v>
      </c>
      <c r="D144" s="925">
        <f t="shared" si="18"/>
        <v>0</v>
      </c>
      <c r="E144" s="925">
        <v>0</v>
      </c>
      <c r="F144" s="925">
        <v>0</v>
      </c>
      <c r="G144" s="925">
        <v>0</v>
      </c>
      <c r="H144" s="925">
        <v>0</v>
      </c>
      <c r="I144" s="925">
        <v>0</v>
      </c>
      <c r="J144" s="925">
        <v>0</v>
      </c>
      <c r="K144" s="861">
        <v>0</v>
      </c>
      <c r="L144" s="925">
        <v>0</v>
      </c>
      <c r="M144" s="925">
        <v>0</v>
      </c>
      <c r="N144" s="925">
        <v>0</v>
      </c>
      <c r="O144" s="925">
        <v>2200</v>
      </c>
      <c r="P144" s="925">
        <v>10828678.52</v>
      </c>
      <c r="Q144" s="925">
        <v>0</v>
      </c>
      <c r="R144" s="925">
        <v>0</v>
      </c>
      <c r="S144" s="925">
        <v>0</v>
      </c>
      <c r="T144" s="925">
        <v>0</v>
      </c>
      <c r="U144" s="925">
        <v>0</v>
      </c>
      <c r="V144" s="925">
        <v>0</v>
      </c>
      <c r="W144" s="925">
        <v>0</v>
      </c>
      <c r="X144" s="925">
        <v>0</v>
      </c>
      <c r="Y144" s="925">
        <v>0</v>
      </c>
      <c r="Z144" s="921">
        <v>848144</v>
      </c>
      <c r="AA144" s="925">
        <v>0</v>
      </c>
    </row>
    <row r="145" spans="1:27" s="867" customFormat="1" ht="91.15" customHeight="1">
      <c r="A145" s="927">
        <v>112</v>
      </c>
      <c r="B145" s="868" t="s">
        <v>1282</v>
      </c>
      <c r="C145" s="925">
        <f t="shared" si="17"/>
        <v>11092981.390000001</v>
      </c>
      <c r="D145" s="925">
        <f t="shared" si="18"/>
        <v>0</v>
      </c>
      <c r="E145" s="925">
        <v>0</v>
      </c>
      <c r="F145" s="925">
        <v>0</v>
      </c>
      <c r="G145" s="925">
        <v>0</v>
      </c>
      <c r="H145" s="925">
        <v>0</v>
      </c>
      <c r="I145" s="925">
        <v>0</v>
      </c>
      <c r="J145" s="925">
        <v>0</v>
      </c>
      <c r="K145" s="861">
        <v>0</v>
      </c>
      <c r="L145" s="925">
        <v>0</v>
      </c>
      <c r="M145" s="925">
        <v>0</v>
      </c>
      <c r="N145" s="925">
        <v>0</v>
      </c>
      <c r="O145" s="925">
        <v>2090</v>
      </c>
      <c r="P145" s="925">
        <v>10287244.59</v>
      </c>
      <c r="Q145" s="925">
        <v>0</v>
      </c>
      <c r="R145" s="925">
        <v>0</v>
      </c>
      <c r="S145" s="925">
        <v>0</v>
      </c>
      <c r="T145" s="925">
        <v>0</v>
      </c>
      <c r="U145" s="925">
        <v>0</v>
      </c>
      <c r="V145" s="925">
        <v>0</v>
      </c>
      <c r="W145" s="925">
        <v>0</v>
      </c>
      <c r="X145" s="925">
        <v>0</v>
      </c>
      <c r="Y145" s="925">
        <v>0</v>
      </c>
      <c r="Z145" s="921">
        <v>805736.8</v>
      </c>
      <c r="AA145" s="925">
        <v>0</v>
      </c>
    </row>
    <row r="146" spans="1:27" s="867" customFormat="1" ht="92.45" customHeight="1">
      <c r="A146" s="927">
        <v>113</v>
      </c>
      <c r="B146" s="868" t="s">
        <v>1283</v>
      </c>
      <c r="C146" s="925">
        <f t="shared" si="17"/>
        <v>10084528.539999999</v>
      </c>
      <c r="D146" s="925">
        <f t="shared" si="18"/>
        <v>0</v>
      </c>
      <c r="E146" s="925">
        <v>0</v>
      </c>
      <c r="F146" s="925">
        <v>0</v>
      </c>
      <c r="G146" s="925">
        <v>0</v>
      </c>
      <c r="H146" s="925">
        <v>0</v>
      </c>
      <c r="I146" s="925">
        <v>0</v>
      </c>
      <c r="J146" s="925">
        <v>0</v>
      </c>
      <c r="K146" s="861">
        <v>0</v>
      </c>
      <c r="L146" s="925">
        <v>0</v>
      </c>
      <c r="M146" s="925">
        <v>0</v>
      </c>
      <c r="N146" s="925">
        <v>0</v>
      </c>
      <c r="O146" s="925">
        <v>1900</v>
      </c>
      <c r="P146" s="925">
        <v>9352040.5399999991</v>
      </c>
      <c r="Q146" s="925">
        <v>0</v>
      </c>
      <c r="R146" s="925">
        <v>0</v>
      </c>
      <c r="S146" s="925">
        <v>0</v>
      </c>
      <c r="T146" s="925">
        <v>0</v>
      </c>
      <c r="U146" s="925">
        <v>0</v>
      </c>
      <c r="V146" s="925">
        <v>0</v>
      </c>
      <c r="W146" s="925">
        <v>0</v>
      </c>
      <c r="X146" s="925">
        <v>0</v>
      </c>
      <c r="Y146" s="925">
        <v>0</v>
      </c>
      <c r="Z146" s="921">
        <v>732488</v>
      </c>
      <c r="AA146" s="925">
        <v>0</v>
      </c>
    </row>
    <row r="147" spans="1:27" s="867" customFormat="1" ht="104.45" customHeight="1">
      <c r="A147" s="927">
        <v>114</v>
      </c>
      <c r="B147" s="868" t="s">
        <v>2151</v>
      </c>
      <c r="C147" s="925">
        <f t="shared" si="17"/>
        <v>10436668.700000001</v>
      </c>
      <c r="D147" s="925">
        <f t="shared" si="18"/>
        <v>0</v>
      </c>
      <c r="E147" s="925">
        <v>0</v>
      </c>
      <c r="F147" s="925">
        <v>0</v>
      </c>
      <c r="G147" s="925">
        <v>0</v>
      </c>
      <c r="H147" s="925">
        <v>0</v>
      </c>
      <c r="I147" s="925">
        <v>0</v>
      </c>
      <c r="J147" s="925">
        <v>0</v>
      </c>
      <c r="K147" s="861">
        <v>0</v>
      </c>
      <c r="L147" s="925">
        <v>0</v>
      </c>
      <c r="M147" s="925">
        <v>0</v>
      </c>
      <c r="N147" s="925">
        <v>0</v>
      </c>
      <c r="O147" s="925">
        <v>0</v>
      </c>
      <c r="P147" s="925">
        <v>0</v>
      </c>
      <c r="Q147" s="925">
        <v>0</v>
      </c>
      <c r="R147" s="925">
        <v>0</v>
      </c>
      <c r="S147" s="925">
        <v>2451.6999999999998</v>
      </c>
      <c r="T147" s="925">
        <v>9678603.0600000005</v>
      </c>
      <c r="U147" s="925">
        <v>0</v>
      </c>
      <c r="V147" s="925">
        <v>0</v>
      </c>
      <c r="W147" s="925">
        <v>0</v>
      </c>
      <c r="X147" s="925">
        <v>0</v>
      </c>
      <c r="Y147" s="925">
        <v>0</v>
      </c>
      <c r="Z147" s="921">
        <v>758065.64</v>
      </c>
      <c r="AA147" s="925">
        <v>0</v>
      </c>
    </row>
    <row r="148" spans="1:27" s="867" customFormat="1" ht="104.45" customHeight="1">
      <c r="A148" s="927">
        <v>115</v>
      </c>
      <c r="B148" s="868" t="s">
        <v>1284</v>
      </c>
      <c r="C148" s="925">
        <f t="shared" si="17"/>
        <v>3426085.8800000004</v>
      </c>
      <c r="D148" s="925">
        <f t="shared" si="18"/>
        <v>0</v>
      </c>
      <c r="E148" s="925">
        <v>0</v>
      </c>
      <c r="F148" s="925">
        <v>0</v>
      </c>
      <c r="G148" s="925">
        <v>0</v>
      </c>
      <c r="H148" s="925">
        <v>0</v>
      </c>
      <c r="I148" s="925">
        <v>0</v>
      </c>
      <c r="J148" s="925">
        <v>0</v>
      </c>
      <c r="K148" s="861">
        <v>0</v>
      </c>
      <c r="L148" s="925">
        <v>0</v>
      </c>
      <c r="M148" s="925">
        <v>0</v>
      </c>
      <c r="N148" s="925">
        <v>0</v>
      </c>
      <c r="O148" s="925">
        <v>645.5</v>
      </c>
      <c r="P148" s="925">
        <v>3177232.72</v>
      </c>
      <c r="Q148" s="925">
        <v>0</v>
      </c>
      <c r="R148" s="925">
        <v>0</v>
      </c>
      <c r="S148" s="925">
        <v>0</v>
      </c>
      <c r="T148" s="925">
        <v>0</v>
      </c>
      <c r="U148" s="925">
        <v>0</v>
      </c>
      <c r="V148" s="925">
        <v>0</v>
      </c>
      <c r="W148" s="925">
        <v>0</v>
      </c>
      <c r="X148" s="925">
        <v>0</v>
      </c>
      <c r="Y148" s="925">
        <v>0</v>
      </c>
      <c r="Z148" s="921">
        <v>248853.16</v>
      </c>
      <c r="AA148" s="925"/>
    </row>
    <row r="149" spans="1:27" s="867" customFormat="1" ht="87.6" customHeight="1">
      <c r="A149" s="927">
        <v>116</v>
      </c>
      <c r="B149" s="868" t="s">
        <v>1078</v>
      </c>
      <c r="C149" s="925">
        <f t="shared" si="17"/>
        <v>3390527.73</v>
      </c>
      <c r="D149" s="925">
        <f t="shared" si="18"/>
        <v>3144257.33</v>
      </c>
      <c r="E149" s="925">
        <v>3144257.33</v>
      </c>
      <c r="F149" s="925">
        <v>0</v>
      </c>
      <c r="G149" s="925">
        <v>0</v>
      </c>
      <c r="H149" s="925">
        <v>0</v>
      </c>
      <c r="I149" s="925">
        <v>0</v>
      </c>
      <c r="J149" s="925">
        <v>0</v>
      </c>
      <c r="K149" s="861">
        <v>0</v>
      </c>
      <c r="L149" s="925">
        <v>0</v>
      </c>
      <c r="M149" s="925">
        <v>0</v>
      </c>
      <c r="N149" s="925">
        <v>0</v>
      </c>
      <c r="O149" s="925">
        <v>0</v>
      </c>
      <c r="P149" s="925">
        <v>0</v>
      </c>
      <c r="Q149" s="925">
        <v>0</v>
      </c>
      <c r="R149" s="925">
        <v>0</v>
      </c>
      <c r="S149" s="925">
        <v>0</v>
      </c>
      <c r="T149" s="925">
        <v>0</v>
      </c>
      <c r="U149" s="925">
        <v>0</v>
      </c>
      <c r="V149" s="925">
        <v>0</v>
      </c>
      <c r="W149" s="925">
        <v>0</v>
      </c>
      <c r="X149" s="925">
        <v>0</v>
      </c>
      <c r="Y149" s="925">
        <v>0</v>
      </c>
      <c r="Z149" s="921">
        <v>246270.4</v>
      </c>
      <c r="AA149" s="925">
        <v>0</v>
      </c>
    </row>
    <row r="150" spans="1:27" s="867" customFormat="1" ht="91.15" customHeight="1">
      <c r="A150" s="927">
        <v>117</v>
      </c>
      <c r="B150" s="868" t="s">
        <v>1285</v>
      </c>
      <c r="C150" s="925">
        <f t="shared" si="17"/>
        <v>4728051.5999999996</v>
      </c>
      <c r="D150" s="925">
        <f t="shared" si="18"/>
        <v>0</v>
      </c>
      <c r="E150" s="925">
        <v>0</v>
      </c>
      <c r="F150" s="925">
        <v>0</v>
      </c>
      <c r="G150" s="925">
        <v>0</v>
      </c>
      <c r="H150" s="925">
        <v>0</v>
      </c>
      <c r="I150" s="925">
        <v>0</v>
      </c>
      <c r="J150" s="925">
        <v>0</v>
      </c>
      <c r="K150" s="861">
        <v>0</v>
      </c>
      <c r="L150" s="925">
        <v>0</v>
      </c>
      <c r="M150" s="925">
        <v>0</v>
      </c>
      <c r="N150" s="925">
        <v>0</v>
      </c>
      <c r="O150" s="925">
        <v>890.8</v>
      </c>
      <c r="P150" s="925">
        <v>4384630.38</v>
      </c>
      <c r="Q150" s="925">
        <v>0</v>
      </c>
      <c r="R150" s="925">
        <v>0</v>
      </c>
      <c r="S150" s="925">
        <v>0</v>
      </c>
      <c r="T150" s="925">
        <v>0</v>
      </c>
      <c r="U150" s="925">
        <v>0</v>
      </c>
      <c r="V150" s="925">
        <v>0</v>
      </c>
      <c r="W150" s="925">
        <v>0</v>
      </c>
      <c r="X150" s="925">
        <v>0</v>
      </c>
      <c r="Y150" s="925">
        <v>0</v>
      </c>
      <c r="Z150" s="921">
        <v>343421.22</v>
      </c>
      <c r="AA150" s="925">
        <v>0</v>
      </c>
    </row>
    <row r="151" spans="1:27" s="867" customFormat="1" ht="100.15" customHeight="1">
      <c r="A151" s="1198" t="s">
        <v>1186</v>
      </c>
      <c r="B151" s="1199"/>
      <c r="C151" s="925">
        <f t="shared" si="17"/>
        <v>69267012.789999992</v>
      </c>
      <c r="D151" s="925">
        <f t="shared" si="18"/>
        <v>0</v>
      </c>
      <c r="E151" s="925">
        <f t="shared" ref="E151:AA151" si="34">SUM(E152:E163)</f>
        <v>0</v>
      </c>
      <c r="F151" s="925">
        <f t="shared" si="34"/>
        <v>0</v>
      </c>
      <c r="G151" s="925">
        <f t="shared" si="34"/>
        <v>0</v>
      </c>
      <c r="H151" s="925">
        <f t="shared" si="34"/>
        <v>0</v>
      </c>
      <c r="I151" s="925">
        <f t="shared" si="34"/>
        <v>0</v>
      </c>
      <c r="J151" s="925">
        <f t="shared" si="34"/>
        <v>0</v>
      </c>
      <c r="K151" s="861">
        <f t="shared" si="34"/>
        <v>0</v>
      </c>
      <c r="L151" s="925">
        <f t="shared" si="34"/>
        <v>0</v>
      </c>
      <c r="M151" s="925">
        <f t="shared" si="34"/>
        <v>4</v>
      </c>
      <c r="N151" s="925">
        <f>SUM(N152:N163)</f>
        <v>11352211.389999999</v>
      </c>
      <c r="O151" s="925">
        <f t="shared" si="34"/>
        <v>5023.1600000000008</v>
      </c>
      <c r="P151" s="925">
        <f t="shared" si="34"/>
        <v>33279270.989999998</v>
      </c>
      <c r="Q151" s="925">
        <f t="shared" si="34"/>
        <v>0</v>
      </c>
      <c r="R151" s="925">
        <f t="shared" si="34"/>
        <v>0</v>
      </c>
      <c r="S151" s="925">
        <f t="shared" si="34"/>
        <v>4966</v>
      </c>
      <c r="T151" s="925">
        <f t="shared" si="34"/>
        <v>19604332.82</v>
      </c>
      <c r="U151" s="925">
        <f t="shared" si="34"/>
        <v>0</v>
      </c>
      <c r="V151" s="925">
        <f t="shared" si="34"/>
        <v>0</v>
      </c>
      <c r="W151" s="925">
        <f t="shared" si="34"/>
        <v>0</v>
      </c>
      <c r="X151" s="925">
        <f t="shared" si="34"/>
        <v>0</v>
      </c>
      <c r="Y151" s="925">
        <f t="shared" si="34"/>
        <v>0</v>
      </c>
      <c r="Z151" s="921">
        <f t="shared" si="34"/>
        <v>5031197.59</v>
      </c>
      <c r="AA151" s="925">
        <f t="shared" si="34"/>
        <v>0</v>
      </c>
    </row>
    <row r="152" spans="1:27" s="870" customFormat="1" ht="107.25" customHeight="1">
      <c r="A152" s="927">
        <v>118</v>
      </c>
      <c r="B152" s="868" t="s">
        <v>1904</v>
      </c>
      <c r="C152" s="925">
        <f t="shared" si="17"/>
        <v>5959675.4000000004</v>
      </c>
      <c r="D152" s="925">
        <f t="shared" si="18"/>
        <v>0</v>
      </c>
      <c r="E152" s="925">
        <v>0</v>
      </c>
      <c r="F152" s="925">
        <v>0</v>
      </c>
      <c r="G152" s="925">
        <v>0</v>
      </c>
      <c r="H152" s="925">
        <v>0</v>
      </c>
      <c r="I152" s="925">
        <v>0</v>
      </c>
      <c r="J152" s="925">
        <v>0</v>
      </c>
      <c r="K152" s="861">
        <v>0</v>
      </c>
      <c r="L152" s="925">
        <v>0</v>
      </c>
      <c r="M152" s="925">
        <v>0</v>
      </c>
      <c r="N152" s="925">
        <v>0</v>
      </c>
      <c r="O152" s="925">
        <v>0</v>
      </c>
      <c r="P152" s="925">
        <v>0</v>
      </c>
      <c r="Q152" s="925">
        <v>0</v>
      </c>
      <c r="R152" s="925">
        <v>0</v>
      </c>
      <c r="S152" s="925">
        <v>1400</v>
      </c>
      <c r="T152" s="929">
        <v>5526795.4000000004</v>
      </c>
      <c r="U152" s="929">
        <v>0</v>
      </c>
      <c r="V152" s="929">
        <v>0</v>
      </c>
      <c r="W152" s="929">
        <v>0</v>
      </c>
      <c r="X152" s="929">
        <v>0</v>
      </c>
      <c r="Y152" s="929">
        <v>0</v>
      </c>
      <c r="Z152" s="864">
        <v>432880</v>
      </c>
      <c r="AA152" s="925">
        <v>0</v>
      </c>
    </row>
    <row r="153" spans="1:27" s="870" customFormat="1" ht="107.25" customHeight="1">
      <c r="A153" s="927">
        <v>119</v>
      </c>
      <c r="B153" s="868" t="s">
        <v>1905</v>
      </c>
      <c r="C153" s="925">
        <f t="shared" si="17"/>
        <v>12650529.509999998</v>
      </c>
      <c r="D153" s="925">
        <f t="shared" si="18"/>
        <v>0</v>
      </c>
      <c r="E153" s="925">
        <v>0</v>
      </c>
      <c r="F153" s="925">
        <v>0</v>
      </c>
      <c r="G153" s="925">
        <v>0</v>
      </c>
      <c r="H153" s="925">
        <v>0</v>
      </c>
      <c r="I153" s="925">
        <v>0</v>
      </c>
      <c r="J153" s="925">
        <v>0</v>
      </c>
      <c r="K153" s="861">
        <v>0</v>
      </c>
      <c r="L153" s="925">
        <v>0</v>
      </c>
      <c r="M153" s="925">
        <v>0</v>
      </c>
      <c r="N153" s="925">
        <v>0</v>
      </c>
      <c r="O153" s="925">
        <v>1007</v>
      </c>
      <c r="P153" s="925">
        <v>8561648.5399999991</v>
      </c>
      <c r="Q153" s="925">
        <v>0</v>
      </c>
      <c r="R153" s="925">
        <v>0</v>
      </c>
      <c r="S153" s="925">
        <v>803</v>
      </c>
      <c r="T153" s="929">
        <v>3170011.93</v>
      </c>
      <c r="U153" s="929">
        <v>0</v>
      </c>
      <c r="V153" s="929">
        <v>0</v>
      </c>
      <c r="W153" s="929">
        <v>0</v>
      </c>
      <c r="X153" s="929">
        <v>0</v>
      </c>
      <c r="Y153" s="929">
        <v>0</v>
      </c>
      <c r="Z153" s="864">
        <v>918869.04</v>
      </c>
      <c r="AA153" s="925">
        <v>0</v>
      </c>
    </row>
    <row r="154" spans="1:27" s="870" customFormat="1" ht="107.25" customHeight="1">
      <c r="A154" s="927">
        <v>120</v>
      </c>
      <c r="B154" s="868" t="s">
        <v>1906</v>
      </c>
      <c r="C154" s="925">
        <f t="shared" ref="C154:C181" si="35">D154+L154+N154+P154+R154+T154+V154+X154+Z154+AA154</f>
        <v>5560290.5800000001</v>
      </c>
      <c r="D154" s="925">
        <f t="shared" ref="D154:D181" si="36">SUM(E154:J154)</f>
        <v>0</v>
      </c>
      <c r="E154" s="925">
        <v>0</v>
      </c>
      <c r="F154" s="925">
        <v>0</v>
      </c>
      <c r="G154" s="925">
        <v>0</v>
      </c>
      <c r="H154" s="925">
        <v>0</v>
      </c>
      <c r="I154" s="925">
        <v>0</v>
      </c>
      <c r="J154" s="925">
        <v>0</v>
      </c>
      <c r="K154" s="861">
        <v>0</v>
      </c>
      <c r="L154" s="925">
        <v>0</v>
      </c>
      <c r="M154" s="925">
        <v>0</v>
      </c>
      <c r="N154" s="925">
        <v>0</v>
      </c>
      <c r="O154" s="925">
        <v>1047.5999999999999</v>
      </c>
      <c r="P154" s="925">
        <v>5156419.83</v>
      </c>
      <c r="Q154" s="925">
        <v>0</v>
      </c>
      <c r="R154" s="925">
        <v>0</v>
      </c>
      <c r="S154" s="925">
        <v>0</v>
      </c>
      <c r="T154" s="929">
        <v>0</v>
      </c>
      <c r="U154" s="929">
        <v>0</v>
      </c>
      <c r="V154" s="929">
        <v>0</v>
      </c>
      <c r="W154" s="929">
        <v>0</v>
      </c>
      <c r="X154" s="929">
        <v>0</v>
      </c>
      <c r="Y154" s="929">
        <v>0</v>
      </c>
      <c r="Z154" s="864">
        <v>403870.75</v>
      </c>
      <c r="AA154" s="925">
        <v>0</v>
      </c>
    </row>
    <row r="155" spans="1:27" s="870" customFormat="1" ht="107.25" customHeight="1">
      <c r="A155" s="927">
        <v>121</v>
      </c>
      <c r="B155" s="868" t="s">
        <v>1907</v>
      </c>
      <c r="C155" s="925">
        <f t="shared" si="35"/>
        <v>6691864.0900000008</v>
      </c>
      <c r="D155" s="925">
        <f t="shared" si="36"/>
        <v>0</v>
      </c>
      <c r="E155" s="925">
        <v>0</v>
      </c>
      <c r="F155" s="925">
        <v>0</v>
      </c>
      <c r="G155" s="925">
        <v>0</v>
      </c>
      <c r="H155" s="925">
        <v>0</v>
      </c>
      <c r="I155" s="925">
        <v>0</v>
      </c>
      <c r="J155" s="925">
        <v>0</v>
      </c>
      <c r="K155" s="861">
        <v>0</v>
      </c>
      <c r="L155" s="925">
        <v>0</v>
      </c>
      <c r="M155" s="925">
        <v>0</v>
      </c>
      <c r="N155" s="925">
        <v>0</v>
      </c>
      <c r="O155" s="925">
        <v>0</v>
      </c>
      <c r="P155" s="925">
        <v>0</v>
      </c>
      <c r="Q155" s="925">
        <v>0</v>
      </c>
      <c r="R155" s="925">
        <v>0</v>
      </c>
      <c r="S155" s="925">
        <v>1572</v>
      </c>
      <c r="T155" s="929">
        <v>6205801.6900000004</v>
      </c>
      <c r="U155" s="929">
        <v>0</v>
      </c>
      <c r="V155" s="929">
        <v>0</v>
      </c>
      <c r="W155" s="929">
        <v>0</v>
      </c>
      <c r="X155" s="929">
        <v>0</v>
      </c>
      <c r="Y155" s="929">
        <v>0</v>
      </c>
      <c r="Z155" s="864">
        <v>486062.4</v>
      </c>
      <c r="AA155" s="925">
        <v>0</v>
      </c>
    </row>
    <row r="156" spans="1:27" s="870" customFormat="1" ht="107.25" customHeight="1">
      <c r="A156" s="927">
        <v>122</v>
      </c>
      <c r="B156" s="868" t="s">
        <v>1908</v>
      </c>
      <c r="C156" s="925">
        <f t="shared" si="35"/>
        <v>6619334.7000000002</v>
      </c>
      <c r="D156" s="925">
        <f t="shared" si="36"/>
        <v>0</v>
      </c>
      <c r="E156" s="925">
        <v>0</v>
      </c>
      <c r="F156" s="925">
        <v>0</v>
      </c>
      <c r="G156" s="925">
        <v>0</v>
      </c>
      <c r="H156" s="925">
        <v>0</v>
      </c>
      <c r="I156" s="925">
        <v>0</v>
      </c>
      <c r="J156" s="925">
        <v>0</v>
      </c>
      <c r="K156" s="861">
        <v>0</v>
      </c>
      <c r="L156" s="925">
        <v>0</v>
      </c>
      <c r="M156" s="925">
        <v>0</v>
      </c>
      <c r="N156" s="925">
        <v>0</v>
      </c>
      <c r="O156" s="925">
        <v>722</v>
      </c>
      <c r="P156" s="925">
        <v>6138540.46</v>
      </c>
      <c r="Q156" s="925">
        <v>0</v>
      </c>
      <c r="R156" s="925">
        <v>0</v>
      </c>
      <c r="S156" s="925">
        <v>0</v>
      </c>
      <c r="T156" s="929">
        <v>0</v>
      </c>
      <c r="U156" s="929">
        <v>0</v>
      </c>
      <c r="V156" s="929">
        <v>0</v>
      </c>
      <c r="W156" s="929">
        <v>0</v>
      </c>
      <c r="X156" s="929">
        <v>0</v>
      </c>
      <c r="Y156" s="929">
        <v>0</v>
      </c>
      <c r="Z156" s="864">
        <v>480794.24</v>
      </c>
      <c r="AA156" s="925">
        <v>0</v>
      </c>
    </row>
    <row r="157" spans="1:27" s="870" customFormat="1" ht="107.25" customHeight="1">
      <c r="A157" s="927">
        <v>123</v>
      </c>
      <c r="B157" s="868" t="s">
        <v>1909</v>
      </c>
      <c r="C157" s="925">
        <f t="shared" si="35"/>
        <v>8417927.5099999998</v>
      </c>
      <c r="D157" s="925">
        <f t="shared" si="36"/>
        <v>0</v>
      </c>
      <c r="E157" s="925">
        <v>0</v>
      </c>
      <c r="F157" s="925">
        <v>0</v>
      </c>
      <c r="G157" s="925">
        <v>0</v>
      </c>
      <c r="H157" s="925">
        <v>0</v>
      </c>
      <c r="I157" s="925">
        <v>0</v>
      </c>
      <c r="J157" s="925">
        <v>0</v>
      </c>
      <c r="K157" s="861">
        <v>0</v>
      </c>
      <c r="L157" s="925">
        <v>0</v>
      </c>
      <c r="M157" s="925">
        <v>0</v>
      </c>
      <c r="N157" s="925">
        <v>0</v>
      </c>
      <c r="O157" s="925">
        <v>1586</v>
      </c>
      <c r="P157" s="925">
        <v>7806492.79</v>
      </c>
      <c r="Q157" s="925">
        <v>0</v>
      </c>
      <c r="R157" s="925">
        <v>0</v>
      </c>
      <c r="S157" s="925">
        <v>0</v>
      </c>
      <c r="T157" s="929">
        <v>0</v>
      </c>
      <c r="U157" s="929">
        <v>0</v>
      </c>
      <c r="V157" s="929">
        <v>0</v>
      </c>
      <c r="W157" s="929">
        <v>0</v>
      </c>
      <c r="X157" s="929">
        <v>0</v>
      </c>
      <c r="Y157" s="929">
        <v>0</v>
      </c>
      <c r="Z157" s="864">
        <v>611434.72</v>
      </c>
      <c r="AA157" s="925">
        <v>0</v>
      </c>
    </row>
    <row r="158" spans="1:27" s="870" customFormat="1" ht="107.25" customHeight="1">
      <c r="A158" s="927">
        <v>124</v>
      </c>
      <c r="B158" s="868" t="s">
        <v>1910</v>
      </c>
      <c r="C158" s="925">
        <f t="shared" si="35"/>
        <v>3333137.57</v>
      </c>
      <c r="D158" s="925">
        <f t="shared" si="36"/>
        <v>0</v>
      </c>
      <c r="E158" s="925">
        <v>0</v>
      </c>
      <c r="F158" s="925">
        <v>0</v>
      </c>
      <c r="G158" s="925">
        <v>0</v>
      </c>
      <c r="H158" s="925">
        <v>0</v>
      </c>
      <c r="I158" s="925">
        <v>0</v>
      </c>
      <c r="J158" s="925">
        <v>0</v>
      </c>
      <c r="K158" s="861">
        <v>0</v>
      </c>
      <c r="L158" s="925">
        <v>0</v>
      </c>
      <c r="M158" s="925">
        <v>0</v>
      </c>
      <c r="N158" s="925">
        <v>0</v>
      </c>
      <c r="O158" s="925">
        <v>363.56</v>
      </c>
      <c r="P158" s="925">
        <v>3091035.69</v>
      </c>
      <c r="Q158" s="925">
        <v>0</v>
      </c>
      <c r="R158" s="925">
        <v>0</v>
      </c>
      <c r="S158" s="925">
        <v>0</v>
      </c>
      <c r="T158" s="929">
        <v>0</v>
      </c>
      <c r="U158" s="929">
        <v>0</v>
      </c>
      <c r="V158" s="929">
        <v>0</v>
      </c>
      <c r="W158" s="929">
        <v>0</v>
      </c>
      <c r="X158" s="929">
        <v>0</v>
      </c>
      <c r="Y158" s="929">
        <v>0</v>
      </c>
      <c r="Z158" s="864">
        <v>242101.88</v>
      </c>
      <c r="AA158" s="925">
        <v>0</v>
      </c>
    </row>
    <row r="159" spans="1:27" s="870" customFormat="1" ht="107.25" customHeight="1">
      <c r="A159" s="927">
        <v>125</v>
      </c>
      <c r="B159" s="868" t="s">
        <v>1777</v>
      </c>
      <c r="C159" s="925">
        <f t="shared" si="35"/>
        <v>3077746.65</v>
      </c>
      <c r="D159" s="925">
        <f t="shared" si="36"/>
        <v>0</v>
      </c>
      <c r="E159" s="925">
        <v>0</v>
      </c>
      <c r="F159" s="925">
        <v>0</v>
      </c>
      <c r="G159" s="925">
        <v>0</v>
      </c>
      <c r="H159" s="925">
        <v>0</v>
      </c>
      <c r="I159" s="925">
        <v>0</v>
      </c>
      <c r="J159" s="925">
        <v>0</v>
      </c>
      <c r="K159" s="861">
        <v>0</v>
      </c>
      <c r="L159" s="925">
        <v>0</v>
      </c>
      <c r="M159" s="925">
        <v>0</v>
      </c>
      <c r="N159" s="925">
        <v>0</v>
      </c>
      <c r="O159" s="925">
        <v>0</v>
      </c>
      <c r="P159" s="926">
        <v>0</v>
      </c>
      <c r="Q159" s="925">
        <v>0</v>
      </c>
      <c r="R159" s="925">
        <v>0</v>
      </c>
      <c r="S159" s="925">
        <v>723</v>
      </c>
      <c r="T159" s="925">
        <v>2854195.05</v>
      </c>
      <c r="U159" s="929">
        <v>0</v>
      </c>
      <c r="V159" s="929">
        <v>0</v>
      </c>
      <c r="W159" s="929">
        <v>0</v>
      </c>
      <c r="X159" s="929">
        <v>0</v>
      </c>
      <c r="Y159" s="929">
        <v>0</v>
      </c>
      <c r="Z159" s="864">
        <v>223551.6</v>
      </c>
      <c r="AA159" s="925">
        <v>0</v>
      </c>
    </row>
    <row r="160" spans="1:27" s="870" customFormat="1" ht="107.25" customHeight="1">
      <c r="A160" s="927">
        <v>126</v>
      </c>
      <c r="B160" s="868" t="s">
        <v>1911</v>
      </c>
      <c r="C160" s="925">
        <f t="shared" si="35"/>
        <v>1992234.35</v>
      </c>
      <c r="D160" s="925">
        <f t="shared" si="36"/>
        <v>0</v>
      </c>
      <c r="E160" s="925">
        <v>0</v>
      </c>
      <c r="F160" s="925">
        <v>0</v>
      </c>
      <c r="G160" s="925">
        <v>0</v>
      </c>
      <c r="H160" s="925">
        <v>0</v>
      </c>
      <c r="I160" s="925">
        <v>0</v>
      </c>
      <c r="J160" s="925">
        <v>0</v>
      </c>
      <c r="K160" s="861">
        <v>0</v>
      </c>
      <c r="L160" s="925">
        <v>0</v>
      </c>
      <c r="M160" s="925">
        <v>0</v>
      </c>
      <c r="N160" s="925">
        <v>0</v>
      </c>
      <c r="O160" s="925">
        <v>0</v>
      </c>
      <c r="P160" s="925">
        <v>0</v>
      </c>
      <c r="Q160" s="925">
        <v>0</v>
      </c>
      <c r="R160" s="925">
        <v>0</v>
      </c>
      <c r="S160" s="925">
        <v>468</v>
      </c>
      <c r="T160" s="929">
        <v>1847528.75</v>
      </c>
      <c r="U160" s="929">
        <v>0</v>
      </c>
      <c r="V160" s="929">
        <v>0</v>
      </c>
      <c r="W160" s="929">
        <v>0</v>
      </c>
      <c r="X160" s="929">
        <v>0</v>
      </c>
      <c r="Y160" s="929">
        <v>0</v>
      </c>
      <c r="Z160" s="864">
        <v>144705.60000000001</v>
      </c>
      <c r="AA160" s="925">
        <v>0</v>
      </c>
    </row>
    <row r="161" spans="1:27" s="870" customFormat="1" ht="107.25" customHeight="1">
      <c r="A161" s="927">
        <v>127</v>
      </c>
      <c r="B161" s="868" t="s">
        <v>2102</v>
      </c>
      <c r="C161" s="925">
        <f t="shared" si="35"/>
        <v>2722911.92</v>
      </c>
      <c r="D161" s="925">
        <f t="shared" si="36"/>
        <v>0</v>
      </c>
      <c r="E161" s="925">
        <v>0</v>
      </c>
      <c r="F161" s="925">
        <v>0</v>
      </c>
      <c r="G161" s="925">
        <v>0</v>
      </c>
      <c r="H161" s="925">
        <v>0</v>
      </c>
      <c r="I161" s="925">
        <v>0</v>
      </c>
      <c r="J161" s="925">
        <v>0</v>
      </c>
      <c r="K161" s="861">
        <v>0</v>
      </c>
      <c r="L161" s="925">
        <v>0</v>
      </c>
      <c r="M161" s="925">
        <v>0</v>
      </c>
      <c r="N161" s="925">
        <v>0</v>
      </c>
      <c r="O161" s="925">
        <v>297</v>
      </c>
      <c r="P161" s="925">
        <v>2525133.6800000002</v>
      </c>
      <c r="Q161" s="925">
        <v>0</v>
      </c>
      <c r="R161" s="925">
        <v>0</v>
      </c>
      <c r="S161" s="925">
        <v>0</v>
      </c>
      <c r="T161" s="929">
        <v>0</v>
      </c>
      <c r="U161" s="929">
        <v>0</v>
      </c>
      <c r="V161" s="929">
        <v>0</v>
      </c>
      <c r="W161" s="929">
        <v>0</v>
      </c>
      <c r="X161" s="929">
        <v>0</v>
      </c>
      <c r="Y161" s="929">
        <v>0</v>
      </c>
      <c r="Z161" s="864">
        <v>197778.24</v>
      </c>
      <c r="AA161" s="925">
        <v>0</v>
      </c>
    </row>
    <row r="162" spans="1:27" s="870" customFormat="1" ht="107.25" customHeight="1">
      <c r="A162" s="927">
        <v>128</v>
      </c>
      <c r="B162" s="868" t="s">
        <v>2101</v>
      </c>
      <c r="C162" s="925">
        <f t="shared" si="35"/>
        <v>3060340.13</v>
      </c>
      <c r="D162" s="925">
        <f t="shared" si="36"/>
        <v>0</v>
      </c>
      <c r="E162" s="925">
        <v>0</v>
      </c>
      <c r="F162" s="925">
        <v>0</v>
      </c>
      <c r="G162" s="925">
        <v>0</v>
      </c>
      <c r="H162" s="925">
        <v>0</v>
      </c>
      <c r="I162" s="925">
        <v>0</v>
      </c>
      <c r="J162" s="925">
        <v>0</v>
      </c>
      <c r="K162" s="861">
        <v>0</v>
      </c>
      <c r="L162" s="925">
        <v>0</v>
      </c>
      <c r="M162" s="925">
        <v>1</v>
      </c>
      <c r="N162" s="925">
        <v>2838052.85</v>
      </c>
      <c r="O162" s="925">
        <v>0</v>
      </c>
      <c r="P162" s="925">
        <v>0</v>
      </c>
      <c r="Q162" s="925">
        <v>0</v>
      </c>
      <c r="R162" s="925">
        <v>0</v>
      </c>
      <c r="S162" s="925">
        <v>0</v>
      </c>
      <c r="T162" s="929">
        <v>0</v>
      </c>
      <c r="U162" s="929">
        <v>0</v>
      </c>
      <c r="V162" s="929">
        <v>0</v>
      </c>
      <c r="W162" s="929">
        <v>0</v>
      </c>
      <c r="X162" s="929">
        <v>0</v>
      </c>
      <c r="Y162" s="929">
        <v>0</v>
      </c>
      <c r="Z162" s="864">
        <v>222287.28</v>
      </c>
      <c r="AA162" s="925">
        <v>0</v>
      </c>
    </row>
    <row r="163" spans="1:27" s="867" customFormat="1" ht="107.25" customHeight="1">
      <c r="A163" s="927">
        <v>129</v>
      </c>
      <c r="B163" s="874" t="s">
        <v>1913</v>
      </c>
      <c r="C163" s="925">
        <f t="shared" si="35"/>
        <v>9181020.379999999</v>
      </c>
      <c r="D163" s="925">
        <f t="shared" si="36"/>
        <v>0</v>
      </c>
      <c r="E163" s="925">
        <v>0</v>
      </c>
      <c r="F163" s="925">
        <v>0</v>
      </c>
      <c r="G163" s="925">
        <v>0</v>
      </c>
      <c r="H163" s="925">
        <v>0</v>
      </c>
      <c r="I163" s="925">
        <v>0</v>
      </c>
      <c r="J163" s="925">
        <v>0</v>
      </c>
      <c r="K163" s="861">
        <v>0</v>
      </c>
      <c r="L163" s="925">
        <v>0</v>
      </c>
      <c r="M163" s="925">
        <v>3</v>
      </c>
      <c r="N163" s="925">
        <v>8514158.5399999991</v>
      </c>
      <c r="O163" s="925">
        <v>0</v>
      </c>
      <c r="P163" s="925">
        <v>0</v>
      </c>
      <c r="Q163" s="925">
        <v>0</v>
      </c>
      <c r="R163" s="925">
        <v>0</v>
      </c>
      <c r="S163" s="925">
        <v>0</v>
      </c>
      <c r="T163" s="925">
        <v>0</v>
      </c>
      <c r="U163" s="925">
        <v>0</v>
      </c>
      <c r="V163" s="925">
        <v>0</v>
      </c>
      <c r="W163" s="925">
        <v>0</v>
      </c>
      <c r="X163" s="925">
        <v>0</v>
      </c>
      <c r="Y163" s="925">
        <v>0</v>
      </c>
      <c r="Z163" s="921">
        <v>666861.84</v>
      </c>
      <c r="AA163" s="925">
        <v>0</v>
      </c>
    </row>
    <row r="164" spans="1:27" s="867" customFormat="1" ht="107.25" customHeight="1">
      <c r="A164" s="1198" t="s">
        <v>1794</v>
      </c>
      <c r="B164" s="1199"/>
      <c r="C164" s="925">
        <f t="shared" si="35"/>
        <v>1018891.44</v>
      </c>
      <c r="D164" s="925">
        <f t="shared" si="36"/>
        <v>1018891.44</v>
      </c>
      <c r="E164" s="925">
        <f t="shared" ref="E164:AA164" si="37">E165</f>
        <v>0</v>
      </c>
      <c r="F164" s="925">
        <f t="shared" si="37"/>
        <v>0</v>
      </c>
      <c r="G164" s="925">
        <f t="shared" si="37"/>
        <v>0</v>
      </c>
      <c r="H164" s="925">
        <f t="shared" si="37"/>
        <v>0</v>
      </c>
      <c r="I164" s="925">
        <f t="shared" si="37"/>
        <v>0</v>
      </c>
      <c r="J164" s="925">
        <f t="shared" si="37"/>
        <v>1018891.44</v>
      </c>
      <c r="K164" s="861">
        <f t="shared" si="37"/>
        <v>0</v>
      </c>
      <c r="L164" s="925">
        <f t="shared" si="37"/>
        <v>0</v>
      </c>
      <c r="M164" s="925">
        <f t="shared" si="37"/>
        <v>0</v>
      </c>
      <c r="N164" s="925">
        <f t="shared" si="37"/>
        <v>0</v>
      </c>
      <c r="O164" s="925">
        <f t="shared" si="37"/>
        <v>0</v>
      </c>
      <c r="P164" s="925">
        <f t="shared" si="37"/>
        <v>0</v>
      </c>
      <c r="Q164" s="925">
        <f t="shared" si="37"/>
        <v>0</v>
      </c>
      <c r="R164" s="925">
        <f t="shared" si="37"/>
        <v>0</v>
      </c>
      <c r="S164" s="925">
        <f t="shared" si="37"/>
        <v>0</v>
      </c>
      <c r="T164" s="925">
        <f t="shared" si="37"/>
        <v>0</v>
      </c>
      <c r="U164" s="925">
        <f t="shared" si="37"/>
        <v>0</v>
      </c>
      <c r="V164" s="925">
        <f t="shared" si="37"/>
        <v>0</v>
      </c>
      <c r="W164" s="925">
        <f t="shared" si="37"/>
        <v>0</v>
      </c>
      <c r="X164" s="925">
        <f t="shared" si="37"/>
        <v>0</v>
      </c>
      <c r="Y164" s="925">
        <f t="shared" si="37"/>
        <v>0</v>
      </c>
      <c r="Z164" s="921">
        <f t="shared" si="37"/>
        <v>0</v>
      </c>
      <c r="AA164" s="925">
        <f t="shared" si="37"/>
        <v>0</v>
      </c>
    </row>
    <row r="165" spans="1:27" s="867" customFormat="1" ht="107.25" customHeight="1">
      <c r="A165" s="927">
        <v>130</v>
      </c>
      <c r="B165" s="874" t="s">
        <v>1795</v>
      </c>
      <c r="C165" s="925">
        <f t="shared" si="35"/>
        <v>1018891.44</v>
      </c>
      <c r="D165" s="925">
        <f t="shared" si="36"/>
        <v>1018891.44</v>
      </c>
      <c r="E165" s="925">
        <v>0</v>
      </c>
      <c r="F165" s="925">
        <v>0</v>
      </c>
      <c r="G165" s="925">
        <v>0</v>
      </c>
      <c r="H165" s="925">
        <v>0</v>
      </c>
      <c r="I165" s="925">
        <v>0</v>
      </c>
      <c r="J165" s="925">
        <v>1018891.44</v>
      </c>
      <c r="K165" s="861">
        <v>0</v>
      </c>
      <c r="L165" s="925">
        <v>0</v>
      </c>
      <c r="M165" s="925">
        <v>0</v>
      </c>
      <c r="N165" s="925">
        <v>0</v>
      </c>
      <c r="O165" s="925">
        <v>0</v>
      </c>
      <c r="P165" s="925">
        <v>0</v>
      </c>
      <c r="Q165" s="925">
        <v>0</v>
      </c>
      <c r="R165" s="925">
        <v>0</v>
      </c>
      <c r="S165" s="925">
        <v>0</v>
      </c>
      <c r="T165" s="925">
        <v>0</v>
      </c>
      <c r="U165" s="925">
        <v>0</v>
      </c>
      <c r="V165" s="925">
        <v>0</v>
      </c>
      <c r="W165" s="925">
        <v>0</v>
      </c>
      <c r="X165" s="925">
        <v>0</v>
      </c>
      <c r="Y165" s="925">
        <v>0</v>
      </c>
      <c r="Z165" s="921">
        <v>0</v>
      </c>
      <c r="AA165" s="925">
        <v>0</v>
      </c>
    </row>
    <row r="166" spans="1:27" s="867" customFormat="1" ht="90" customHeight="1">
      <c r="A166" s="1196" t="s">
        <v>1058</v>
      </c>
      <c r="B166" s="1197"/>
      <c r="C166" s="925">
        <f t="shared" si="35"/>
        <v>5884659.4900000002</v>
      </c>
      <c r="D166" s="925">
        <f t="shared" si="36"/>
        <v>0</v>
      </c>
      <c r="E166" s="925">
        <f t="shared" ref="E166:AA166" si="38">E167+E168</f>
        <v>0</v>
      </c>
      <c r="F166" s="925">
        <f t="shared" si="38"/>
        <v>0</v>
      </c>
      <c r="G166" s="925">
        <f t="shared" si="38"/>
        <v>0</v>
      </c>
      <c r="H166" s="925">
        <f t="shared" si="38"/>
        <v>0</v>
      </c>
      <c r="I166" s="925">
        <f t="shared" si="38"/>
        <v>0</v>
      </c>
      <c r="J166" s="925">
        <f t="shared" si="38"/>
        <v>0</v>
      </c>
      <c r="K166" s="861">
        <f t="shared" si="38"/>
        <v>0</v>
      </c>
      <c r="L166" s="925">
        <f t="shared" si="38"/>
        <v>0</v>
      </c>
      <c r="M166" s="925">
        <f t="shared" si="38"/>
        <v>0</v>
      </c>
      <c r="N166" s="925">
        <f t="shared" si="38"/>
        <v>0</v>
      </c>
      <c r="O166" s="925">
        <f t="shared" si="38"/>
        <v>741.12</v>
      </c>
      <c r="P166" s="925">
        <f t="shared" si="38"/>
        <v>5543621.8200000003</v>
      </c>
      <c r="Q166" s="925">
        <f t="shared" si="38"/>
        <v>0</v>
      </c>
      <c r="R166" s="925">
        <f t="shared" si="38"/>
        <v>0</v>
      </c>
      <c r="S166" s="925">
        <f t="shared" si="38"/>
        <v>0</v>
      </c>
      <c r="T166" s="925">
        <f t="shared" si="38"/>
        <v>0</v>
      </c>
      <c r="U166" s="925">
        <v>0</v>
      </c>
      <c r="V166" s="925">
        <v>0</v>
      </c>
      <c r="W166" s="925">
        <f t="shared" si="38"/>
        <v>0</v>
      </c>
      <c r="X166" s="925">
        <f t="shared" si="38"/>
        <v>0</v>
      </c>
      <c r="Y166" s="925">
        <v>0</v>
      </c>
      <c r="Z166" s="921">
        <f t="shared" si="38"/>
        <v>341037.67000000004</v>
      </c>
      <c r="AA166" s="925">
        <f t="shared" si="38"/>
        <v>0</v>
      </c>
    </row>
    <row r="167" spans="1:27" s="867" customFormat="1" ht="94.9" customHeight="1">
      <c r="A167" s="927">
        <v>131</v>
      </c>
      <c r="B167" s="863" t="s">
        <v>1575</v>
      </c>
      <c r="C167" s="925">
        <f t="shared" si="35"/>
        <v>3466624.4299999997</v>
      </c>
      <c r="D167" s="925">
        <f t="shared" si="36"/>
        <v>0</v>
      </c>
      <c r="E167" s="925">
        <v>0</v>
      </c>
      <c r="F167" s="925">
        <v>0</v>
      </c>
      <c r="G167" s="925">
        <v>0</v>
      </c>
      <c r="H167" s="925">
        <v>0</v>
      </c>
      <c r="I167" s="925">
        <v>0</v>
      </c>
      <c r="J167" s="925">
        <v>0</v>
      </c>
      <c r="K167" s="861">
        <v>0</v>
      </c>
      <c r="L167" s="925">
        <v>0</v>
      </c>
      <c r="M167" s="925">
        <v>0</v>
      </c>
      <c r="N167" s="925">
        <v>0</v>
      </c>
      <c r="O167" s="925">
        <v>378.12</v>
      </c>
      <c r="P167" s="925">
        <v>3214826.76</v>
      </c>
      <c r="Q167" s="925">
        <v>0</v>
      </c>
      <c r="R167" s="925">
        <v>0</v>
      </c>
      <c r="S167" s="925">
        <v>0</v>
      </c>
      <c r="T167" s="925">
        <v>0</v>
      </c>
      <c r="U167" s="925">
        <v>0</v>
      </c>
      <c r="V167" s="925">
        <v>0</v>
      </c>
      <c r="W167" s="925">
        <v>0</v>
      </c>
      <c r="X167" s="925">
        <v>0</v>
      </c>
      <c r="Y167" s="925">
        <v>0</v>
      </c>
      <c r="Z167" s="921">
        <v>251797.67</v>
      </c>
      <c r="AA167" s="925">
        <v>0</v>
      </c>
    </row>
    <row r="168" spans="1:27" s="867" customFormat="1" ht="103.15" customHeight="1">
      <c r="A168" s="927">
        <v>132</v>
      </c>
      <c r="B168" s="863" t="s">
        <v>1149</v>
      </c>
      <c r="C168" s="925">
        <f t="shared" si="35"/>
        <v>2418035.06</v>
      </c>
      <c r="D168" s="925">
        <f t="shared" si="36"/>
        <v>0</v>
      </c>
      <c r="E168" s="925">
        <v>0</v>
      </c>
      <c r="F168" s="925">
        <v>0</v>
      </c>
      <c r="G168" s="925">
        <v>0</v>
      </c>
      <c r="H168" s="925">
        <v>0</v>
      </c>
      <c r="I168" s="925">
        <v>0</v>
      </c>
      <c r="J168" s="925">
        <v>0</v>
      </c>
      <c r="K168" s="861">
        <v>0</v>
      </c>
      <c r="L168" s="925">
        <v>0</v>
      </c>
      <c r="M168" s="925">
        <v>0</v>
      </c>
      <c r="N168" s="925">
        <v>0</v>
      </c>
      <c r="O168" s="925">
        <v>363</v>
      </c>
      <c r="P168" s="925">
        <v>2328795.06</v>
      </c>
      <c r="Q168" s="925">
        <v>0</v>
      </c>
      <c r="R168" s="925">
        <v>0</v>
      </c>
      <c r="S168" s="925">
        <v>0</v>
      </c>
      <c r="T168" s="925">
        <v>0</v>
      </c>
      <c r="U168" s="925">
        <v>0</v>
      </c>
      <c r="V168" s="925">
        <v>0</v>
      </c>
      <c r="W168" s="925">
        <v>0</v>
      </c>
      <c r="X168" s="925">
        <v>0</v>
      </c>
      <c r="Y168" s="925">
        <v>0</v>
      </c>
      <c r="Z168" s="921">
        <v>89240</v>
      </c>
      <c r="AA168" s="925">
        <v>0</v>
      </c>
    </row>
    <row r="169" spans="1:27" s="870" customFormat="1" ht="106.9" customHeight="1">
      <c r="A169" s="1198" t="s">
        <v>1187</v>
      </c>
      <c r="B169" s="1199"/>
      <c r="C169" s="925">
        <f t="shared" si="35"/>
        <v>8343447.1799999997</v>
      </c>
      <c r="D169" s="925">
        <f t="shared" si="36"/>
        <v>0</v>
      </c>
      <c r="E169" s="925">
        <f t="shared" ref="E169:AA169" si="39">SUM(E170:E171)</f>
        <v>0</v>
      </c>
      <c r="F169" s="925">
        <f t="shared" si="39"/>
        <v>0</v>
      </c>
      <c r="G169" s="925">
        <f t="shared" si="39"/>
        <v>0</v>
      </c>
      <c r="H169" s="925">
        <f t="shared" si="39"/>
        <v>0</v>
      </c>
      <c r="I169" s="925">
        <f t="shared" si="39"/>
        <v>0</v>
      </c>
      <c r="J169" s="925">
        <f t="shared" si="39"/>
        <v>0</v>
      </c>
      <c r="K169" s="861">
        <f t="shared" si="39"/>
        <v>0</v>
      </c>
      <c r="L169" s="925">
        <f t="shared" si="39"/>
        <v>0</v>
      </c>
      <c r="M169" s="925">
        <f t="shared" si="39"/>
        <v>0</v>
      </c>
      <c r="N169" s="925">
        <f t="shared" si="39"/>
        <v>0</v>
      </c>
      <c r="O169" s="925">
        <f t="shared" si="39"/>
        <v>823</v>
      </c>
      <c r="P169" s="925">
        <f t="shared" si="39"/>
        <v>4050910.19</v>
      </c>
      <c r="Q169" s="925">
        <f t="shared" si="39"/>
        <v>0</v>
      </c>
      <c r="R169" s="925">
        <f t="shared" si="39"/>
        <v>0</v>
      </c>
      <c r="S169" s="925">
        <f t="shared" si="39"/>
        <v>434.12</v>
      </c>
      <c r="T169" s="925">
        <f t="shared" si="39"/>
        <v>1713780.3</v>
      </c>
      <c r="U169" s="925">
        <f t="shared" si="39"/>
        <v>434.12</v>
      </c>
      <c r="V169" s="925">
        <f t="shared" si="39"/>
        <v>1972731.84</v>
      </c>
      <c r="W169" s="925">
        <f t="shared" si="39"/>
        <v>0</v>
      </c>
      <c r="X169" s="925">
        <f t="shared" si="39"/>
        <v>0</v>
      </c>
      <c r="Y169" s="925">
        <f t="shared" si="39"/>
        <v>0</v>
      </c>
      <c r="Z169" s="921">
        <f t="shared" si="39"/>
        <v>606024.85000000009</v>
      </c>
      <c r="AA169" s="925">
        <f t="shared" si="39"/>
        <v>0</v>
      </c>
    </row>
    <row r="170" spans="1:27" s="870" customFormat="1" ht="105" customHeight="1">
      <c r="A170" s="927">
        <v>133</v>
      </c>
      <c r="B170" s="868" t="s">
        <v>2152</v>
      </c>
      <c r="C170" s="925">
        <f t="shared" si="35"/>
        <v>3975254.0300000003</v>
      </c>
      <c r="D170" s="925">
        <f t="shared" si="36"/>
        <v>0</v>
      </c>
      <c r="E170" s="925">
        <v>0</v>
      </c>
      <c r="F170" s="925">
        <v>0</v>
      </c>
      <c r="G170" s="925">
        <v>0</v>
      </c>
      <c r="H170" s="925">
        <v>0</v>
      </c>
      <c r="I170" s="925">
        <v>0</v>
      </c>
      <c r="J170" s="925">
        <v>0</v>
      </c>
      <c r="K170" s="861">
        <v>0</v>
      </c>
      <c r="L170" s="925">
        <v>0</v>
      </c>
      <c r="M170" s="925">
        <v>0</v>
      </c>
      <c r="N170" s="925">
        <v>0</v>
      </c>
      <c r="O170" s="925">
        <v>0</v>
      </c>
      <c r="P170" s="925">
        <v>0</v>
      </c>
      <c r="Q170" s="925">
        <v>0</v>
      </c>
      <c r="R170" s="925">
        <v>0</v>
      </c>
      <c r="S170" s="925">
        <v>434.12</v>
      </c>
      <c r="T170" s="925">
        <v>1713780.3</v>
      </c>
      <c r="U170" s="925">
        <v>434.12</v>
      </c>
      <c r="V170" s="925">
        <v>1972731.84</v>
      </c>
      <c r="W170" s="925">
        <v>0</v>
      </c>
      <c r="X170" s="925">
        <v>0</v>
      </c>
      <c r="Y170" s="925">
        <v>0</v>
      </c>
      <c r="Z170" s="921">
        <v>288741.89</v>
      </c>
      <c r="AA170" s="925">
        <v>0</v>
      </c>
    </row>
    <row r="171" spans="1:27" s="870" customFormat="1" ht="105" customHeight="1">
      <c r="A171" s="927">
        <v>134</v>
      </c>
      <c r="B171" s="868" t="s">
        <v>1405</v>
      </c>
      <c r="C171" s="925">
        <f t="shared" si="35"/>
        <v>4368193.1500000004</v>
      </c>
      <c r="D171" s="925">
        <f t="shared" si="36"/>
        <v>0</v>
      </c>
      <c r="E171" s="925">
        <v>0</v>
      </c>
      <c r="F171" s="925">
        <v>0</v>
      </c>
      <c r="G171" s="925">
        <v>0</v>
      </c>
      <c r="H171" s="925">
        <v>0</v>
      </c>
      <c r="I171" s="925">
        <v>0</v>
      </c>
      <c r="J171" s="925">
        <v>0</v>
      </c>
      <c r="K171" s="861">
        <v>0</v>
      </c>
      <c r="L171" s="925">
        <v>0</v>
      </c>
      <c r="M171" s="925">
        <v>0</v>
      </c>
      <c r="N171" s="925">
        <v>0</v>
      </c>
      <c r="O171" s="925">
        <v>823</v>
      </c>
      <c r="P171" s="925">
        <v>4050910.19</v>
      </c>
      <c r="Q171" s="925">
        <v>0</v>
      </c>
      <c r="R171" s="925">
        <v>0</v>
      </c>
      <c r="S171" s="925">
        <v>0</v>
      </c>
      <c r="T171" s="925">
        <v>0</v>
      </c>
      <c r="U171" s="925">
        <v>0</v>
      </c>
      <c r="V171" s="925">
        <v>0</v>
      </c>
      <c r="W171" s="925">
        <v>0</v>
      </c>
      <c r="X171" s="925">
        <v>0</v>
      </c>
      <c r="Y171" s="925">
        <v>0</v>
      </c>
      <c r="Z171" s="921">
        <v>317282.96000000002</v>
      </c>
      <c r="AA171" s="925">
        <v>0</v>
      </c>
    </row>
    <row r="172" spans="1:27" s="870" customFormat="1" ht="88.5" customHeight="1">
      <c r="A172" s="1198" t="s">
        <v>1176</v>
      </c>
      <c r="B172" s="1199"/>
      <c r="C172" s="925">
        <f t="shared" si="35"/>
        <v>3927134.26</v>
      </c>
      <c r="D172" s="925">
        <f t="shared" si="36"/>
        <v>0</v>
      </c>
      <c r="E172" s="925">
        <f t="shared" ref="E172:AA172" si="40">E173</f>
        <v>0</v>
      </c>
      <c r="F172" s="925">
        <f t="shared" si="40"/>
        <v>0</v>
      </c>
      <c r="G172" s="925">
        <f t="shared" si="40"/>
        <v>0</v>
      </c>
      <c r="H172" s="925">
        <f t="shared" si="40"/>
        <v>0</v>
      </c>
      <c r="I172" s="925">
        <f t="shared" si="40"/>
        <v>0</v>
      </c>
      <c r="J172" s="925">
        <f t="shared" si="40"/>
        <v>0</v>
      </c>
      <c r="K172" s="861">
        <f t="shared" si="40"/>
        <v>0</v>
      </c>
      <c r="L172" s="925">
        <f t="shared" si="40"/>
        <v>0</v>
      </c>
      <c r="M172" s="925">
        <f t="shared" si="40"/>
        <v>0</v>
      </c>
      <c r="N172" s="925">
        <f t="shared" si="40"/>
        <v>0</v>
      </c>
      <c r="O172" s="925">
        <f t="shared" si="40"/>
        <v>492.28</v>
      </c>
      <c r="P172" s="925">
        <f t="shared" si="40"/>
        <v>3641887.54</v>
      </c>
      <c r="Q172" s="925">
        <f t="shared" si="40"/>
        <v>0</v>
      </c>
      <c r="R172" s="925">
        <f t="shared" si="40"/>
        <v>0</v>
      </c>
      <c r="S172" s="925">
        <f t="shared" si="40"/>
        <v>0</v>
      </c>
      <c r="T172" s="925">
        <f t="shared" si="40"/>
        <v>0</v>
      </c>
      <c r="U172" s="925">
        <v>0</v>
      </c>
      <c r="V172" s="925">
        <v>0</v>
      </c>
      <c r="W172" s="925">
        <f t="shared" si="40"/>
        <v>0</v>
      </c>
      <c r="X172" s="925">
        <f t="shared" si="40"/>
        <v>0</v>
      </c>
      <c r="Y172" s="925">
        <f t="shared" si="40"/>
        <v>0</v>
      </c>
      <c r="Z172" s="921">
        <f t="shared" si="40"/>
        <v>285246.71999999997</v>
      </c>
      <c r="AA172" s="925">
        <f t="shared" si="40"/>
        <v>0</v>
      </c>
    </row>
    <row r="173" spans="1:27" s="870" customFormat="1" ht="96" customHeight="1">
      <c r="A173" s="927">
        <v>135</v>
      </c>
      <c r="B173" s="863" t="s">
        <v>1154</v>
      </c>
      <c r="C173" s="925">
        <f t="shared" si="35"/>
        <v>3927134.26</v>
      </c>
      <c r="D173" s="925">
        <f t="shared" si="36"/>
        <v>0</v>
      </c>
      <c r="E173" s="925">
        <v>0</v>
      </c>
      <c r="F173" s="925">
        <v>0</v>
      </c>
      <c r="G173" s="925">
        <v>0</v>
      </c>
      <c r="H173" s="925">
        <v>0</v>
      </c>
      <c r="I173" s="925">
        <v>0</v>
      </c>
      <c r="J173" s="925">
        <v>0</v>
      </c>
      <c r="K173" s="861">
        <v>0</v>
      </c>
      <c r="L173" s="925">
        <v>0</v>
      </c>
      <c r="M173" s="925">
        <v>0</v>
      </c>
      <c r="N173" s="925">
        <v>0</v>
      </c>
      <c r="O173" s="925">
        <v>492.28</v>
      </c>
      <c r="P173" s="925">
        <v>3641887.54</v>
      </c>
      <c r="Q173" s="925">
        <v>0</v>
      </c>
      <c r="R173" s="925">
        <v>0</v>
      </c>
      <c r="S173" s="925">
        <v>0</v>
      </c>
      <c r="T173" s="925">
        <v>0</v>
      </c>
      <c r="U173" s="925">
        <v>0</v>
      </c>
      <c r="V173" s="925">
        <v>0</v>
      </c>
      <c r="W173" s="925">
        <v>0</v>
      </c>
      <c r="X173" s="925">
        <v>0</v>
      </c>
      <c r="Y173" s="925">
        <v>0</v>
      </c>
      <c r="Z173" s="921">
        <v>285246.71999999997</v>
      </c>
      <c r="AA173" s="925">
        <v>0</v>
      </c>
    </row>
    <row r="174" spans="1:27" s="870" customFormat="1" ht="94.9" customHeight="1">
      <c r="A174" s="1198" t="s">
        <v>1068</v>
      </c>
      <c r="B174" s="1199"/>
      <c r="C174" s="925">
        <f t="shared" si="35"/>
        <v>9677432.0499999989</v>
      </c>
      <c r="D174" s="925">
        <f t="shared" si="36"/>
        <v>0</v>
      </c>
      <c r="E174" s="925">
        <f t="shared" ref="E174:AA174" si="41">E175</f>
        <v>0</v>
      </c>
      <c r="F174" s="925">
        <f t="shared" si="41"/>
        <v>0</v>
      </c>
      <c r="G174" s="925">
        <f t="shared" si="41"/>
        <v>0</v>
      </c>
      <c r="H174" s="925">
        <f t="shared" si="41"/>
        <v>0</v>
      </c>
      <c r="I174" s="925">
        <f t="shared" si="41"/>
        <v>0</v>
      </c>
      <c r="J174" s="925">
        <f t="shared" si="41"/>
        <v>0</v>
      </c>
      <c r="K174" s="861">
        <f t="shared" si="41"/>
        <v>0</v>
      </c>
      <c r="L174" s="925">
        <f t="shared" si="41"/>
        <v>0</v>
      </c>
      <c r="M174" s="925">
        <f t="shared" si="41"/>
        <v>0</v>
      </c>
      <c r="N174" s="925">
        <f t="shared" si="41"/>
        <v>0</v>
      </c>
      <c r="O174" s="925">
        <f t="shared" si="41"/>
        <v>1823.3</v>
      </c>
      <c r="P174" s="925">
        <f t="shared" si="41"/>
        <v>8974513.4299999997</v>
      </c>
      <c r="Q174" s="925">
        <f t="shared" si="41"/>
        <v>0</v>
      </c>
      <c r="R174" s="925">
        <f t="shared" si="41"/>
        <v>0</v>
      </c>
      <c r="S174" s="925">
        <f t="shared" si="41"/>
        <v>0</v>
      </c>
      <c r="T174" s="925">
        <f t="shared" si="41"/>
        <v>0</v>
      </c>
      <c r="U174" s="925">
        <f t="shared" si="41"/>
        <v>0</v>
      </c>
      <c r="V174" s="925">
        <f t="shared" si="41"/>
        <v>0</v>
      </c>
      <c r="W174" s="925">
        <f t="shared" si="41"/>
        <v>0</v>
      </c>
      <c r="X174" s="925">
        <f t="shared" si="41"/>
        <v>0</v>
      </c>
      <c r="Y174" s="925">
        <f t="shared" si="41"/>
        <v>0</v>
      </c>
      <c r="Z174" s="921">
        <f t="shared" si="41"/>
        <v>702918.62</v>
      </c>
      <c r="AA174" s="925">
        <f t="shared" si="41"/>
        <v>0</v>
      </c>
    </row>
    <row r="175" spans="1:27" s="870" customFormat="1" ht="90" customHeight="1">
      <c r="A175" s="927">
        <v>136</v>
      </c>
      <c r="B175" s="863" t="s">
        <v>1276</v>
      </c>
      <c r="C175" s="925">
        <f t="shared" si="35"/>
        <v>9677432.0499999989</v>
      </c>
      <c r="D175" s="925">
        <f t="shared" si="36"/>
        <v>0</v>
      </c>
      <c r="E175" s="925">
        <v>0</v>
      </c>
      <c r="F175" s="925">
        <v>0</v>
      </c>
      <c r="G175" s="925">
        <v>0</v>
      </c>
      <c r="H175" s="925">
        <v>0</v>
      </c>
      <c r="I175" s="925">
        <v>0</v>
      </c>
      <c r="J175" s="925">
        <v>0</v>
      </c>
      <c r="K175" s="861">
        <v>0</v>
      </c>
      <c r="L175" s="925">
        <v>0</v>
      </c>
      <c r="M175" s="925">
        <v>0</v>
      </c>
      <c r="N175" s="925">
        <v>0</v>
      </c>
      <c r="O175" s="925">
        <v>1823.3</v>
      </c>
      <c r="P175" s="925">
        <v>8974513.4299999997</v>
      </c>
      <c r="Q175" s="925">
        <v>0</v>
      </c>
      <c r="R175" s="925">
        <v>0</v>
      </c>
      <c r="S175" s="925">
        <v>0</v>
      </c>
      <c r="T175" s="925">
        <v>0</v>
      </c>
      <c r="U175" s="925">
        <v>0</v>
      </c>
      <c r="V175" s="925">
        <v>0</v>
      </c>
      <c r="W175" s="925">
        <v>0</v>
      </c>
      <c r="X175" s="925">
        <v>0</v>
      </c>
      <c r="Y175" s="925">
        <v>0</v>
      </c>
      <c r="Z175" s="921">
        <v>702918.62</v>
      </c>
      <c r="AA175" s="925">
        <v>0</v>
      </c>
    </row>
    <row r="176" spans="1:27" s="867" customFormat="1" ht="123" customHeight="1">
      <c r="A176" s="1198" t="s">
        <v>1975</v>
      </c>
      <c r="B176" s="1199"/>
      <c r="C176" s="925">
        <f t="shared" si="35"/>
        <v>8927927.1599999983</v>
      </c>
      <c r="D176" s="925">
        <f t="shared" si="36"/>
        <v>0</v>
      </c>
      <c r="E176" s="925">
        <f t="shared" ref="E176:AA176" si="42">E177</f>
        <v>0</v>
      </c>
      <c r="F176" s="925">
        <f t="shared" si="42"/>
        <v>0</v>
      </c>
      <c r="G176" s="925">
        <f t="shared" si="42"/>
        <v>0</v>
      </c>
      <c r="H176" s="925">
        <f t="shared" si="42"/>
        <v>0</v>
      </c>
      <c r="I176" s="925">
        <f t="shared" si="42"/>
        <v>0</v>
      </c>
      <c r="J176" s="925">
        <f t="shared" si="42"/>
        <v>0</v>
      </c>
      <c r="K176" s="861">
        <f t="shared" si="42"/>
        <v>0</v>
      </c>
      <c r="L176" s="925">
        <f t="shared" si="42"/>
        <v>0</v>
      </c>
      <c r="M176" s="925">
        <f t="shared" si="42"/>
        <v>0</v>
      </c>
      <c r="N176" s="925">
        <f t="shared" si="42"/>
        <v>0</v>
      </c>
      <c r="O176" s="925">
        <f t="shared" si="42"/>
        <v>667.58</v>
      </c>
      <c r="P176" s="925">
        <f t="shared" si="42"/>
        <v>5675854.3499999996</v>
      </c>
      <c r="Q176" s="925">
        <f t="shared" si="42"/>
        <v>0</v>
      </c>
      <c r="R176" s="925">
        <f t="shared" si="42"/>
        <v>0</v>
      </c>
      <c r="S176" s="925">
        <f t="shared" si="42"/>
        <v>659.52</v>
      </c>
      <c r="T176" s="925">
        <f t="shared" si="42"/>
        <v>2603594.36</v>
      </c>
      <c r="U176" s="925">
        <f t="shared" si="42"/>
        <v>0</v>
      </c>
      <c r="V176" s="925">
        <f t="shared" si="42"/>
        <v>0</v>
      </c>
      <c r="W176" s="925">
        <f t="shared" si="42"/>
        <v>0</v>
      </c>
      <c r="X176" s="925">
        <f t="shared" si="42"/>
        <v>0</v>
      </c>
      <c r="Y176" s="925">
        <f t="shared" si="42"/>
        <v>0</v>
      </c>
      <c r="Z176" s="921">
        <f t="shared" si="42"/>
        <v>648478.44999999995</v>
      </c>
      <c r="AA176" s="925">
        <f t="shared" si="42"/>
        <v>0</v>
      </c>
    </row>
    <row r="177" spans="1:27" s="875" customFormat="1" ht="96.75" customHeight="1">
      <c r="A177" s="927">
        <v>137</v>
      </c>
      <c r="B177" s="863" t="s">
        <v>1404</v>
      </c>
      <c r="C177" s="925">
        <f t="shared" si="35"/>
        <v>8927927.1599999983</v>
      </c>
      <c r="D177" s="925">
        <f t="shared" si="36"/>
        <v>0</v>
      </c>
      <c r="E177" s="925">
        <v>0</v>
      </c>
      <c r="F177" s="925">
        <v>0</v>
      </c>
      <c r="G177" s="925">
        <v>0</v>
      </c>
      <c r="H177" s="925">
        <v>0</v>
      </c>
      <c r="I177" s="925">
        <v>0</v>
      </c>
      <c r="J177" s="925">
        <v>0</v>
      </c>
      <c r="K177" s="861">
        <v>0</v>
      </c>
      <c r="L177" s="925">
        <v>0</v>
      </c>
      <c r="M177" s="925">
        <v>0</v>
      </c>
      <c r="N177" s="925">
        <v>0</v>
      </c>
      <c r="O177" s="925">
        <v>667.58</v>
      </c>
      <c r="P177" s="925">
        <v>5675854.3499999996</v>
      </c>
      <c r="Q177" s="925">
        <v>0</v>
      </c>
      <c r="R177" s="925">
        <v>0</v>
      </c>
      <c r="S177" s="925">
        <v>659.52</v>
      </c>
      <c r="T177" s="925">
        <v>2603594.36</v>
      </c>
      <c r="U177" s="925">
        <v>0</v>
      </c>
      <c r="V177" s="925">
        <v>0</v>
      </c>
      <c r="W177" s="925">
        <v>0</v>
      </c>
      <c r="X177" s="925">
        <v>0</v>
      </c>
      <c r="Y177" s="925">
        <v>0</v>
      </c>
      <c r="Z177" s="921">
        <v>648478.44999999995</v>
      </c>
      <c r="AA177" s="925">
        <v>0</v>
      </c>
    </row>
    <row r="178" spans="1:27" s="875" customFormat="1" ht="125.45" customHeight="1">
      <c r="A178" s="1198" t="s">
        <v>207</v>
      </c>
      <c r="B178" s="1199"/>
      <c r="C178" s="925">
        <f t="shared" si="35"/>
        <v>14503389.620000001</v>
      </c>
      <c r="D178" s="925">
        <f t="shared" si="36"/>
        <v>0</v>
      </c>
      <c r="E178" s="925">
        <f t="shared" ref="E178:T178" si="43">SUM(E179:E181)</f>
        <v>0</v>
      </c>
      <c r="F178" s="925">
        <f t="shared" si="43"/>
        <v>0</v>
      </c>
      <c r="G178" s="925">
        <f t="shared" si="43"/>
        <v>0</v>
      </c>
      <c r="H178" s="925">
        <f t="shared" si="43"/>
        <v>0</v>
      </c>
      <c r="I178" s="925">
        <f t="shared" si="43"/>
        <v>0</v>
      </c>
      <c r="J178" s="925">
        <f t="shared" si="43"/>
        <v>0</v>
      </c>
      <c r="K178" s="861">
        <f t="shared" si="43"/>
        <v>0</v>
      </c>
      <c r="L178" s="925">
        <f t="shared" si="43"/>
        <v>0</v>
      </c>
      <c r="M178" s="925">
        <f t="shared" si="43"/>
        <v>1</v>
      </c>
      <c r="N178" s="925">
        <f t="shared" si="43"/>
        <v>2838052.85</v>
      </c>
      <c r="O178" s="925">
        <f t="shared" si="43"/>
        <v>1962.8</v>
      </c>
      <c r="P178" s="925">
        <f t="shared" si="43"/>
        <v>10611885.550000001</v>
      </c>
      <c r="Q178" s="925">
        <f t="shared" si="43"/>
        <v>0</v>
      </c>
      <c r="R178" s="925">
        <f t="shared" si="43"/>
        <v>0</v>
      </c>
      <c r="S178" s="925">
        <f t="shared" si="43"/>
        <v>0</v>
      </c>
      <c r="T178" s="925">
        <f t="shared" si="43"/>
        <v>0</v>
      </c>
      <c r="U178" s="925">
        <v>0</v>
      </c>
      <c r="V178" s="925">
        <v>0</v>
      </c>
      <c r="W178" s="925">
        <f>SUM(W179:W181)</f>
        <v>0</v>
      </c>
      <c r="X178" s="925">
        <f>SUM(X179:X181)</f>
        <v>0</v>
      </c>
      <c r="Y178" s="925">
        <v>0</v>
      </c>
      <c r="Z178" s="921">
        <f>SUM(Z179:Z181)</f>
        <v>1053451.2200000002</v>
      </c>
      <c r="AA178" s="925">
        <f>SUM(AA179:AA181)</f>
        <v>0</v>
      </c>
    </row>
    <row r="179" spans="1:27" s="875" customFormat="1" ht="92.45" customHeight="1">
      <c r="A179" s="927">
        <v>138</v>
      </c>
      <c r="B179" s="863" t="s">
        <v>1560</v>
      </c>
      <c r="C179" s="925">
        <f t="shared" si="35"/>
        <v>3762059.91</v>
      </c>
      <c r="D179" s="925">
        <f t="shared" si="36"/>
        <v>0</v>
      </c>
      <c r="E179" s="925">
        <v>0</v>
      </c>
      <c r="F179" s="925">
        <v>0</v>
      </c>
      <c r="G179" s="925">
        <v>0</v>
      </c>
      <c r="H179" s="925">
        <v>0</v>
      </c>
      <c r="I179" s="925">
        <v>0</v>
      </c>
      <c r="J179" s="925">
        <v>0</v>
      </c>
      <c r="K179" s="861">
        <v>0</v>
      </c>
      <c r="L179" s="925">
        <v>0</v>
      </c>
      <c r="M179" s="925">
        <v>0</v>
      </c>
      <c r="N179" s="925">
        <v>0</v>
      </c>
      <c r="O179" s="925">
        <v>708.8</v>
      </c>
      <c r="P179" s="925">
        <v>3488803.33</v>
      </c>
      <c r="Q179" s="925">
        <v>0</v>
      </c>
      <c r="R179" s="925">
        <v>0</v>
      </c>
      <c r="S179" s="925">
        <v>0</v>
      </c>
      <c r="T179" s="925">
        <v>0</v>
      </c>
      <c r="U179" s="925">
        <v>0</v>
      </c>
      <c r="V179" s="925">
        <v>0</v>
      </c>
      <c r="W179" s="925">
        <v>0</v>
      </c>
      <c r="X179" s="925">
        <v>0</v>
      </c>
      <c r="Y179" s="925">
        <v>0</v>
      </c>
      <c r="Z179" s="921">
        <v>273256.58</v>
      </c>
      <c r="AA179" s="925">
        <v>0</v>
      </c>
    </row>
    <row r="180" spans="1:27" s="875" customFormat="1" ht="86.45" customHeight="1">
      <c r="A180" s="927">
        <v>139</v>
      </c>
      <c r="B180" s="863" t="s">
        <v>1561</v>
      </c>
      <c r="C180" s="925">
        <f t="shared" si="35"/>
        <v>3063337.04</v>
      </c>
      <c r="D180" s="925">
        <f t="shared" si="36"/>
        <v>0</v>
      </c>
      <c r="E180" s="925">
        <v>0</v>
      </c>
      <c r="F180" s="925">
        <v>0</v>
      </c>
      <c r="G180" s="925">
        <v>0</v>
      </c>
      <c r="H180" s="925">
        <v>0</v>
      </c>
      <c r="I180" s="925">
        <v>0</v>
      </c>
      <c r="J180" s="925">
        <v>0</v>
      </c>
      <c r="K180" s="861">
        <v>0</v>
      </c>
      <c r="L180" s="925">
        <v>0</v>
      </c>
      <c r="M180" s="925">
        <v>0</v>
      </c>
      <c r="N180" s="925">
        <v>0</v>
      </c>
      <c r="O180" s="925">
        <v>384</v>
      </c>
      <c r="P180" s="925">
        <v>2840832.08</v>
      </c>
      <c r="Q180" s="925">
        <v>0</v>
      </c>
      <c r="R180" s="925">
        <v>0</v>
      </c>
      <c r="S180" s="925">
        <v>0</v>
      </c>
      <c r="T180" s="925">
        <v>0</v>
      </c>
      <c r="U180" s="925">
        <v>0</v>
      </c>
      <c r="V180" s="925">
        <v>0</v>
      </c>
      <c r="W180" s="925">
        <v>0</v>
      </c>
      <c r="X180" s="925">
        <v>0</v>
      </c>
      <c r="Y180" s="925">
        <v>0</v>
      </c>
      <c r="Z180" s="921">
        <v>222504.95999999999</v>
      </c>
      <c r="AA180" s="925">
        <v>0</v>
      </c>
    </row>
    <row r="181" spans="1:27" s="875" customFormat="1" ht="99" customHeight="1">
      <c r="A181" s="927">
        <v>140</v>
      </c>
      <c r="B181" s="863" t="s">
        <v>2153</v>
      </c>
      <c r="C181" s="925">
        <f t="shared" si="35"/>
        <v>7677992.6699999999</v>
      </c>
      <c r="D181" s="925">
        <f t="shared" si="36"/>
        <v>0</v>
      </c>
      <c r="E181" s="925">
        <v>0</v>
      </c>
      <c r="F181" s="925">
        <v>0</v>
      </c>
      <c r="G181" s="925">
        <v>0</v>
      </c>
      <c r="H181" s="925">
        <v>0</v>
      </c>
      <c r="I181" s="925">
        <v>0</v>
      </c>
      <c r="J181" s="925">
        <v>0</v>
      </c>
      <c r="K181" s="861">
        <v>0</v>
      </c>
      <c r="L181" s="925">
        <v>0</v>
      </c>
      <c r="M181" s="925">
        <v>1</v>
      </c>
      <c r="N181" s="925">
        <v>2838052.85</v>
      </c>
      <c r="O181" s="925">
        <v>870</v>
      </c>
      <c r="P181" s="925">
        <v>4282250.1399999997</v>
      </c>
      <c r="Q181" s="925">
        <v>0</v>
      </c>
      <c r="R181" s="925">
        <v>0</v>
      </c>
      <c r="S181" s="925">
        <v>0</v>
      </c>
      <c r="T181" s="925">
        <v>0</v>
      </c>
      <c r="U181" s="925">
        <v>0</v>
      </c>
      <c r="V181" s="925">
        <v>0</v>
      </c>
      <c r="W181" s="925">
        <v>0</v>
      </c>
      <c r="X181" s="925">
        <v>0</v>
      </c>
      <c r="Y181" s="925">
        <v>0</v>
      </c>
      <c r="Z181" s="921">
        <v>557689.68000000005</v>
      </c>
      <c r="AA181" s="925">
        <v>0</v>
      </c>
    </row>
    <row r="182" spans="1:27" s="875" customFormat="1" ht="79.900000000000006" customHeight="1">
      <c r="A182" s="1205" t="s">
        <v>1257</v>
      </c>
      <c r="B182" s="1205"/>
      <c r="C182" s="1205"/>
      <c r="D182" s="1205"/>
      <c r="E182" s="1205"/>
      <c r="F182" s="1205"/>
      <c r="G182" s="1205"/>
      <c r="H182" s="1205"/>
      <c r="I182" s="1205"/>
      <c r="J182" s="1205"/>
      <c r="K182" s="1205"/>
      <c r="L182" s="1205"/>
      <c r="M182" s="1205"/>
      <c r="N182" s="1205"/>
      <c r="O182" s="1205"/>
      <c r="P182" s="1205"/>
      <c r="Q182" s="1205"/>
      <c r="R182" s="1205"/>
      <c r="S182" s="1205"/>
      <c r="T182" s="1205"/>
      <c r="U182" s="1205"/>
      <c r="V182" s="1205"/>
      <c r="W182" s="1205"/>
      <c r="X182" s="1205"/>
      <c r="Y182" s="1205"/>
      <c r="Z182" s="1205"/>
      <c r="AA182" s="1205"/>
    </row>
    <row r="183" spans="1:27" s="875" customFormat="1" ht="86.45" customHeight="1">
      <c r="A183" s="927"/>
      <c r="B183" s="863" t="s">
        <v>42</v>
      </c>
      <c r="C183" s="925">
        <f>C184+C207+C219+C228+C232+C235+C238+C241+C247+C252+C255+C257+C259+C269+C274+C280+C282+C291+C304+C312+C318+C320+C323+C338+C343+C345+C347+C349+C352+C356+C358+C302</f>
        <v>837396218.14999998</v>
      </c>
      <c r="D183" s="925">
        <f t="shared" ref="D183:AA183" si="44">D184+D207+D219+D228+D232+D238+D241+D247+D252+D255+D257+D259+D269+D274+D282+D291+D304+D320+D338+D345+D349+D352+D358+D323+D235+D318+D312+D280+D347</f>
        <v>128392295.03999999</v>
      </c>
      <c r="E183" s="925">
        <f t="shared" si="44"/>
        <v>24121870.339999996</v>
      </c>
      <c r="F183" s="925">
        <f t="shared" si="44"/>
        <v>37752516.480000004</v>
      </c>
      <c r="G183" s="925">
        <f t="shared" si="44"/>
        <v>4353712.8099999996</v>
      </c>
      <c r="H183" s="925">
        <f t="shared" si="44"/>
        <v>22957228.859999999</v>
      </c>
      <c r="I183" s="925">
        <f t="shared" si="44"/>
        <v>23419723.179999996</v>
      </c>
      <c r="J183" s="925">
        <f t="shared" si="44"/>
        <v>15787243.370000001</v>
      </c>
      <c r="K183" s="861">
        <f t="shared" si="44"/>
        <v>9</v>
      </c>
      <c r="L183" s="925">
        <f t="shared" si="44"/>
        <v>1942161</v>
      </c>
      <c r="M183" s="925">
        <f t="shared" si="44"/>
        <v>12</v>
      </c>
      <c r="N183" s="925">
        <f t="shared" si="44"/>
        <v>38396235.920000002</v>
      </c>
      <c r="O183" s="925">
        <f t="shared" si="44"/>
        <v>64704.639999999999</v>
      </c>
      <c r="P183" s="925">
        <f t="shared" si="44"/>
        <v>445831767.99000007</v>
      </c>
      <c r="Q183" s="925">
        <f t="shared" si="44"/>
        <v>0</v>
      </c>
      <c r="R183" s="925">
        <f t="shared" si="44"/>
        <v>0</v>
      </c>
      <c r="S183" s="925">
        <f t="shared" si="44"/>
        <v>28688.100000000002</v>
      </c>
      <c r="T183" s="925">
        <f t="shared" si="44"/>
        <v>118076561.8</v>
      </c>
      <c r="U183" s="925">
        <f t="shared" si="44"/>
        <v>5272.56</v>
      </c>
      <c r="V183" s="925">
        <f t="shared" si="44"/>
        <v>21012919.16</v>
      </c>
      <c r="W183" s="925">
        <f t="shared" si="44"/>
        <v>145.5</v>
      </c>
      <c r="X183" s="925">
        <f t="shared" si="44"/>
        <v>2298121.4699999997</v>
      </c>
      <c r="Y183" s="925">
        <f t="shared" si="44"/>
        <v>0</v>
      </c>
      <c r="Z183" s="925">
        <f t="shared" si="44"/>
        <v>58769714.019999996</v>
      </c>
      <c r="AA183" s="925">
        <f t="shared" si="44"/>
        <v>0</v>
      </c>
    </row>
    <row r="184" spans="1:27" s="875" customFormat="1" ht="98.45" customHeight="1">
      <c r="A184" s="1198" t="s">
        <v>2271</v>
      </c>
      <c r="B184" s="1199"/>
      <c r="C184" s="925">
        <f>SUM(C185:C206)</f>
        <v>276127122.75999993</v>
      </c>
      <c r="D184" s="925">
        <f t="shared" ref="D184:Z184" si="45">SUM(D185:D206)</f>
        <v>110209536.34</v>
      </c>
      <c r="E184" s="925">
        <f t="shared" si="45"/>
        <v>15401977.609999999</v>
      </c>
      <c r="F184" s="925">
        <f t="shared" si="45"/>
        <v>37270671.480000004</v>
      </c>
      <c r="G184" s="925">
        <f t="shared" si="45"/>
        <v>4353712.8099999996</v>
      </c>
      <c r="H184" s="925">
        <f t="shared" si="45"/>
        <v>21832374.939999998</v>
      </c>
      <c r="I184" s="925">
        <f t="shared" si="45"/>
        <v>21832374.939999998</v>
      </c>
      <c r="J184" s="925">
        <f t="shared" si="45"/>
        <v>9518424.5600000005</v>
      </c>
      <c r="K184" s="861">
        <f t="shared" si="45"/>
        <v>9</v>
      </c>
      <c r="L184" s="925">
        <f t="shared" si="45"/>
        <v>1942161</v>
      </c>
      <c r="M184" s="925">
        <f t="shared" si="45"/>
        <v>2</v>
      </c>
      <c r="N184" s="925">
        <f t="shared" si="45"/>
        <v>8568291.7200000007</v>
      </c>
      <c r="O184" s="925">
        <f t="shared" si="45"/>
        <v>5658.32</v>
      </c>
      <c r="P184" s="925">
        <f t="shared" si="45"/>
        <v>49336994.049999997</v>
      </c>
      <c r="Q184" s="925">
        <v>0</v>
      </c>
      <c r="R184" s="925">
        <v>0</v>
      </c>
      <c r="S184" s="925">
        <f t="shared" si="45"/>
        <v>17594.14</v>
      </c>
      <c r="T184" s="925">
        <f t="shared" si="45"/>
        <v>71716060.420000002</v>
      </c>
      <c r="U184" s="925">
        <f t="shared" si="45"/>
        <v>2993.6</v>
      </c>
      <c r="V184" s="925">
        <f t="shared" si="45"/>
        <v>14297632.379999999</v>
      </c>
      <c r="W184" s="925">
        <v>0</v>
      </c>
      <c r="X184" s="925">
        <v>0</v>
      </c>
      <c r="Y184" s="925">
        <v>0</v>
      </c>
      <c r="Z184" s="925">
        <f t="shared" si="45"/>
        <v>20056446.849999994</v>
      </c>
      <c r="AA184" s="925">
        <v>0</v>
      </c>
    </row>
    <row r="185" spans="1:27" s="875" customFormat="1" ht="107.25" customHeight="1">
      <c r="A185" s="927">
        <v>1</v>
      </c>
      <c r="B185" s="868" t="s">
        <v>1634</v>
      </c>
      <c r="C185" s="925">
        <f>D185+L185+N185+P185+R185+T185+V185+X185+Z185</f>
        <v>33500342.280000001</v>
      </c>
      <c r="D185" s="925">
        <f>SUM(E185:J185)</f>
        <v>17576598.040000003</v>
      </c>
      <c r="E185" s="876">
        <v>1980305.23</v>
      </c>
      <c r="F185" s="876">
        <f>5270231.16+1051566</f>
        <v>6321797.1600000001</v>
      </c>
      <c r="G185" s="876">
        <v>1535827.91</v>
      </c>
      <c r="H185" s="876">
        <v>3176822.32</v>
      </c>
      <c r="I185" s="876">
        <v>3176822.32</v>
      </c>
      <c r="J185" s="876">
        <v>1385023.1</v>
      </c>
      <c r="K185" s="877">
        <v>3</v>
      </c>
      <c r="L185" s="876">
        <f>365937+86309+195141</f>
        <v>647387</v>
      </c>
      <c r="M185" s="876">
        <v>0</v>
      </c>
      <c r="N185" s="876">
        <v>0</v>
      </c>
      <c r="O185" s="876">
        <v>0</v>
      </c>
      <c r="P185" s="876">
        <v>0</v>
      </c>
      <c r="Q185" s="876">
        <v>0</v>
      </c>
      <c r="R185" s="876">
        <v>0</v>
      </c>
      <c r="S185" s="876">
        <v>1439</v>
      </c>
      <c r="T185" s="876">
        <v>5970305.6699999999</v>
      </c>
      <c r="U185" s="876">
        <v>1439</v>
      </c>
      <c r="V185" s="876">
        <v>6872759.5499999998</v>
      </c>
      <c r="W185" s="929">
        <v>0</v>
      </c>
      <c r="X185" s="929">
        <v>0</v>
      </c>
      <c r="Y185" s="929">
        <v>0</v>
      </c>
      <c r="Z185" s="864">
        <v>2433292.02</v>
      </c>
      <c r="AA185" s="925">
        <v>0</v>
      </c>
    </row>
    <row r="186" spans="1:27" s="875" customFormat="1" ht="107.25" customHeight="1">
      <c r="A186" s="927">
        <v>2</v>
      </c>
      <c r="B186" s="868" t="s">
        <v>1995</v>
      </c>
      <c r="C186" s="925">
        <f>D186+L186+N186+P186+R186+T186+V186+X186+Z186</f>
        <v>29734760.809999995</v>
      </c>
      <c r="D186" s="925">
        <f>E186+F186+G186+H186+I186+J186</f>
        <v>27574981.559999995</v>
      </c>
      <c r="E186" s="876">
        <v>3643080.7</v>
      </c>
      <c r="F186" s="876">
        <v>9695413.1600000001</v>
      </c>
      <c r="G186" s="876">
        <v>0</v>
      </c>
      <c r="H186" s="876">
        <v>5844260.7199999997</v>
      </c>
      <c r="I186" s="876">
        <v>5844260.7199999997</v>
      </c>
      <c r="J186" s="876">
        <v>2547966.2599999998</v>
      </c>
      <c r="K186" s="877">
        <v>0</v>
      </c>
      <c r="L186" s="876">
        <v>0</v>
      </c>
      <c r="M186" s="876">
        <v>0</v>
      </c>
      <c r="N186" s="876">
        <v>0</v>
      </c>
      <c r="O186" s="876">
        <v>0</v>
      </c>
      <c r="P186" s="876">
        <v>0</v>
      </c>
      <c r="Q186" s="876">
        <v>0</v>
      </c>
      <c r="R186" s="876">
        <v>0</v>
      </c>
      <c r="S186" s="876">
        <v>0</v>
      </c>
      <c r="T186" s="876">
        <v>0</v>
      </c>
      <c r="U186" s="876">
        <v>0</v>
      </c>
      <c r="V186" s="876">
        <v>0</v>
      </c>
      <c r="W186" s="929">
        <v>0</v>
      </c>
      <c r="X186" s="929">
        <v>0</v>
      </c>
      <c r="Y186" s="929">
        <v>0</v>
      </c>
      <c r="Z186" s="864">
        <v>2159779.25</v>
      </c>
      <c r="AA186" s="925">
        <v>0</v>
      </c>
    </row>
    <row r="187" spans="1:27" s="878" customFormat="1" ht="107.25" customHeight="1">
      <c r="A187" s="927">
        <v>3</v>
      </c>
      <c r="B187" s="868" t="s">
        <v>1915</v>
      </c>
      <c r="C187" s="925">
        <f>D187+L187+N187+P187+R187+T187+V187+X187+Z187</f>
        <v>9239393.4800000004</v>
      </c>
      <c r="D187" s="925">
        <f>E187+F187+G187+H187+I187+J187</f>
        <v>0</v>
      </c>
      <c r="E187" s="876">
        <v>0</v>
      </c>
      <c r="F187" s="876">
        <v>0</v>
      </c>
      <c r="G187" s="876">
        <v>0</v>
      </c>
      <c r="H187" s="876">
        <v>0</v>
      </c>
      <c r="I187" s="876">
        <v>0</v>
      </c>
      <c r="J187" s="876">
        <v>0</v>
      </c>
      <c r="K187" s="877">
        <v>0</v>
      </c>
      <c r="L187" s="876">
        <v>0</v>
      </c>
      <c r="M187" s="876">
        <v>2</v>
      </c>
      <c r="N187" s="876">
        <v>8568291.7200000007</v>
      </c>
      <c r="O187" s="876">
        <v>0</v>
      </c>
      <c r="P187" s="876">
        <v>0</v>
      </c>
      <c r="Q187" s="876">
        <v>0</v>
      </c>
      <c r="R187" s="876">
        <v>0</v>
      </c>
      <c r="S187" s="876">
        <v>0</v>
      </c>
      <c r="T187" s="876">
        <v>0</v>
      </c>
      <c r="U187" s="876">
        <v>0</v>
      </c>
      <c r="V187" s="876">
        <v>0</v>
      </c>
      <c r="W187" s="929">
        <v>0</v>
      </c>
      <c r="X187" s="929">
        <v>0</v>
      </c>
      <c r="Y187" s="929">
        <v>0</v>
      </c>
      <c r="Z187" s="921">
        <v>671101.76</v>
      </c>
      <c r="AA187" s="925">
        <v>0</v>
      </c>
    </row>
    <row r="188" spans="1:27" s="878" customFormat="1" ht="107.25" customHeight="1">
      <c r="A188" s="927">
        <v>4</v>
      </c>
      <c r="B188" s="868" t="s">
        <v>2021</v>
      </c>
      <c r="C188" s="925">
        <f>D188+L188+N188+P188+R188+T188+V188+X188+Z188</f>
        <v>16145744.640000001</v>
      </c>
      <c r="D188" s="925">
        <f>E188+F188+G188+H188+I188+J188</f>
        <v>14973001.25</v>
      </c>
      <c r="E188" s="876">
        <v>1978164.58</v>
      </c>
      <c r="F188" s="876">
        <v>5264534.2</v>
      </c>
      <c r="G188" s="876">
        <v>0</v>
      </c>
      <c r="H188" s="876">
        <v>3173388.27</v>
      </c>
      <c r="I188" s="876">
        <v>3173388.27</v>
      </c>
      <c r="J188" s="876">
        <v>1383525.93</v>
      </c>
      <c r="K188" s="877">
        <v>0</v>
      </c>
      <c r="L188" s="876">
        <v>0</v>
      </c>
      <c r="M188" s="876">
        <v>0</v>
      </c>
      <c r="N188" s="876">
        <v>0</v>
      </c>
      <c r="O188" s="876">
        <v>0</v>
      </c>
      <c r="P188" s="876">
        <v>0</v>
      </c>
      <c r="Q188" s="876">
        <v>0</v>
      </c>
      <c r="R188" s="876">
        <v>0</v>
      </c>
      <c r="S188" s="876">
        <v>0</v>
      </c>
      <c r="T188" s="876">
        <v>0</v>
      </c>
      <c r="U188" s="876">
        <v>0</v>
      </c>
      <c r="V188" s="876">
        <v>0</v>
      </c>
      <c r="W188" s="929">
        <v>0</v>
      </c>
      <c r="X188" s="929">
        <v>0</v>
      </c>
      <c r="Y188" s="929">
        <v>0</v>
      </c>
      <c r="Z188" s="921">
        <v>1172743.3899999999</v>
      </c>
      <c r="AA188" s="925">
        <v>0</v>
      </c>
    </row>
    <row r="189" spans="1:27" s="867" customFormat="1" ht="107.25" customHeight="1">
      <c r="A189" s="927">
        <v>5</v>
      </c>
      <c r="B189" s="868" t="s">
        <v>1637</v>
      </c>
      <c r="C189" s="925">
        <f t="shared" ref="C189:C204" si="46">D189+L189+N189+P189+R189+T189+V189+X189+Z189</f>
        <v>5536872.379999999</v>
      </c>
      <c r="D189" s="925">
        <f t="shared" ref="D189:D206" si="47">E189+F189+G189+H189+I189+J189</f>
        <v>0</v>
      </c>
      <c r="E189" s="925">
        <v>0</v>
      </c>
      <c r="F189" s="925">
        <v>0</v>
      </c>
      <c r="G189" s="925">
        <v>0</v>
      </c>
      <c r="H189" s="925">
        <v>0</v>
      </c>
      <c r="I189" s="925">
        <v>0</v>
      </c>
      <c r="J189" s="925">
        <v>0</v>
      </c>
      <c r="K189" s="862">
        <v>0</v>
      </c>
      <c r="L189" s="925">
        <v>0</v>
      </c>
      <c r="M189" s="929">
        <v>0</v>
      </c>
      <c r="N189" s="925">
        <v>0</v>
      </c>
      <c r="O189" s="929">
        <v>382.1</v>
      </c>
      <c r="P189" s="929">
        <v>3414142.67</v>
      </c>
      <c r="Q189" s="925">
        <v>0</v>
      </c>
      <c r="R189" s="925">
        <v>0</v>
      </c>
      <c r="S189" s="929">
        <v>414.7</v>
      </c>
      <c r="T189" s="929">
        <v>1720559.94</v>
      </c>
      <c r="U189" s="925">
        <v>0</v>
      </c>
      <c r="V189" s="925">
        <v>0</v>
      </c>
      <c r="W189" s="925">
        <v>0</v>
      </c>
      <c r="X189" s="925">
        <v>0</v>
      </c>
      <c r="Y189" s="925">
        <v>0</v>
      </c>
      <c r="Z189" s="921">
        <v>402169.77</v>
      </c>
      <c r="AA189" s="925">
        <v>0</v>
      </c>
    </row>
    <row r="190" spans="1:27" s="867" customFormat="1" ht="107.25" customHeight="1">
      <c r="A190" s="927">
        <v>6</v>
      </c>
      <c r="B190" s="868" t="s">
        <v>1635</v>
      </c>
      <c r="C190" s="925">
        <f t="shared" si="46"/>
        <v>4957673.88</v>
      </c>
      <c r="D190" s="925">
        <f t="shared" si="47"/>
        <v>2807727.0700000003</v>
      </c>
      <c r="E190" s="929">
        <v>370944.09</v>
      </c>
      <c r="F190" s="929">
        <v>987201.89</v>
      </c>
      <c r="G190" s="925">
        <v>0</v>
      </c>
      <c r="H190" s="929">
        <v>595071.62</v>
      </c>
      <c r="I190" s="929">
        <v>595071.62</v>
      </c>
      <c r="J190" s="929">
        <v>259437.85</v>
      </c>
      <c r="K190" s="862">
        <v>0</v>
      </c>
      <c r="L190" s="925">
        <v>0</v>
      </c>
      <c r="M190" s="929">
        <v>0</v>
      </c>
      <c r="N190" s="925">
        <v>0</v>
      </c>
      <c r="O190" s="925">
        <v>0</v>
      </c>
      <c r="P190" s="925">
        <v>0</v>
      </c>
      <c r="Q190" s="925">
        <v>0</v>
      </c>
      <c r="R190" s="925">
        <v>0</v>
      </c>
      <c r="S190" s="929">
        <v>431.4</v>
      </c>
      <c r="T190" s="929">
        <v>1789847.02</v>
      </c>
      <c r="U190" s="925">
        <v>0</v>
      </c>
      <c r="V190" s="925">
        <v>0</v>
      </c>
      <c r="W190" s="925">
        <v>0</v>
      </c>
      <c r="X190" s="925">
        <v>0</v>
      </c>
      <c r="Y190" s="925">
        <v>0</v>
      </c>
      <c r="Z190" s="921">
        <v>360099.79</v>
      </c>
      <c r="AA190" s="925">
        <v>0</v>
      </c>
    </row>
    <row r="191" spans="1:27" s="867" customFormat="1" ht="93" customHeight="1">
      <c r="A191" s="927">
        <v>7</v>
      </c>
      <c r="B191" s="868" t="s">
        <v>2022</v>
      </c>
      <c r="C191" s="925">
        <f t="shared" si="46"/>
        <v>2617223.7800000003</v>
      </c>
      <c r="D191" s="925">
        <f t="shared" si="47"/>
        <v>0</v>
      </c>
      <c r="E191" s="925">
        <v>0</v>
      </c>
      <c r="F191" s="929">
        <v>0</v>
      </c>
      <c r="G191" s="925">
        <v>0</v>
      </c>
      <c r="H191" s="925">
        <v>0</v>
      </c>
      <c r="I191" s="925">
        <v>0</v>
      </c>
      <c r="J191" s="925">
        <v>0</v>
      </c>
      <c r="K191" s="862">
        <v>0</v>
      </c>
      <c r="L191" s="925">
        <v>0</v>
      </c>
      <c r="M191" s="929">
        <v>0</v>
      </c>
      <c r="N191" s="925">
        <v>0</v>
      </c>
      <c r="O191" s="925">
        <v>0</v>
      </c>
      <c r="P191" s="925">
        <v>0</v>
      </c>
      <c r="Q191" s="925">
        <v>0</v>
      </c>
      <c r="R191" s="925">
        <v>0</v>
      </c>
      <c r="S191" s="929">
        <v>585</v>
      </c>
      <c r="T191" s="929">
        <v>2427122.1800000002</v>
      </c>
      <c r="U191" s="925">
        <v>0</v>
      </c>
      <c r="V191" s="925">
        <v>0</v>
      </c>
      <c r="W191" s="925">
        <v>0</v>
      </c>
      <c r="X191" s="925">
        <v>0</v>
      </c>
      <c r="Y191" s="925">
        <v>0</v>
      </c>
      <c r="Z191" s="921">
        <v>190101.6</v>
      </c>
      <c r="AA191" s="925">
        <v>0</v>
      </c>
    </row>
    <row r="192" spans="1:27" s="867" customFormat="1" ht="93" customHeight="1">
      <c r="A192" s="927">
        <v>8</v>
      </c>
      <c r="B192" s="868" t="s">
        <v>2023</v>
      </c>
      <c r="C192" s="925">
        <f t="shared" si="46"/>
        <v>5790663.3700000001</v>
      </c>
      <c r="D192" s="925">
        <f t="shared" si="47"/>
        <v>0</v>
      </c>
      <c r="E192" s="925">
        <v>0</v>
      </c>
      <c r="F192" s="929">
        <v>0</v>
      </c>
      <c r="G192" s="925">
        <v>0</v>
      </c>
      <c r="H192" s="925">
        <v>0</v>
      </c>
      <c r="I192" s="925">
        <v>0</v>
      </c>
      <c r="J192" s="925">
        <v>0</v>
      </c>
      <c r="K192" s="862">
        <v>0</v>
      </c>
      <c r="L192" s="925">
        <v>0</v>
      </c>
      <c r="M192" s="929">
        <v>0</v>
      </c>
      <c r="N192" s="925">
        <v>0</v>
      </c>
      <c r="O192" s="925">
        <v>601</v>
      </c>
      <c r="P192" s="925">
        <v>5370059.5300000003</v>
      </c>
      <c r="Q192" s="925">
        <v>0</v>
      </c>
      <c r="R192" s="925">
        <v>0</v>
      </c>
      <c r="S192" s="929">
        <v>0</v>
      </c>
      <c r="T192" s="929">
        <v>0</v>
      </c>
      <c r="U192" s="925">
        <v>0</v>
      </c>
      <c r="V192" s="925">
        <v>0</v>
      </c>
      <c r="W192" s="925">
        <v>0</v>
      </c>
      <c r="X192" s="925">
        <v>0</v>
      </c>
      <c r="Y192" s="925">
        <v>0</v>
      </c>
      <c r="Z192" s="921">
        <v>420603.84</v>
      </c>
      <c r="AA192" s="925">
        <v>0</v>
      </c>
    </row>
    <row r="193" spans="1:31" s="867" customFormat="1" ht="93" customHeight="1">
      <c r="A193" s="927">
        <v>9</v>
      </c>
      <c r="B193" s="868" t="s">
        <v>2024</v>
      </c>
      <c r="C193" s="925">
        <f t="shared" si="46"/>
        <v>6956571.0499999989</v>
      </c>
      <c r="D193" s="925">
        <f t="shared" si="47"/>
        <v>6451281.6999999993</v>
      </c>
      <c r="E193" s="925">
        <v>3633396.8</v>
      </c>
      <c r="F193" s="929">
        <v>0</v>
      </c>
      <c r="G193" s="925">
        <v>2817884.9</v>
      </c>
      <c r="H193" s="925">
        <v>0</v>
      </c>
      <c r="I193" s="925">
        <v>0</v>
      </c>
      <c r="J193" s="925">
        <v>0</v>
      </c>
      <c r="K193" s="862">
        <v>0</v>
      </c>
      <c r="L193" s="925">
        <v>0</v>
      </c>
      <c r="M193" s="929">
        <v>0</v>
      </c>
      <c r="N193" s="925">
        <v>0</v>
      </c>
      <c r="O193" s="925">
        <v>0</v>
      </c>
      <c r="P193" s="925">
        <v>0</v>
      </c>
      <c r="Q193" s="925">
        <v>0</v>
      </c>
      <c r="R193" s="925">
        <v>0</v>
      </c>
      <c r="S193" s="929">
        <v>0</v>
      </c>
      <c r="T193" s="929">
        <v>0</v>
      </c>
      <c r="U193" s="925">
        <v>0</v>
      </c>
      <c r="V193" s="925">
        <v>0</v>
      </c>
      <c r="W193" s="925">
        <v>0</v>
      </c>
      <c r="X193" s="925">
        <v>0</v>
      </c>
      <c r="Y193" s="925">
        <v>0</v>
      </c>
      <c r="Z193" s="921">
        <v>505289.35</v>
      </c>
      <c r="AA193" s="925">
        <v>0</v>
      </c>
    </row>
    <row r="194" spans="1:31" s="867" customFormat="1" ht="93" customHeight="1">
      <c r="A194" s="927">
        <v>10</v>
      </c>
      <c r="B194" s="868" t="s">
        <v>2000</v>
      </c>
      <c r="C194" s="925">
        <f t="shared" si="46"/>
        <v>14961522.02</v>
      </c>
      <c r="D194" s="925">
        <f t="shared" si="47"/>
        <v>0</v>
      </c>
      <c r="E194" s="925">
        <v>0</v>
      </c>
      <c r="F194" s="929">
        <v>0</v>
      </c>
      <c r="G194" s="925">
        <v>0</v>
      </c>
      <c r="H194" s="925">
        <v>0</v>
      </c>
      <c r="I194" s="925">
        <v>0</v>
      </c>
      <c r="J194" s="925">
        <v>0</v>
      </c>
      <c r="K194" s="862">
        <v>0</v>
      </c>
      <c r="L194" s="925">
        <v>0</v>
      </c>
      <c r="M194" s="929">
        <v>0</v>
      </c>
      <c r="N194" s="925">
        <v>0</v>
      </c>
      <c r="O194" s="925">
        <v>0</v>
      </c>
      <c r="P194" s="925">
        <v>0</v>
      </c>
      <c r="Q194" s="925">
        <v>0</v>
      </c>
      <c r="R194" s="925">
        <v>0</v>
      </c>
      <c r="S194" s="929">
        <v>1554.6</v>
      </c>
      <c r="T194" s="929">
        <v>6449921.5999999996</v>
      </c>
      <c r="U194" s="925">
        <v>1554.6</v>
      </c>
      <c r="V194" s="925">
        <v>7424872.8300000001</v>
      </c>
      <c r="W194" s="925">
        <v>0</v>
      </c>
      <c r="X194" s="925">
        <v>0</v>
      </c>
      <c r="Y194" s="925">
        <v>0</v>
      </c>
      <c r="Z194" s="921">
        <v>1086727.5900000001</v>
      </c>
      <c r="AA194" s="925">
        <v>0</v>
      </c>
    </row>
    <row r="195" spans="1:31" s="867" customFormat="1" ht="93" customHeight="1">
      <c r="A195" s="927">
        <v>11</v>
      </c>
      <c r="B195" s="868" t="s">
        <v>2025</v>
      </c>
      <c r="C195" s="925">
        <f t="shared" si="46"/>
        <v>2832417.74</v>
      </c>
      <c r="D195" s="925">
        <f t="shared" si="47"/>
        <v>0</v>
      </c>
      <c r="E195" s="925">
        <v>0</v>
      </c>
      <c r="F195" s="929">
        <v>0</v>
      </c>
      <c r="G195" s="925">
        <v>0</v>
      </c>
      <c r="H195" s="925">
        <v>0</v>
      </c>
      <c r="I195" s="925">
        <v>0</v>
      </c>
      <c r="J195" s="925">
        <v>0</v>
      </c>
      <c r="K195" s="862">
        <v>0</v>
      </c>
      <c r="L195" s="925">
        <v>0</v>
      </c>
      <c r="M195" s="929">
        <v>0</v>
      </c>
      <c r="N195" s="925">
        <v>0</v>
      </c>
      <c r="O195" s="925">
        <v>0</v>
      </c>
      <c r="P195" s="925">
        <v>0</v>
      </c>
      <c r="Q195" s="925">
        <v>0</v>
      </c>
      <c r="R195" s="925">
        <v>0</v>
      </c>
      <c r="S195" s="929">
        <v>633.1</v>
      </c>
      <c r="T195" s="929">
        <v>2626685.56</v>
      </c>
      <c r="U195" s="925">
        <v>0</v>
      </c>
      <c r="V195" s="925">
        <v>0</v>
      </c>
      <c r="W195" s="925">
        <v>0</v>
      </c>
      <c r="X195" s="925">
        <v>0</v>
      </c>
      <c r="Y195" s="925">
        <v>0</v>
      </c>
      <c r="Z195" s="921">
        <v>205732.18</v>
      </c>
      <c r="AA195" s="925">
        <v>0</v>
      </c>
    </row>
    <row r="196" spans="1:31" s="867" customFormat="1" ht="93" customHeight="1">
      <c r="A196" s="927">
        <v>12</v>
      </c>
      <c r="B196" s="868" t="s">
        <v>2002</v>
      </c>
      <c r="C196" s="925">
        <f t="shared" si="46"/>
        <v>2997056.7600000002</v>
      </c>
      <c r="D196" s="925">
        <f t="shared" si="47"/>
        <v>0</v>
      </c>
      <c r="E196" s="925">
        <v>0</v>
      </c>
      <c r="F196" s="929">
        <v>0</v>
      </c>
      <c r="G196" s="925">
        <v>0</v>
      </c>
      <c r="H196" s="925">
        <v>0</v>
      </c>
      <c r="I196" s="925">
        <v>0</v>
      </c>
      <c r="J196" s="925">
        <v>0</v>
      </c>
      <c r="K196" s="862">
        <v>0</v>
      </c>
      <c r="L196" s="925">
        <v>0</v>
      </c>
      <c r="M196" s="929">
        <v>0</v>
      </c>
      <c r="N196" s="925">
        <v>0</v>
      </c>
      <c r="O196" s="925">
        <v>0</v>
      </c>
      <c r="P196" s="925">
        <v>0</v>
      </c>
      <c r="Q196" s="925">
        <v>0</v>
      </c>
      <c r="R196" s="925">
        <v>0</v>
      </c>
      <c r="S196" s="929">
        <v>669.9</v>
      </c>
      <c r="T196" s="929">
        <v>2779366.06</v>
      </c>
      <c r="U196" s="925">
        <v>0</v>
      </c>
      <c r="V196" s="925">
        <v>0</v>
      </c>
      <c r="W196" s="925">
        <v>0</v>
      </c>
      <c r="X196" s="925">
        <v>0</v>
      </c>
      <c r="Y196" s="925">
        <v>0</v>
      </c>
      <c r="Z196" s="921">
        <v>217690.7</v>
      </c>
      <c r="AA196" s="925">
        <v>0</v>
      </c>
    </row>
    <row r="197" spans="1:31" s="867" customFormat="1" ht="93" customHeight="1">
      <c r="A197" s="927">
        <v>13</v>
      </c>
      <c r="B197" s="868" t="s">
        <v>2026</v>
      </c>
      <c r="C197" s="925">
        <f t="shared" si="46"/>
        <v>13738096.710000001</v>
      </c>
      <c r="D197" s="925">
        <f t="shared" si="47"/>
        <v>12092845.280000001</v>
      </c>
      <c r="E197" s="925">
        <v>0</v>
      </c>
      <c r="F197" s="929">
        <v>4899114.87</v>
      </c>
      <c r="G197" s="925">
        <v>0</v>
      </c>
      <c r="H197" s="925">
        <v>2953118.56</v>
      </c>
      <c r="I197" s="925">
        <v>2953118.56</v>
      </c>
      <c r="J197" s="925">
        <v>1287493.29</v>
      </c>
      <c r="K197" s="862">
        <v>3</v>
      </c>
      <c r="L197" s="925">
        <v>647387</v>
      </c>
      <c r="M197" s="929">
        <v>0</v>
      </c>
      <c r="N197" s="925">
        <v>0</v>
      </c>
      <c r="O197" s="925">
        <v>0</v>
      </c>
      <c r="P197" s="925">
        <v>0</v>
      </c>
      <c r="Q197" s="925">
        <v>0</v>
      </c>
      <c r="R197" s="925">
        <v>0</v>
      </c>
      <c r="S197" s="929">
        <v>0</v>
      </c>
      <c r="T197" s="929">
        <v>0</v>
      </c>
      <c r="U197" s="925">
        <v>0</v>
      </c>
      <c r="V197" s="925">
        <v>0</v>
      </c>
      <c r="W197" s="925">
        <v>0</v>
      </c>
      <c r="X197" s="925">
        <v>0</v>
      </c>
      <c r="Y197" s="925">
        <v>0</v>
      </c>
      <c r="Z197" s="921">
        <v>997864.43</v>
      </c>
      <c r="AA197" s="925">
        <v>0</v>
      </c>
    </row>
    <row r="198" spans="1:31" s="867" customFormat="1" ht="93" customHeight="1">
      <c r="A198" s="927">
        <v>14</v>
      </c>
      <c r="B198" s="868" t="s">
        <v>2027</v>
      </c>
      <c r="C198" s="925">
        <f t="shared" si="46"/>
        <v>11882228.34</v>
      </c>
      <c r="D198" s="925">
        <f t="shared" si="47"/>
        <v>0</v>
      </c>
      <c r="E198" s="925">
        <v>0</v>
      </c>
      <c r="F198" s="929">
        <v>0</v>
      </c>
      <c r="G198" s="925">
        <v>0</v>
      </c>
      <c r="H198" s="925">
        <v>0</v>
      </c>
      <c r="I198" s="925">
        <v>0</v>
      </c>
      <c r="J198" s="925">
        <v>0</v>
      </c>
      <c r="K198" s="862">
        <v>0</v>
      </c>
      <c r="L198" s="925">
        <v>0</v>
      </c>
      <c r="M198" s="929">
        <v>0</v>
      </c>
      <c r="N198" s="925">
        <v>0</v>
      </c>
      <c r="O198" s="925">
        <v>679</v>
      </c>
      <c r="P198" s="925">
        <v>6067005.6900000004</v>
      </c>
      <c r="Q198" s="925">
        <v>0</v>
      </c>
      <c r="R198" s="925">
        <v>0</v>
      </c>
      <c r="S198" s="929">
        <v>1193.5999999999999</v>
      </c>
      <c r="T198" s="929">
        <v>4952159.03</v>
      </c>
      <c r="U198" s="925">
        <v>0</v>
      </c>
      <c r="V198" s="925">
        <v>0</v>
      </c>
      <c r="W198" s="925">
        <v>0</v>
      </c>
      <c r="X198" s="925">
        <v>0</v>
      </c>
      <c r="Y198" s="925">
        <v>0</v>
      </c>
      <c r="Z198" s="921">
        <v>863063.62</v>
      </c>
      <c r="AA198" s="925">
        <v>0</v>
      </c>
    </row>
    <row r="199" spans="1:31" s="867" customFormat="1" ht="93" customHeight="1">
      <c r="A199" s="927">
        <v>15</v>
      </c>
      <c r="B199" s="868" t="s">
        <v>2005</v>
      </c>
      <c r="C199" s="925">
        <f t="shared" si="46"/>
        <v>3407491.1399999997</v>
      </c>
      <c r="D199" s="925">
        <f t="shared" si="47"/>
        <v>0</v>
      </c>
      <c r="E199" s="925">
        <v>0</v>
      </c>
      <c r="F199" s="929">
        <v>0</v>
      </c>
      <c r="G199" s="925">
        <v>0</v>
      </c>
      <c r="H199" s="925">
        <v>0</v>
      </c>
      <c r="I199" s="925">
        <v>0</v>
      </c>
      <c r="J199" s="925">
        <v>0</v>
      </c>
      <c r="K199" s="862">
        <v>0</v>
      </c>
      <c r="L199" s="925">
        <v>0</v>
      </c>
      <c r="M199" s="929">
        <v>0</v>
      </c>
      <c r="N199" s="925">
        <v>0</v>
      </c>
      <c r="O199" s="925">
        <v>0</v>
      </c>
      <c r="P199" s="925">
        <v>0</v>
      </c>
      <c r="Q199" s="925">
        <v>0</v>
      </c>
      <c r="R199" s="925">
        <v>0</v>
      </c>
      <c r="S199" s="929">
        <v>761.64</v>
      </c>
      <c r="T199" s="925">
        <v>3159988.61</v>
      </c>
      <c r="U199" s="925">
        <v>0</v>
      </c>
      <c r="V199" s="925">
        <v>0</v>
      </c>
      <c r="W199" s="925">
        <v>0</v>
      </c>
      <c r="X199" s="925">
        <v>0</v>
      </c>
      <c r="Y199" s="925">
        <v>0</v>
      </c>
      <c r="Z199" s="921">
        <v>247502.53</v>
      </c>
      <c r="AA199" s="925">
        <v>0</v>
      </c>
    </row>
    <row r="200" spans="1:31" s="867" customFormat="1" ht="93" customHeight="1">
      <c r="A200" s="927">
        <v>16</v>
      </c>
      <c r="B200" s="868" t="s">
        <v>2006</v>
      </c>
      <c r="C200" s="925">
        <f t="shared" si="46"/>
        <v>2264681.5</v>
      </c>
      <c r="D200" s="925">
        <f t="shared" si="47"/>
        <v>0</v>
      </c>
      <c r="E200" s="925">
        <v>0</v>
      </c>
      <c r="F200" s="929">
        <v>0</v>
      </c>
      <c r="G200" s="925">
        <v>0</v>
      </c>
      <c r="H200" s="925">
        <v>0</v>
      </c>
      <c r="I200" s="925">
        <v>0</v>
      </c>
      <c r="J200" s="925">
        <v>0</v>
      </c>
      <c r="K200" s="862">
        <v>0</v>
      </c>
      <c r="L200" s="925">
        <v>0</v>
      </c>
      <c r="M200" s="929">
        <v>0</v>
      </c>
      <c r="N200" s="925">
        <v>0</v>
      </c>
      <c r="O200" s="925">
        <v>0</v>
      </c>
      <c r="P200" s="925">
        <v>0</v>
      </c>
      <c r="Q200" s="925">
        <v>0</v>
      </c>
      <c r="R200" s="925">
        <v>0</v>
      </c>
      <c r="S200" s="929">
        <v>506.2</v>
      </c>
      <c r="T200" s="929">
        <v>2100186.75</v>
      </c>
      <c r="U200" s="925">
        <v>0</v>
      </c>
      <c r="V200" s="925">
        <v>0</v>
      </c>
      <c r="W200" s="925">
        <v>0</v>
      </c>
      <c r="X200" s="925">
        <v>0</v>
      </c>
      <c r="Y200" s="925">
        <v>0</v>
      </c>
      <c r="Z200" s="921">
        <v>164494.75</v>
      </c>
      <c r="AA200" s="925">
        <v>0</v>
      </c>
    </row>
    <row r="201" spans="1:31" s="867" customFormat="1" ht="93" customHeight="1">
      <c r="A201" s="927">
        <v>17</v>
      </c>
      <c r="B201" s="868" t="s">
        <v>2028</v>
      </c>
      <c r="C201" s="925">
        <f t="shared" si="46"/>
        <v>4457333.42</v>
      </c>
      <c r="D201" s="925">
        <f t="shared" si="47"/>
        <v>0</v>
      </c>
      <c r="E201" s="925">
        <v>0</v>
      </c>
      <c r="F201" s="929">
        <v>0</v>
      </c>
      <c r="G201" s="925">
        <v>0</v>
      </c>
      <c r="H201" s="925">
        <v>0</v>
      </c>
      <c r="I201" s="925">
        <v>0</v>
      </c>
      <c r="J201" s="925">
        <v>0</v>
      </c>
      <c r="K201" s="862">
        <v>0</v>
      </c>
      <c r="L201" s="925">
        <v>0</v>
      </c>
      <c r="M201" s="929">
        <v>0</v>
      </c>
      <c r="N201" s="925">
        <v>0</v>
      </c>
      <c r="O201" s="925">
        <v>0</v>
      </c>
      <c r="P201" s="925">
        <v>0</v>
      </c>
      <c r="Q201" s="925">
        <v>0</v>
      </c>
      <c r="R201" s="925">
        <v>0</v>
      </c>
      <c r="S201" s="929">
        <v>996.3</v>
      </c>
      <c r="T201" s="929">
        <v>4133575.77</v>
      </c>
      <c r="U201" s="925">
        <v>0</v>
      </c>
      <c r="V201" s="925">
        <v>0</v>
      </c>
      <c r="W201" s="925">
        <v>0</v>
      </c>
      <c r="X201" s="925">
        <v>0</v>
      </c>
      <c r="Y201" s="925">
        <v>0</v>
      </c>
      <c r="Z201" s="921">
        <v>323757.65000000002</v>
      </c>
      <c r="AA201" s="925">
        <v>0</v>
      </c>
    </row>
    <row r="202" spans="1:31" s="867" customFormat="1" ht="93" customHeight="1">
      <c r="A202" s="927">
        <v>18</v>
      </c>
      <c r="B202" s="868" t="s">
        <v>2007</v>
      </c>
      <c r="C202" s="925">
        <f t="shared" si="46"/>
        <v>2287945.71</v>
      </c>
      <c r="D202" s="925">
        <f t="shared" si="47"/>
        <v>0</v>
      </c>
      <c r="E202" s="925">
        <v>0</v>
      </c>
      <c r="F202" s="929">
        <v>0</v>
      </c>
      <c r="G202" s="925">
        <v>0</v>
      </c>
      <c r="H202" s="925">
        <v>0</v>
      </c>
      <c r="I202" s="925">
        <v>0</v>
      </c>
      <c r="J202" s="925">
        <v>0</v>
      </c>
      <c r="K202" s="862">
        <v>0</v>
      </c>
      <c r="L202" s="925">
        <v>0</v>
      </c>
      <c r="M202" s="929">
        <v>0</v>
      </c>
      <c r="N202" s="925">
        <v>0</v>
      </c>
      <c r="O202" s="925">
        <v>0</v>
      </c>
      <c r="P202" s="925">
        <v>0</v>
      </c>
      <c r="Q202" s="925">
        <v>0</v>
      </c>
      <c r="R202" s="925">
        <v>0</v>
      </c>
      <c r="S202" s="929">
        <v>511.4</v>
      </c>
      <c r="T202" s="929">
        <v>2121761.17</v>
      </c>
      <c r="U202" s="925">
        <v>0</v>
      </c>
      <c r="V202" s="925">
        <v>0</v>
      </c>
      <c r="W202" s="925">
        <v>0</v>
      </c>
      <c r="X202" s="925">
        <v>0</v>
      </c>
      <c r="Y202" s="925">
        <v>0</v>
      </c>
      <c r="Z202" s="921">
        <v>166184.54</v>
      </c>
      <c r="AA202" s="925">
        <v>0</v>
      </c>
    </row>
    <row r="203" spans="1:31" s="867" customFormat="1" ht="93" customHeight="1">
      <c r="A203" s="927">
        <v>19</v>
      </c>
      <c r="B203" s="868" t="s">
        <v>2008</v>
      </c>
      <c r="C203" s="925">
        <f t="shared" si="46"/>
        <v>16311359.199999999</v>
      </c>
      <c r="D203" s="925">
        <f t="shared" si="47"/>
        <v>14479199.289999999</v>
      </c>
      <c r="E203" s="925">
        <v>1912925.72</v>
      </c>
      <c r="F203" s="929">
        <v>5090912.54</v>
      </c>
      <c r="G203" s="925">
        <v>0</v>
      </c>
      <c r="H203" s="925">
        <v>3068731.54</v>
      </c>
      <c r="I203" s="925">
        <v>3068731.54</v>
      </c>
      <c r="J203" s="925">
        <v>1337897.95</v>
      </c>
      <c r="K203" s="862">
        <v>3</v>
      </c>
      <c r="L203" s="925">
        <v>647387</v>
      </c>
      <c r="M203" s="929">
        <v>0</v>
      </c>
      <c r="N203" s="925">
        <v>0</v>
      </c>
      <c r="O203" s="925">
        <v>0</v>
      </c>
      <c r="P203" s="925">
        <v>0</v>
      </c>
      <c r="Q203" s="925">
        <v>0</v>
      </c>
      <c r="R203" s="925">
        <v>0</v>
      </c>
      <c r="S203" s="929">
        <v>0</v>
      </c>
      <c r="T203" s="929">
        <v>0</v>
      </c>
      <c r="U203" s="925">
        <v>0</v>
      </c>
      <c r="V203" s="925">
        <v>0</v>
      </c>
      <c r="W203" s="925">
        <v>0</v>
      </c>
      <c r="X203" s="925">
        <v>0</v>
      </c>
      <c r="Y203" s="925">
        <v>0</v>
      </c>
      <c r="Z203" s="921">
        <v>1184772.9099999999</v>
      </c>
      <c r="AA203" s="925">
        <v>0</v>
      </c>
    </row>
    <row r="204" spans="1:31" s="867" customFormat="1" ht="93" customHeight="1">
      <c r="A204" s="927">
        <v>20</v>
      </c>
      <c r="B204" s="868" t="s">
        <v>2009</v>
      </c>
      <c r="C204" s="925">
        <f t="shared" si="46"/>
        <v>15370322.92</v>
      </c>
      <c r="D204" s="925">
        <f t="shared" si="47"/>
        <v>14253902.15</v>
      </c>
      <c r="E204" s="925">
        <v>1883160.49</v>
      </c>
      <c r="F204" s="929">
        <v>5011697.66</v>
      </c>
      <c r="G204" s="925">
        <v>0</v>
      </c>
      <c r="H204" s="925">
        <v>3020981.91</v>
      </c>
      <c r="I204" s="925">
        <v>3020981.91</v>
      </c>
      <c r="J204" s="925">
        <v>1317080.18</v>
      </c>
      <c r="K204" s="862">
        <v>0</v>
      </c>
      <c r="L204" s="925">
        <v>0</v>
      </c>
      <c r="M204" s="929">
        <v>0</v>
      </c>
      <c r="N204" s="925">
        <v>0</v>
      </c>
      <c r="O204" s="925">
        <v>0</v>
      </c>
      <c r="P204" s="925">
        <v>0</v>
      </c>
      <c r="Q204" s="925">
        <v>0</v>
      </c>
      <c r="R204" s="925">
        <v>0</v>
      </c>
      <c r="S204" s="929">
        <v>0</v>
      </c>
      <c r="T204" s="929">
        <v>0</v>
      </c>
      <c r="U204" s="925">
        <v>0</v>
      </c>
      <c r="V204" s="925">
        <v>0</v>
      </c>
      <c r="W204" s="925">
        <v>0</v>
      </c>
      <c r="X204" s="925">
        <v>0</v>
      </c>
      <c r="Y204" s="925">
        <v>0</v>
      </c>
      <c r="Z204" s="921">
        <v>1116420.77</v>
      </c>
      <c r="AA204" s="925">
        <v>0</v>
      </c>
    </row>
    <row r="205" spans="1:31" s="867" customFormat="1" ht="93" customHeight="1">
      <c r="A205" s="927">
        <v>21</v>
      </c>
      <c r="B205" s="868" t="s">
        <v>2029</v>
      </c>
      <c r="C205" s="925">
        <f>D205+L205+N205+P205+R205+T205+V205+X205+Z205</f>
        <v>18188271.960000001</v>
      </c>
      <c r="D205" s="925">
        <f t="shared" si="47"/>
        <v>0</v>
      </c>
      <c r="E205" s="925">
        <v>0</v>
      </c>
      <c r="F205" s="929">
        <v>0</v>
      </c>
      <c r="G205" s="925">
        <v>0</v>
      </c>
      <c r="H205" s="925">
        <v>0</v>
      </c>
      <c r="I205" s="925">
        <v>0</v>
      </c>
      <c r="J205" s="925">
        <v>0</v>
      </c>
      <c r="K205" s="862">
        <v>0</v>
      </c>
      <c r="L205" s="925">
        <v>0</v>
      </c>
      <c r="M205" s="929">
        <v>0</v>
      </c>
      <c r="N205" s="925">
        <v>0</v>
      </c>
      <c r="O205" s="925">
        <v>1176.22</v>
      </c>
      <c r="P205" s="925">
        <v>10509769.41</v>
      </c>
      <c r="Q205" s="925">
        <v>0</v>
      </c>
      <c r="R205" s="925">
        <v>0</v>
      </c>
      <c r="S205" s="929">
        <v>1532.3</v>
      </c>
      <c r="T205" s="929">
        <v>6357400.54</v>
      </c>
      <c r="U205" s="925">
        <v>0</v>
      </c>
      <c r="V205" s="925">
        <v>0</v>
      </c>
      <c r="W205" s="925">
        <v>0</v>
      </c>
      <c r="X205" s="925">
        <v>0</v>
      </c>
      <c r="Y205" s="925">
        <v>0</v>
      </c>
      <c r="Z205" s="921">
        <v>1321102.01</v>
      </c>
      <c r="AA205" s="925">
        <v>0</v>
      </c>
    </row>
    <row r="206" spans="1:31" s="867" customFormat="1" ht="93" customHeight="1">
      <c r="A206" s="927">
        <v>22</v>
      </c>
      <c r="B206" s="868" t="s">
        <v>2078</v>
      </c>
      <c r="C206" s="925">
        <f>D206+L206+N206+P206+R206+T206+V206+X206+Z206</f>
        <v>52949149.669999994</v>
      </c>
      <c r="D206" s="925">
        <f t="shared" si="47"/>
        <v>0</v>
      </c>
      <c r="E206" s="925">
        <v>0</v>
      </c>
      <c r="F206" s="929">
        <v>0</v>
      </c>
      <c r="G206" s="925">
        <v>0</v>
      </c>
      <c r="H206" s="925">
        <v>0</v>
      </c>
      <c r="I206" s="925">
        <v>0</v>
      </c>
      <c r="J206" s="925">
        <v>0</v>
      </c>
      <c r="K206" s="862">
        <v>0</v>
      </c>
      <c r="L206" s="925">
        <v>0</v>
      </c>
      <c r="M206" s="929">
        <v>0</v>
      </c>
      <c r="N206" s="925">
        <v>0</v>
      </c>
      <c r="O206" s="925">
        <v>2820</v>
      </c>
      <c r="P206" s="925">
        <v>23976016.75</v>
      </c>
      <c r="Q206" s="925">
        <v>0</v>
      </c>
      <c r="R206" s="925">
        <v>0</v>
      </c>
      <c r="S206" s="929">
        <v>6365</v>
      </c>
      <c r="T206" s="929">
        <v>25127180.52</v>
      </c>
      <c r="U206" s="925">
        <v>0</v>
      </c>
      <c r="V206" s="925">
        <v>0</v>
      </c>
      <c r="W206" s="925">
        <v>0</v>
      </c>
      <c r="X206" s="925">
        <v>0</v>
      </c>
      <c r="Y206" s="925">
        <v>0</v>
      </c>
      <c r="Z206" s="921">
        <v>3845952.4</v>
      </c>
      <c r="AA206" s="925">
        <v>0</v>
      </c>
      <c r="AE206" s="933"/>
    </row>
    <row r="207" spans="1:31" s="867" customFormat="1" ht="135" customHeight="1">
      <c r="A207" s="1198" t="s">
        <v>2053</v>
      </c>
      <c r="B207" s="1199"/>
      <c r="C207" s="925">
        <f>SUM(C208:C218)</f>
        <v>56818674.5</v>
      </c>
      <c r="D207" s="925">
        <f>SUM(D208:D218)</f>
        <v>986330.03</v>
      </c>
      <c r="E207" s="925">
        <f>SUM(E208:E218)</f>
        <v>986330.03</v>
      </c>
      <c r="F207" s="925">
        <f t="shared" ref="F207:AA207" si="48">SUM(F208:F218)</f>
        <v>0</v>
      </c>
      <c r="G207" s="925">
        <f t="shared" si="48"/>
        <v>0</v>
      </c>
      <c r="H207" s="925">
        <f t="shared" si="48"/>
        <v>0</v>
      </c>
      <c r="I207" s="925">
        <f t="shared" si="48"/>
        <v>0</v>
      </c>
      <c r="J207" s="925">
        <f t="shared" si="48"/>
        <v>0</v>
      </c>
      <c r="K207" s="861">
        <f t="shared" si="48"/>
        <v>0</v>
      </c>
      <c r="L207" s="925">
        <f t="shared" si="48"/>
        <v>0</v>
      </c>
      <c r="M207" s="925">
        <f t="shared" si="48"/>
        <v>0</v>
      </c>
      <c r="N207" s="925">
        <f t="shared" si="48"/>
        <v>0</v>
      </c>
      <c r="O207" s="925">
        <f t="shared" si="48"/>
        <v>5769.6600000000008</v>
      </c>
      <c r="P207" s="925">
        <f t="shared" si="48"/>
        <v>47994876.240000002</v>
      </c>
      <c r="Q207" s="925">
        <f t="shared" si="48"/>
        <v>0</v>
      </c>
      <c r="R207" s="925">
        <f t="shared" si="48"/>
        <v>0</v>
      </c>
      <c r="S207" s="925">
        <f t="shared" si="48"/>
        <v>939.9</v>
      </c>
      <c r="T207" s="925">
        <f t="shared" si="48"/>
        <v>3710453.57</v>
      </c>
      <c r="U207" s="925">
        <f t="shared" si="48"/>
        <v>0</v>
      </c>
      <c r="V207" s="925">
        <f t="shared" si="48"/>
        <v>0</v>
      </c>
      <c r="W207" s="925">
        <f t="shared" si="48"/>
        <v>0</v>
      </c>
      <c r="X207" s="925">
        <f t="shared" si="48"/>
        <v>0</v>
      </c>
      <c r="Y207" s="925">
        <f t="shared" si="48"/>
        <v>0</v>
      </c>
      <c r="Z207" s="925">
        <f t="shared" si="48"/>
        <v>4127014.66</v>
      </c>
      <c r="AA207" s="925">
        <f t="shared" si="48"/>
        <v>0</v>
      </c>
    </row>
    <row r="208" spans="1:31" s="867" customFormat="1" ht="135" customHeight="1">
      <c r="A208" s="927">
        <v>23</v>
      </c>
      <c r="B208" s="868" t="s">
        <v>2154</v>
      </c>
      <c r="C208" s="925">
        <f>D208+N208+P208+R208+T208+X208+Z208</f>
        <v>5636702.71</v>
      </c>
      <c r="D208" s="925">
        <f>SUM(E208:J208)</f>
        <v>0</v>
      </c>
      <c r="E208" s="925">
        <v>0</v>
      </c>
      <c r="F208" s="925">
        <v>0</v>
      </c>
      <c r="G208" s="925">
        <v>0</v>
      </c>
      <c r="H208" s="925">
        <v>0</v>
      </c>
      <c r="I208" s="925">
        <v>0</v>
      </c>
      <c r="J208" s="925">
        <v>0</v>
      </c>
      <c r="K208" s="861">
        <v>0</v>
      </c>
      <c r="L208" s="925">
        <v>0</v>
      </c>
      <c r="M208" s="925">
        <v>0</v>
      </c>
      <c r="N208" s="925">
        <v>0</v>
      </c>
      <c r="O208" s="925">
        <v>614.82000000000005</v>
      </c>
      <c r="P208" s="925">
        <v>5227281.78</v>
      </c>
      <c r="Q208" s="925">
        <v>0</v>
      </c>
      <c r="R208" s="925">
        <v>0</v>
      </c>
      <c r="S208" s="925">
        <v>0</v>
      </c>
      <c r="T208" s="925">
        <v>0</v>
      </c>
      <c r="U208" s="925">
        <v>0</v>
      </c>
      <c r="V208" s="925">
        <v>0</v>
      </c>
      <c r="W208" s="925">
        <v>0</v>
      </c>
      <c r="X208" s="925">
        <v>0</v>
      </c>
      <c r="Y208" s="925">
        <v>0</v>
      </c>
      <c r="Z208" s="921">
        <v>409420.93</v>
      </c>
      <c r="AA208" s="925">
        <v>0</v>
      </c>
    </row>
    <row r="209" spans="1:27" s="867" customFormat="1" ht="97.15" customHeight="1">
      <c r="A209" s="927">
        <v>24</v>
      </c>
      <c r="B209" s="868" t="s">
        <v>1599</v>
      </c>
      <c r="C209" s="925">
        <f>D209+N209+P209+R209+T209+X209+Z209</f>
        <v>3613142.7</v>
      </c>
      <c r="D209" s="925">
        <f>SUM(E209:J209)</f>
        <v>0</v>
      </c>
      <c r="E209" s="925">
        <v>0</v>
      </c>
      <c r="F209" s="925">
        <v>0</v>
      </c>
      <c r="G209" s="925">
        <v>0</v>
      </c>
      <c r="H209" s="925">
        <v>0</v>
      </c>
      <c r="I209" s="925">
        <v>0</v>
      </c>
      <c r="J209" s="925">
        <v>0</v>
      </c>
      <c r="K209" s="861">
        <v>0</v>
      </c>
      <c r="L209" s="925">
        <v>0</v>
      </c>
      <c r="M209" s="925">
        <v>0</v>
      </c>
      <c r="N209" s="925">
        <v>0</v>
      </c>
      <c r="O209" s="925">
        <v>375</v>
      </c>
      <c r="P209" s="925">
        <v>3350702.7</v>
      </c>
      <c r="Q209" s="925">
        <v>0</v>
      </c>
      <c r="R209" s="925">
        <v>0</v>
      </c>
      <c r="S209" s="925">
        <v>0</v>
      </c>
      <c r="T209" s="925">
        <v>0</v>
      </c>
      <c r="U209" s="925">
        <v>0</v>
      </c>
      <c r="V209" s="925">
        <v>0</v>
      </c>
      <c r="W209" s="925">
        <v>0</v>
      </c>
      <c r="X209" s="925">
        <v>0</v>
      </c>
      <c r="Y209" s="925">
        <v>0</v>
      </c>
      <c r="Z209" s="921">
        <v>262440</v>
      </c>
      <c r="AA209" s="925">
        <v>0</v>
      </c>
    </row>
    <row r="210" spans="1:27" s="867" customFormat="1" ht="97.15" customHeight="1">
      <c r="A210" s="927">
        <v>25</v>
      </c>
      <c r="B210" s="868" t="s">
        <v>1969</v>
      </c>
      <c r="C210" s="925">
        <f>D210+N210+P210+R210+T210+X210+Z210</f>
        <v>6261413.8799999999</v>
      </c>
      <c r="D210" s="925">
        <f>SUM(E210:J210)</f>
        <v>0</v>
      </c>
      <c r="E210" s="925">
        <v>0</v>
      </c>
      <c r="F210" s="925">
        <v>0</v>
      </c>
      <c r="G210" s="925">
        <v>0</v>
      </c>
      <c r="H210" s="925">
        <v>0</v>
      </c>
      <c r="I210" s="925">
        <v>0</v>
      </c>
      <c r="J210" s="925">
        <v>0</v>
      </c>
      <c r="K210" s="861">
        <v>0</v>
      </c>
      <c r="L210" s="925">
        <v>0</v>
      </c>
      <c r="M210" s="925">
        <v>0</v>
      </c>
      <c r="N210" s="925">
        <v>0</v>
      </c>
      <c r="O210" s="925">
        <v>682.96</v>
      </c>
      <c r="P210" s="925">
        <v>5806617.1600000001</v>
      </c>
      <c r="Q210" s="925">
        <v>0</v>
      </c>
      <c r="R210" s="925">
        <v>0</v>
      </c>
      <c r="S210" s="925">
        <v>0</v>
      </c>
      <c r="T210" s="925">
        <v>0</v>
      </c>
      <c r="U210" s="925">
        <v>0</v>
      </c>
      <c r="V210" s="925">
        <v>0</v>
      </c>
      <c r="W210" s="925">
        <v>0</v>
      </c>
      <c r="X210" s="925">
        <v>0</v>
      </c>
      <c r="Y210" s="925">
        <v>0</v>
      </c>
      <c r="Z210" s="921">
        <v>454796.72</v>
      </c>
      <c r="AA210" s="925">
        <v>0</v>
      </c>
    </row>
    <row r="211" spans="1:27" s="867" customFormat="1" ht="97.15" customHeight="1">
      <c r="A211" s="927">
        <v>26</v>
      </c>
      <c r="B211" s="868" t="s">
        <v>2031</v>
      </c>
      <c r="C211" s="925">
        <f>D211+N211+P211+R211+T211+X211+Z211</f>
        <v>4001070.65</v>
      </c>
      <c r="D211" s="925">
        <f>SUM(E211:J211)</f>
        <v>0</v>
      </c>
      <c r="E211" s="925">
        <v>0</v>
      </c>
      <c r="F211" s="925">
        <v>0</v>
      </c>
      <c r="G211" s="925">
        <v>0</v>
      </c>
      <c r="H211" s="925">
        <v>0</v>
      </c>
      <c r="I211" s="925">
        <v>0</v>
      </c>
      <c r="J211" s="925">
        <v>0</v>
      </c>
      <c r="K211" s="861">
        <v>0</v>
      </c>
      <c r="L211" s="925">
        <v>0</v>
      </c>
      <c r="M211" s="925">
        <v>0</v>
      </c>
      <c r="N211" s="925">
        <v>0</v>
      </c>
      <c r="O211" s="925">
        <v>0</v>
      </c>
      <c r="P211" s="925">
        <v>0</v>
      </c>
      <c r="Q211" s="925">
        <v>0</v>
      </c>
      <c r="R211" s="925">
        <v>0</v>
      </c>
      <c r="S211" s="925">
        <v>939.9</v>
      </c>
      <c r="T211" s="925">
        <v>3710453.57</v>
      </c>
      <c r="U211" s="925">
        <v>0</v>
      </c>
      <c r="V211" s="925">
        <v>0</v>
      </c>
      <c r="W211" s="925">
        <v>0</v>
      </c>
      <c r="X211" s="925">
        <v>0</v>
      </c>
      <c r="Y211" s="925">
        <v>0</v>
      </c>
      <c r="Z211" s="921">
        <v>290617.08</v>
      </c>
      <c r="AA211" s="925">
        <v>0</v>
      </c>
    </row>
    <row r="212" spans="1:27" s="867" customFormat="1" ht="137.44999999999999" customHeight="1">
      <c r="A212" s="927">
        <v>27</v>
      </c>
      <c r="B212" s="868" t="s">
        <v>2155</v>
      </c>
      <c r="C212" s="925">
        <f t="shared" ref="C212:C218" si="49">D212+N212+P212+R212+T212+X212+Z212</f>
        <v>1063583.21</v>
      </c>
      <c r="D212" s="925">
        <f t="shared" ref="D212:D218" si="50">SUM(E212:J212)</f>
        <v>986330.03</v>
      </c>
      <c r="E212" s="925">
        <v>986330.03</v>
      </c>
      <c r="F212" s="925">
        <v>0</v>
      </c>
      <c r="G212" s="925">
        <v>0</v>
      </c>
      <c r="H212" s="925">
        <v>0</v>
      </c>
      <c r="I212" s="925">
        <v>0</v>
      </c>
      <c r="J212" s="925">
        <v>0</v>
      </c>
      <c r="K212" s="861">
        <v>0</v>
      </c>
      <c r="L212" s="925">
        <v>0</v>
      </c>
      <c r="M212" s="925">
        <v>0</v>
      </c>
      <c r="N212" s="925">
        <v>0</v>
      </c>
      <c r="O212" s="925">
        <v>0</v>
      </c>
      <c r="P212" s="925">
        <v>0</v>
      </c>
      <c r="Q212" s="925">
        <v>0</v>
      </c>
      <c r="R212" s="925">
        <v>0</v>
      </c>
      <c r="S212" s="925">
        <v>0</v>
      </c>
      <c r="T212" s="925">
        <v>0</v>
      </c>
      <c r="U212" s="925">
        <v>0</v>
      </c>
      <c r="V212" s="925">
        <v>0</v>
      </c>
      <c r="W212" s="925">
        <v>0</v>
      </c>
      <c r="X212" s="925">
        <v>0</v>
      </c>
      <c r="Y212" s="925">
        <v>0</v>
      </c>
      <c r="Z212" s="921">
        <v>77253.179999999993</v>
      </c>
      <c r="AA212" s="925">
        <v>0</v>
      </c>
    </row>
    <row r="213" spans="1:27" s="867" customFormat="1" ht="138.75" customHeight="1">
      <c r="A213" s="927">
        <v>28</v>
      </c>
      <c r="B213" s="868" t="s">
        <v>1600</v>
      </c>
      <c r="C213" s="925">
        <f t="shared" si="49"/>
        <v>8113769.5999999996</v>
      </c>
      <c r="D213" s="925">
        <f t="shared" si="50"/>
        <v>0</v>
      </c>
      <c r="E213" s="925">
        <v>0</v>
      </c>
      <c r="F213" s="925">
        <v>0</v>
      </c>
      <c r="G213" s="925">
        <v>0</v>
      </c>
      <c r="H213" s="925">
        <v>0</v>
      </c>
      <c r="I213" s="925">
        <v>0</v>
      </c>
      <c r="J213" s="925">
        <v>0</v>
      </c>
      <c r="K213" s="861">
        <v>0</v>
      </c>
      <c r="L213" s="925">
        <v>0</v>
      </c>
      <c r="M213" s="925">
        <v>0</v>
      </c>
      <c r="N213" s="925">
        <v>0</v>
      </c>
      <c r="O213" s="925">
        <v>842.11</v>
      </c>
      <c r="P213" s="925">
        <v>7524427.3399999999</v>
      </c>
      <c r="Q213" s="925">
        <v>0</v>
      </c>
      <c r="R213" s="925">
        <v>0</v>
      </c>
      <c r="S213" s="925">
        <v>0</v>
      </c>
      <c r="T213" s="925">
        <v>0</v>
      </c>
      <c r="U213" s="925">
        <v>0</v>
      </c>
      <c r="V213" s="925">
        <v>0</v>
      </c>
      <c r="W213" s="925">
        <v>0</v>
      </c>
      <c r="X213" s="925">
        <v>0</v>
      </c>
      <c r="Y213" s="925">
        <v>0</v>
      </c>
      <c r="Z213" s="921">
        <v>589342.26</v>
      </c>
      <c r="AA213" s="925">
        <v>0</v>
      </c>
    </row>
    <row r="214" spans="1:27" s="867" customFormat="1" ht="94.9" customHeight="1">
      <c r="A214" s="927">
        <v>29</v>
      </c>
      <c r="B214" s="868" t="s">
        <v>1601</v>
      </c>
      <c r="C214" s="925">
        <f t="shared" si="49"/>
        <v>5039129.6900000004</v>
      </c>
      <c r="D214" s="925">
        <f t="shared" si="50"/>
        <v>0</v>
      </c>
      <c r="E214" s="925">
        <v>0</v>
      </c>
      <c r="F214" s="925">
        <v>0</v>
      </c>
      <c r="G214" s="925">
        <v>0</v>
      </c>
      <c r="H214" s="925">
        <v>0</v>
      </c>
      <c r="I214" s="925">
        <v>0</v>
      </c>
      <c r="J214" s="925">
        <v>0</v>
      </c>
      <c r="K214" s="861">
        <v>0</v>
      </c>
      <c r="L214" s="925">
        <v>0</v>
      </c>
      <c r="M214" s="925">
        <v>0</v>
      </c>
      <c r="N214" s="925">
        <v>0</v>
      </c>
      <c r="O214" s="925">
        <v>523</v>
      </c>
      <c r="P214" s="925">
        <v>4673113.37</v>
      </c>
      <c r="Q214" s="925">
        <v>0</v>
      </c>
      <c r="R214" s="925">
        <v>0</v>
      </c>
      <c r="S214" s="925">
        <v>0</v>
      </c>
      <c r="T214" s="925">
        <v>0</v>
      </c>
      <c r="U214" s="925">
        <v>0</v>
      </c>
      <c r="V214" s="925">
        <v>0</v>
      </c>
      <c r="W214" s="925">
        <v>0</v>
      </c>
      <c r="X214" s="925">
        <v>0</v>
      </c>
      <c r="Y214" s="925">
        <v>0</v>
      </c>
      <c r="Z214" s="921">
        <v>366016.32</v>
      </c>
      <c r="AA214" s="925">
        <v>0</v>
      </c>
    </row>
    <row r="215" spans="1:27" s="867" customFormat="1" ht="94.9" customHeight="1">
      <c r="A215" s="927">
        <v>30</v>
      </c>
      <c r="B215" s="868" t="s">
        <v>2156</v>
      </c>
      <c r="C215" s="925">
        <f t="shared" si="49"/>
        <v>5923819.7199999997</v>
      </c>
      <c r="D215" s="925">
        <f t="shared" si="50"/>
        <v>0</v>
      </c>
      <c r="E215" s="925">
        <v>0</v>
      </c>
      <c r="F215" s="925">
        <v>0</v>
      </c>
      <c r="G215" s="925">
        <v>0</v>
      </c>
      <c r="H215" s="925">
        <v>0</v>
      </c>
      <c r="I215" s="925">
        <v>0</v>
      </c>
      <c r="J215" s="925">
        <v>0</v>
      </c>
      <c r="K215" s="861">
        <v>0</v>
      </c>
      <c r="L215" s="925">
        <v>0</v>
      </c>
      <c r="M215" s="925">
        <v>0</v>
      </c>
      <c r="N215" s="925">
        <v>0</v>
      </c>
      <c r="O215" s="925">
        <v>614.82000000000005</v>
      </c>
      <c r="P215" s="925">
        <v>5493544.0899999999</v>
      </c>
      <c r="Q215" s="925">
        <v>0</v>
      </c>
      <c r="R215" s="925">
        <v>0</v>
      </c>
      <c r="S215" s="925">
        <v>0</v>
      </c>
      <c r="T215" s="925">
        <v>0</v>
      </c>
      <c r="U215" s="925">
        <v>0</v>
      </c>
      <c r="V215" s="925">
        <v>0</v>
      </c>
      <c r="W215" s="925">
        <v>0</v>
      </c>
      <c r="X215" s="925">
        <v>0</v>
      </c>
      <c r="Y215" s="925">
        <v>0</v>
      </c>
      <c r="Z215" s="921">
        <v>430275.63</v>
      </c>
      <c r="AA215" s="925">
        <v>0</v>
      </c>
    </row>
    <row r="216" spans="1:27" s="867" customFormat="1" ht="100.9" customHeight="1">
      <c r="A216" s="927">
        <v>31</v>
      </c>
      <c r="B216" s="868" t="s">
        <v>2157</v>
      </c>
      <c r="C216" s="925">
        <f t="shared" si="49"/>
        <v>5156749.29</v>
      </c>
      <c r="D216" s="925">
        <f t="shared" si="50"/>
        <v>0</v>
      </c>
      <c r="E216" s="925">
        <v>0</v>
      </c>
      <c r="F216" s="925">
        <v>0</v>
      </c>
      <c r="G216" s="925">
        <v>0</v>
      </c>
      <c r="H216" s="925">
        <v>0</v>
      </c>
      <c r="I216" s="925">
        <v>0</v>
      </c>
      <c r="J216" s="925">
        <v>0</v>
      </c>
      <c r="K216" s="861">
        <v>0</v>
      </c>
      <c r="L216" s="925">
        <v>0</v>
      </c>
      <c r="M216" s="925">
        <v>0</v>
      </c>
      <c r="N216" s="925">
        <v>0</v>
      </c>
      <c r="O216" s="925">
        <v>615</v>
      </c>
      <c r="P216" s="925">
        <v>4782189.6900000004</v>
      </c>
      <c r="Q216" s="925">
        <v>0</v>
      </c>
      <c r="R216" s="925">
        <v>0</v>
      </c>
      <c r="S216" s="925">
        <v>0</v>
      </c>
      <c r="T216" s="925">
        <v>0</v>
      </c>
      <c r="U216" s="925">
        <v>0</v>
      </c>
      <c r="V216" s="925">
        <v>0</v>
      </c>
      <c r="W216" s="925">
        <v>0</v>
      </c>
      <c r="X216" s="925">
        <v>0</v>
      </c>
      <c r="Y216" s="925">
        <v>0</v>
      </c>
      <c r="Z216" s="921">
        <v>374559.6</v>
      </c>
      <c r="AA216" s="925">
        <v>0</v>
      </c>
    </row>
    <row r="217" spans="1:27" s="867" customFormat="1" ht="87.6" customHeight="1">
      <c r="A217" s="927">
        <v>32</v>
      </c>
      <c r="B217" s="868" t="s">
        <v>1605</v>
      </c>
      <c r="C217" s="925">
        <f t="shared" si="49"/>
        <v>3385925.81</v>
      </c>
      <c r="D217" s="925">
        <f t="shared" si="50"/>
        <v>0</v>
      </c>
      <c r="E217" s="925">
        <v>0</v>
      </c>
      <c r="F217" s="925">
        <v>0</v>
      </c>
      <c r="G217" s="925">
        <v>0</v>
      </c>
      <c r="H217" s="925">
        <v>0</v>
      </c>
      <c r="I217" s="925">
        <v>0</v>
      </c>
      <c r="J217" s="925">
        <v>0</v>
      </c>
      <c r="K217" s="861">
        <v>0</v>
      </c>
      <c r="L217" s="925">
        <v>0</v>
      </c>
      <c r="M217" s="925">
        <v>0</v>
      </c>
      <c r="N217" s="925">
        <v>0</v>
      </c>
      <c r="O217" s="925">
        <v>606.95000000000005</v>
      </c>
      <c r="P217" s="925">
        <v>3139989.67</v>
      </c>
      <c r="Q217" s="925">
        <v>0</v>
      </c>
      <c r="R217" s="925">
        <v>0</v>
      </c>
      <c r="S217" s="925">
        <v>0</v>
      </c>
      <c r="T217" s="925">
        <v>0</v>
      </c>
      <c r="U217" s="925">
        <v>0</v>
      </c>
      <c r="V217" s="925">
        <v>0</v>
      </c>
      <c r="W217" s="925">
        <v>0</v>
      </c>
      <c r="X217" s="925">
        <v>0</v>
      </c>
      <c r="Y217" s="925">
        <v>0</v>
      </c>
      <c r="Z217" s="921">
        <v>245936.14</v>
      </c>
      <c r="AA217" s="925">
        <v>0</v>
      </c>
    </row>
    <row r="218" spans="1:27" s="867" customFormat="1" ht="88.9" customHeight="1">
      <c r="A218" s="927">
        <v>33</v>
      </c>
      <c r="B218" s="868" t="s">
        <v>2158</v>
      </c>
      <c r="C218" s="925">
        <f t="shared" si="49"/>
        <v>8623367.2400000002</v>
      </c>
      <c r="D218" s="925">
        <f t="shared" si="50"/>
        <v>0</v>
      </c>
      <c r="E218" s="925">
        <v>0</v>
      </c>
      <c r="F218" s="925">
        <v>0</v>
      </c>
      <c r="G218" s="925">
        <v>0</v>
      </c>
      <c r="H218" s="925">
        <v>0</v>
      </c>
      <c r="I218" s="925">
        <v>0</v>
      </c>
      <c r="J218" s="925">
        <v>0</v>
      </c>
      <c r="K218" s="861">
        <v>0</v>
      </c>
      <c r="L218" s="925">
        <v>0</v>
      </c>
      <c r="M218" s="925">
        <v>0</v>
      </c>
      <c r="N218" s="925">
        <v>0</v>
      </c>
      <c r="O218" s="925">
        <v>895</v>
      </c>
      <c r="P218" s="925">
        <v>7997010.4400000004</v>
      </c>
      <c r="Q218" s="925">
        <v>0</v>
      </c>
      <c r="R218" s="925">
        <v>0</v>
      </c>
      <c r="S218" s="925">
        <v>0</v>
      </c>
      <c r="T218" s="925">
        <v>0</v>
      </c>
      <c r="U218" s="925">
        <v>0</v>
      </c>
      <c r="V218" s="925">
        <v>0</v>
      </c>
      <c r="W218" s="925">
        <v>0</v>
      </c>
      <c r="X218" s="925">
        <v>0</v>
      </c>
      <c r="Y218" s="925">
        <v>0</v>
      </c>
      <c r="Z218" s="921">
        <v>626356.80000000005</v>
      </c>
      <c r="AA218" s="925">
        <v>0</v>
      </c>
    </row>
    <row r="219" spans="1:27" s="867" customFormat="1" ht="95.25" customHeight="1">
      <c r="A219" s="1198" t="s">
        <v>1186</v>
      </c>
      <c r="B219" s="1199"/>
      <c r="C219" s="925">
        <f>SUM(C220:C227)</f>
        <v>57282217.330000006</v>
      </c>
      <c r="D219" s="925">
        <f t="shared" ref="D219:T219" si="51">SUM(D221:D227)</f>
        <v>0</v>
      </c>
      <c r="E219" s="925">
        <f t="shared" si="51"/>
        <v>0</v>
      </c>
      <c r="F219" s="925">
        <f t="shared" si="51"/>
        <v>0</v>
      </c>
      <c r="G219" s="925">
        <f t="shared" si="51"/>
        <v>0</v>
      </c>
      <c r="H219" s="925">
        <f t="shared" si="51"/>
        <v>0</v>
      </c>
      <c r="I219" s="925">
        <f t="shared" si="51"/>
        <v>0</v>
      </c>
      <c r="J219" s="925">
        <f t="shared" si="51"/>
        <v>0</v>
      </c>
      <c r="K219" s="861">
        <f t="shared" si="51"/>
        <v>0</v>
      </c>
      <c r="L219" s="925">
        <f t="shared" si="51"/>
        <v>0</v>
      </c>
      <c r="M219" s="925">
        <f t="shared" si="51"/>
        <v>0</v>
      </c>
      <c r="N219" s="925">
        <f t="shared" si="51"/>
        <v>0</v>
      </c>
      <c r="O219" s="925">
        <f t="shared" si="51"/>
        <v>5651</v>
      </c>
      <c r="P219" s="925">
        <f t="shared" si="51"/>
        <v>35956826.299999997</v>
      </c>
      <c r="Q219" s="925">
        <f t="shared" si="51"/>
        <v>0</v>
      </c>
      <c r="R219" s="925">
        <f t="shared" si="51"/>
        <v>0</v>
      </c>
      <c r="S219" s="925">
        <f t="shared" si="51"/>
        <v>1618.36</v>
      </c>
      <c r="T219" s="925">
        <f t="shared" si="51"/>
        <v>6714457.1799999997</v>
      </c>
      <c r="U219" s="925">
        <v>0</v>
      </c>
      <c r="V219" s="925">
        <v>0</v>
      </c>
      <c r="W219" s="925">
        <f>SUM(W221:W227)</f>
        <v>0</v>
      </c>
      <c r="X219" s="925">
        <f>SUM(X221:X227)</f>
        <v>0</v>
      </c>
      <c r="Y219" s="925">
        <v>0</v>
      </c>
      <c r="Z219" s="921">
        <f>SUM(Z221:Z227)</f>
        <v>3342180.03</v>
      </c>
      <c r="AA219" s="925">
        <f>SUM(AA221:AA227)</f>
        <v>0</v>
      </c>
    </row>
    <row r="220" spans="1:27" s="867" customFormat="1" ht="95.25" customHeight="1">
      <c r="A220" s="927">
        <v>34</v>
      </c>
      <c r="B220" s="868" t="s">
        <v>1916</v>
      </c>
      <c r="C220" s="925">
        <f>D220+N220+P220+R220+T220+X220+Z220</f>
        <v>11268753.82</v>
      </c>
      <c r="D220" s="925">
        <f>SUM(E220:J220)</f>
        <v>0</v>
      </c>
      <c r="E220" s="925">
        <v>0</v>
      </c>
      <c r="F220" s="925">
        <v>0</v>
      </c>
      <c r="G220" s="925">
        <v>0</v>
      </c>
      <c r="H220" s="925">
        <v>0</v>
      </c>
      <c r="I220" s="925">
        <v>0</v>
      </c>
      <c r="J220" s="925">
        <v>0</v>
      </c>
      <c r="K220" s="861">
        <v>0</v>
      </c>
      <c r="L220" s="925">
        <v>0</v>
      </c>
      <c r="M220" s="925">
        <v>0</v>
      </c>
      <c r="N220" s="925">
        <v>0</v>
      </c>
      <c r="O220" s="925">
        <v>2020</v>
      </c>
      <c r="P220" s="925">
        <v>10450249.82</v>
      </c>
      <c r="Q220" s="925">
        <v>0</v>
      </c>
      <c r="R220" s="925">
        <v>0</v>
      </c>
      <c r="S220" s="925">
        <v>0</v>
      </c>
      <c r="T220" s="925">
        <v>0</v>
      </c>
      <c r="U220" s="925">
        <v>0</v>
      </c>
      <c r="V220" s="925">
        <v>0</v>
      </c>
      <c r="W220" s="925">
        <v>0</v>
      </c>
      <c r="X220" s="925">
        <v>0</v>
      </c>
      <c r="Y220" s="925">
        <v>0</v>
      </c>
      <c r="Z220" s="921">
        <v>818504</v>
      </c>
      <c r="AA220" s="925">
        <v>0</v>
      </c>
    </row>
    <row r="221" spans="1:27" s="867" customFormat="1" ht="94.5" customHeight="1">
      <c r="A221" s="927">
        <v>35</v>
      </c>
      <c r="B221" s="868" t="s">
        <v>1917</v>
      </c>
      <c r="C221" s="925">
        <f t="shared" ref="C221:C227" si="52">D221+N221+P221+R221+T221+X221+Z221</f>
        <v>6906295.6599999992</v>
      </c>
      <c r="D221" s="925">
        <f t="shared" ref="D221:D227" si="53">SUM(E221:J221)</f>
        <v>0</v>
      </c>
      <c r="E221" s="925">
        <v>0</v>
      </c>
      <c r="F221" s="925">
        <v>0</v>
      </c>
      <c r="G221" s="925">
        <v>0</v>
      </c>
      <c r="H221" s="925">
        <v>0</v>
      </c>
      <c r="I221" s="925">
        <v>0</v>
      </c>
      <c r="J221" s="925">
        <v>0</v>
      </c>
      <c r="K221" s="861">
        <v>0</v>
      </c>
      <c r="L221" s="925">
        <v>0</v>
      </c>
      <c r="M221" s="925">
        <v>0</v>
      </c>
      <c r="N221" s="925">
        <v>0</v>
      </c>
      <c r="O221" s="925">
        <v>1238</v>
      </c>
      <c r="P221" s="925">
        <v>6404658.0599999996</v>
      </c>
      <c r="Q221" s="925">
        <v>0</v>
      </c>
      <c r="R221" s="925">
        <v>0</v>
      </c>
      <c r="S221" s="925">
        <v>0</v>
      </c>
      <c r="T221" s="879">
        <v>0</v>
      </c>
      <c r="U221" s="879">
        <v>0</v>
      </c>
      <c r="V221" s="879">
        <v>0</v>
      </c>
      <c r="W221" s="879">
        <v>0</v>
      </c>
      <c r="X221" s="879">
        <v>0</v>
      </c>
      <c r="Y221" s="879">
        <v>0</v>
      </c>
      <c r="Z221" s="871">
        <v>501637.6</v>
      </c>
      <c r="AA221" s="925">
        <v>0</v>
      </c>
    </row>
    <row r="222" spans="1:27" s="867" customFormat="1" ht="94.5" customHeight="1">
      <c r="A222" s="927">
        <v>36</v>
      </c>
      <c r="B222" s="868" t="s">
        <v>1918</v>
      </c>
      <c r="C222" s="925">
        <f t="shared" si="52"/>
        <v>3564967.46</v>
      </c>
      <c r="D222" s="925">
        <f t="shared" si="53"/>
        <v>0</v>
      </c>
      <c r="E222" s="925">
        <v>0</v>
      </c>
      <c r="F222" s="925">
        <v>0</v>
      </c>
      <c r="G222" s="925">
        <v>0</v>
      </c>
      <c r="H222" s="925">
        <v>0</v>
      </c>
      <c r="I222" s="925">
        <v>0</v>
      </c>
      <c r="J222" s="925">
        <v>0</v>
      </c>
      <c r="K222" s="861">
        <v>0</v>
      </c>
      <c r="L222" s="925">
        <v>0</v>
      </c>
      <c r="M222" s="925">
        <v>0</v>
      </c>
      <c r="N222" s="925">
        <v>0</v>
      </c>
      <c r="O222" s="925">
        <v>370</v>
      </c>
      <c r="P222" s="925">
        <v>3306026.66</v>
      </c>
      <c r="Q222" s="925">
        <v>0</v>
      </c>
      <c r="R222" s="925">
        <v>0</v>
      </c>
      <c r="S222" s="925">
        <v>0</v>
      </c>
      <c r="T222" s="879">
        <v>0</v>
      </c>
      <c r="U222" s="879">
        <v>0</v>
      </c>
      <c r="V222" s="879">
        <v>0</v>
      </c>
      <c r="W222" s="879">
        <v>0</v>
      </c>
      <c r="X222" s="879">
        <v>0</v>
      </c>
      <c r="Y222" s="879">
        <v>0</v>
      </c>
      <c r="Z222" s="871">
        <v>258940.79999999999</v>
      </c>
      <c r="AA222" s="925">
        <v>0</v>
      </c>
    </row>
    <row r="223" spans="1:27" s="867" customFormat="1" ht="94.5" customHeight="1">
      <c r="A223" s="927">
        <v>37</v>
      </c>
      <c r="B223" s="868" t="s">
        <v>1919</v>
      </c>
      <c r="C223" s="925">
        <f t="shared" si="52"/>
        <v>4297231.05</v>
      </c>
      <c r="D223" s="925">
        <f t="shared" si="53"/>
        <v>0</v>
      </c>
      <c r="E223" s="925">
        <v>0</v>
      </c>
      <c r="F223" s="925">
        <v>0</v>
      </c>
      <c r="G223" s="925">
        <v>0</v>
      </c>
      <c r="H223" s="925">
        <v>0</v>
      </c>
      <c r="I223" s="925">
        <v>0</v>
      </c>
      <c r="J223" s="925">
        <v>0</v>
      </c>
      <c r="K223" s="861">
        <v>0</v>
      </c>
      <c r="L223" s="925">
        <v>0</v>
      </c>
      <c r="M223" s="925">
        <v>0</v>
      </c>
      <c r="N223" s="925">
        <v>0</v>
      </c>
      <c r="O223" s="925">
        <v>446</v>
      </c>
      <c r="P223" s="925">
        <v>3985102.41</v>
      </c>
      <c r="Q223" s="925">
        <v>0</v>
      </c>
      <c r="R223" s="925">
        <v>0</v>
      </c>
      <c r="S223" s="925">
        <v>0</v>
      </c>
      <c r="T223" s="879">
        <v>0</v>
      </c>
      <c r="U223" s="879">
        <v>0</v>
      </c>
      <c r="V223" s="879">
        <v>0</v>
      </c>
      <c r="W223" s="879">
        <v>0</v>
      </c>
      <c r="X223" s="879">
        <v>0</v>
      </c>
      <c r="Y223" s="879">
        <v>0</v>
      </c>
      <c r="Z223" s="871">
        <v>312128.64000000001</v>
      </c>
      <c r="AA223" s="925">
        <v>0</v>
      </c>
    </row>
    <row r="224" spans="1:27" s="867" customFormat="1" ht="94.5" customHeight="1">
      <c r="A224" s="927">
        <v>38</v>
      </c>
      <c r="B224" s="868" t="s">
        <v>1920</v>
      </c>
      <c r="C224" s="925">
        <f t="shared" si="52"/>
        <v>10007992.25</v>
      </c>
      <c r="D224" s="925">
        <f t="shared" si="53"/>
        <v>0</v>
      </c>
      <c r="E224" s="925">
        <v>0</v>
      </c>
      <c r="F224" s="925">
        <v>0</v>
      </c>
      <c r="G224" s="925">
        <v>0</v>
      </c>
      <c r="H224" s="925">
        <v>0</v>
      </c>
      <c r="I224" s="925">
        <v>0</v>
      </c>
      <c r="J224" s="925">
        <v>0</v>
      </c>
      <c r="K224" s="861">
        <v>0</v>
      </c>
      <c r="L224" s="925">
        <v>0</v>
      </c>
      <c r="M224" s="925">
        <v>0</v>
      </c>
      <c r="N224" s="925">
        <v>0</v>
      </c>
      <c r="O224" s="925">
        <v>1794</v>
      </c>
      <c r="P224" s="925">
        <v>9281063.4499999993</v>
      </c>
      <c r="Q224" s="925">
        <v>0</v>
      </c>
      <c r="R224" s="925">
        <v>0</v>
      </c>
      <c r="S224" s="925">
        <v>0</v>
      </c>
      <c r="T224" s="879">
        <v>0</v>
      </c>
      <c r="U224" s="879">
        <v>0</v>
      </c>
      <c r="V224" s="879">
        <v>0</v>
      </c>
      <c r="W224" s="879">
        <v>0</v>
      </c>
      <c r="X224" s="879">
        <v>0</v>
      </c>
      <c r="Y224" s="879">
        <v>0</v>
      </c>
      <c r="Z224" s="871">
        <v>726928.8</v>
      </c>
      <c r="AA224" s="925">
        <v>0</v>
      </c>
    </row>
    <row r="225" spans="1:27" s="867" customFormat="1" ht="94.5" customHeight="1">
      <c r="A225" s="927">
        <v>39</v>
      </c>
      <c r="B225" s="868" t="s">
        <v>1991</v>
      </c>
      <c r="C225" s="925">
        <f>D225+N225+P225+R225+T225+X225+Z225</f>
        <v>4139964.35</v>
      </c>
      <c r="D225" s="925">
        <v>0</v>
      </c>
      <c r="E225" s="925">
        <v>0</v>
      </c>
      <c r="F225" s="925">
        <v>0</v>
      </c>
      <c r="G225" s="925">
        <v>0</v>
      </c>
      <c r="H225" s="925">
        <v>0</v>
      </c>
      <c r="I225" s="925">
        <v>0</v>
      </c>
      <c r="J225" s="925">
        <v>0</v>
      </c>
      <c r="K225" s="861">
        <v>0</v>
      </c>
      <c r="L225" s="925">
        <v>0</v>
      </c>
      <c r="M225" s="925">
        <v>0</v>
      </c>
      <c r="N225" s="925">
        <v>0</v>
      </c>
      <c r="O225" s="925">
        <v>780</v>
      </c>
      <c r="P225" s="925">
        <v>3839258.75</v>
      </c>
      <c r="Q225" s="925">
        <v>0</v>
      </c>
      <c r="R225" s="925">
        <v>0</v>
      </c>
      <c r="S225" s="925">
        <v>0</v>
      </c>
      <c r="T225" s="929">
        <v>0</v>
      </c>
      <c r="U225" s="929">
        <v>0</v>
      </c>
      <c r="V225" s="929">
        <v>0</v>
      </c>
      <c r="W225" s="929">
        <v>0</v>
      </c>
      <c r="X225" s="929">
        <v>0</v>
      </c>
      <c r="Y225" s="929">
        <v>0</v>
      </c>
      <c r="Z225" s="864">
        <v>300705.59999999998</v>
      </c>
      <c r="AA225" s="925">
        <v>0</v>
      </c>
    </row>
    <row r="226" spans="1:27" s="867" customFormat="1" ht="94.5" customHeight="1">
      <c r="A226" s="927">
        <v>40</v>
      </c>
      <c r="B226" s="868" t="s">
        <v>1921</v>
      </c>
      <c r="C226" s="925">
        <f t="shared" si="52"/>
        <v>14807366.950000001</v>
      </c>
      <c r="D226" s="925">
        <f t="shared" si="53"/>
        <v>0</v>
      </c>
      <c r="E226" s="925">
        <v>0</v>
      </c>
      <c r="F226" s="925">
        <v>0</v>
      </c>
      <c r="G226" s="925">
        <v>0</v>
      </c>
      <c r="H226" s="925">
        <v>0</v>
      </c>
      <c r="I226" s="925">
        <v>0</v>
      </c>
      <c r="J226" s="925">
        <v>0</v>
      </c>
      <c r="K226" s="861">
        <v>0</v>
      </c>
      <c r="L226" s="925">
        <v>0</v>
      </c>
      <c r="M226" s="925">
        <v>0</v>
      </c>
      <c r="N226" s="925">
        <v>0</v>
      </c>
      <c r="O226" s="925">
        <v>1023</v>
      </c>
      <c r="P226" s="925">
        <v>9140716.9700000007</v>
      </c>
      <c r="Q226" s="925">
        <v>0</v>
      </c>
      <c r="R226" s="925">
        <v>0</v>
      </c>
      <c r="S226" s="925">
        <v>1106.58</v>
      </c>
      <c r="T226" s="929">
        <v>4591119.42</v>
      </c>
      <c r="U226" s="929">
        <v>0</v>
      </c>
      <c r="V226" s="929">
        <v>0</v>
      </c>
      <c r="W226" s="929">
        <v>0</v>
      </c>
      <c r="X226" s="929">
        <v>0</v>
      </c>
      <c r="Y226" s="929">
        <v>0</v>
      </c>
      <c r="Z226" s="864">
        <v>1075530.56</v>
      </c>
      <c r="AA226" s="925">
        <v>0</v>
      </c>
    </row>
    <row r="227" spans="1:27" s="867" customFormat="1" ht="94.5" customHeight="1">
      <c r="A227" s="927">
        <v>41</v>
      </c>
      <c r="B227" s="868" t="s">
        <v>1910</v>
      </c>
      <c r="C227" s="925">
        <f t="shared" si="52"/>
        <v>2289645.7899999996</v>
      </c>
      <c r="D227" s="925">
        <f t="shared" si="53"/>
        <v>0</v>
      </c>
      <c r="E227" s="925">
        <v>0</v>
      </c>
      <c r="F227" s="925">
        <v>0</v>
      </c>
      <c r="G227" s="925">
        <v>0</v>
      </c>
      <c r="H227" s="925">
        <v>0</v>
      </c>
      <c r="I227" s="925">
        <v>0</v>
      </c>
      <c r="J227" s="925">
        <v>0</v>
      </c>
      <c r="K227" s="861">
        <v>0</v>
      </c>
      <c r="L227" s="925">
        <v>0</v>
      </c>
      <c r="M227" s="925">
        <v>0</v>
      </c>
      <c r="N227" s="925">
        <v>0</v>
      </c>
      <c r="O227" s="925">
        <v>0</v>
      </c>
      <c r="P227" s="925">
        <v>0</v>
      </c>
      <c r="Q227" s="925">
        <v>0</v>
      </c>
      <c r="R227" s="925">
        <v>0</v>
      </c>
      <c r="S227" s="925">
        <v>511.78</v>
      </c>
      <c r="T227" s="929">
        <v>2123337.7599999998</v>
      </c>
      <c r="U227" s="929">
        <v>0</v>
      </c>
      <c r="V227" s="929">
        <v>0</v>
      </c>
      <c r="W227" s="929">
        <v>0</v>
      </c>
      <c r="X227" s="929">
        <v>0</v>
      </c>
      <c r="Y227" s="929">
        <v>0</v>
      </c>
      <c r="Z227" s="864">
        <v>166308.03</v>
      </c>
      <c r="AA227" s="925">
        <v>0</v>
      </c>
    </row>
    <row r="228" spans="1:27" s="867" customFormat="1" ht="87.6" customHeight="1">
      <c r="A228" s="1198" t="s">
        <v>2272</v>
      </c>
      <c r="B228" s="1199"/>
      <c r="C228" s="925">
        <f>SUM(C229:C231)</f>
        <v>18529277.419999998</v>
      </c>
      <c r="D228" s="925">
        <f t="shared" ref="D228:AA228" si="54">SUM(D229:D231)</f>
        <v>0</v>
      </c>
      <c r="E228" s="925">
        <f t="shared" si="54"/>
        <v>0</v>
      </c>
      <c r="F228" s="925">
        <f t="shared" si="54"/>
        <v>0</v>
      </c>
      <c r="G228" s="925">
        <f t="shared" si="54"/>
        <v>0</v>
      </c>
      <c r="H228" s="925">
        <f t="shared" si="54"/>
        <v>0</v>
      </c>
      <c r="I228" s="925">
        <f t="shared" si="54"/>
        <v>0</v>
      </c>
      <c r="J228" s="925">
        <f t="shared" si="54"/>
        <v>0</v>
      </c>
      <c r="K228" s="861">
        <f t="shared" si="54"/>
        <v>0</v>
      </c>
      <c r="L228" s="925">
        <f t="shared" si="54"/>
        <v>0</v>
      </c>
      <c r="M228" s="925">
        <f t="shared" si="54"/>
        <v>0</v>
      </c>
      <c r="N228" s="925">
        <f t="shared" si="54"/>
        <v>0</v>
      </c>
      <c r="O228" s="925">
        <f t="shared" si="54"/>
        <v>1715</v>
      </c>
      <c r="P228" s="925">
        <f t="shared" si="54"/>
        <v>15323880.35</v>
      </c>
      <c r="Q228" s="925">
        <f t="shared" si="54"/>
        <v>0</v>
      </c>
      <c r="R228" s="925">
        <f t="shared" si="54"/>
        <v>0</v>
      </c>
      <c r="S228" s="925">
        <f t="shared" si="54"/>
        <v>0</v>
      </c>
      <c r="T228" s="925">
        <f t="shared" si="54"/>
        <v>0</v>
      </c>
      <c r="U228" s="925">
        <f t="shared" si="54"/>
        <v>0</v>
      </c>
      <c r="V228" s="925">
        <f t="shared" si="54"/>
        <v>0</v>
      </c>
      <c r="W228" s="925">
        <f t="shared" si="54"/>
        <v>19</v>
      </c>
      <c r="X228" s="925">
        <f t="shared" si="54"/>
        <v>2005171.47</v>
      </c>
      <c r="Y228" s="925">
        <f t="shared" si="54"/>
        <v>0</v>
      </c>
      <c r="Z228" s="925">
        <f t="shared" si="54"/>
        <v>1200225.6000000001</v>
      </c>
      <c r="AA228" s="925">
        <f t="shared" si="54"/>
        <v>0</v>
      </c>
    </row>
    <row r="229" spans="1:27" s="867" customFormat="1" ht="94.5" customHeight="1">
      <c r="A229" s="927">
        <v>42</v>
      </c>
      <c r="B229" s="868" t="s">
        <v>1311</v>
      </c>
      <c r="C229" s="925">
        <f>D229+N229+P229+R229+T229+X229+Z229</f>
        <v>4913874.07</v>
      </c>
      <c r="D229" s="925">
        <f>SUM(E229:J229)</f>
        <v>0</v>
      </c>
      <c r="E229" s="925">
        <v>0</v>
      </c>
      <c r="F229" s="925">
        <v>0</v>
      </c>
      <c r="G229" s="925">
        <v>0</v>
      </c>
      <c r="H229" s="925">
        <v>0</v>
      </c>
      <c r="I229" s="925">
        <v>0</v>
      </c>
      <c r="J229" s="925">
        <v>0</v>
      </c>
      <c r="K229" s="861">
        <v>0</v>
      </c>
      <c r="L229" s="925">
        <v>0</v>
      </c>
      <c r="M229" s="925">
        <v>0</v>
      </c>
      <c r="N229" s="925">
        <v>0</v>
      </c>
      <c r="O229" s="925">
        <v>510</v>
      </c>
      <c r="P229" s="925">
        <v>4556955.67</v>
      </c>
      <c r="Q229" s="925">
        <v>0</v>
      </c>
      <c r="R229" s="925">
        <v>0</v>
      </c>
      <c r="S229" s="925">
        <v>0</v>
      </c>
      <c r="T229" s="925">
        <v>0</v>
      </c>
      <c r="U229" s="925">
        <v>0</v>
      </c>
      <c r="V229" s="925">
        <v>0</v>
      </c>
      <c r="W229" s="925">
        <v>0</v>
      </c>
      <c r="X229" s="925">
        <v>0</v>
      </c>
      <c r="Y229" s="925">
        <v>0</v>
      </c>
      <c r="Z229" s="921">
        <v>356918.4</v>
      </c>
      <c r="AA229" s="925">
        <v>0</v>
      </c>
    </row>
    <row r="230" spans="1:27" s="867" customFormat="1" ht="94.9" customHeight="1">
      <c r="A230" s="927">
        <v>43</v>
      </c>
      <c r="B230" s="868" t="s">
        <v>1324</v>
      </c>
      <c r="C230" s="925">
        <f>D230+N230+P230+R230+T230+X230+Z230</f>
        <v>11610231.879999999</v>
      </c>
      <c r="D230" s="925">
        <f>SUM(E230:J230)</f>
        <v>0</v>
      </c>
      <c r="E230" s="925">
        <v>0</v>
      </c>
      <c r="F230" s="925">
        <v>0</v>
      </c>
      <c r="G230" s="925">
        <v>0</v>
      </c>
      <c r="H230" s="925">
        <v>0</v>
      </c>
      <c r="I230" s="925">
        <v>0</v>
      </c>
      <c r="J230" s="925">
        <v>0</v>
      </c>
      <c r="K230" s="861">
        <v>0</v>
      </c>
      <c r="L230" s="925">
        <v>0</v>
      </c>
      <c r="M230" s="925">
        <v>0</v>
      </c>
      <c r="N230" s="925">
        <v>0</v>
      </c>
      <c r="O230" s="925">
        <v>1205</v>
      </c>
      <c r="P230" s="925">
        <v>10766924.68</v>
      </c>
      <c r="Q230" s="925">
        <v>0</v>
      </c>
      <c r="R230" s="925">
        <v>0</v>
      </c>
      <c r="S230" s="925">
        <v>0</v>
      </c>
      <c r="T230" s="925">
        <v>0</v>
      </c>
      <c r="U230" s="925">
        <v>0</v>
      </c>
      <c r="V230" s="925">
        <v>0</v>
      </c>
      <c r="W230" s="925">
        <v>0</v>
      </c>
      <c r="X230" s="925">
        <v>0</v>
      </c>
      <c r="Y230" s="925">
        <v>0</v>
      </c>
      <c r="Z230" s="921">
        <v>843307.2</v>
      </c>
      <c r="AA230" s="925">
        <v>0</v>
      </c>
    </row>
    <row r="231" spans="1:27" s="867" customFormat="1" ht="94.9" customHeight="1">
      <c r="A231" s="927">
        <v>44</v>
      </c>
      <c r="B231" s="868" t="s">
        <v>2159</v>
      </c>
      <c r="C231" s="925">
        <f>D231+N231+P231+R231+T231+X231+Z231</f>
        <v>2005171.47</v>
      </c>
      <c r="D231" s="925">
        <f>SUM(E231:J231)</f>
        <v>0</v>
      </c>
      <c r="E231" s="925">
        <v>0</v>
      </c>
      <c r="F231" s="925">
        <v>0</v>
      </c>
      <c r="G231" s="925">
        <v>0</v>
      </c>
      <c r="H231" s="925">
        <v>0</v>
      </c>
      <c r="I231" s="925">
        <v>0</v>
      </c>
      <c r="J231" s="925">
        <v>0</v>
      </c>
      <c r="K231" s="861">
        <v>0</v>
      </c>
      <c r="L231" s="925">
        <v>0</v>
      </c>
      <c r="M231" s="925">
        <v>0</v>
      </c>
      <c r="N231" s="925">
        <v>0</v>
      </c>
      <c r="O231" s="925">
        <v>0</v>
      </c>
      <c r="P231" s="925">
        <v>0</v>
      </c>
      <c r="Q231" s="925">
        <v>0</v>
      </c>
      <c r="R231" s="925">
        <v>0</v>
      </c>
      <c r="S231" s="925">
        <v>0</v>
      </c>
      <c r="T231" s="925">
        <v>0</v>
      </c>
      <c r="U231" s="925">
        <v>0</v>
      </c>
      <c r="V231" s="925">
        <v>0</v>
      </c>
      <c r="W231" s="925">
        <v>19</v>
      </c>
      <c r="X231" s="925">
        <v>2005171.47</v>
      </c>
      <c r="Y231" s="925">
        <v>0</v>
      </c>
      <c r="Z231" s="921">
        <v>0</v>
      </c>
      <c r="AA231" s="925">
        <v>0</v>
      </c>
    </row>
    <row r="232" spans="1:27" s="867" customFormat="1" ht="87.6" customHeight="1">
      <c r="A232" s="1198" t="s">
        <v>2054</v>
      </c>
      <c r="B232" s="1199"/>
      <c r="C232" s="925">
        <f t="shared" ref="C232:T232" si="55">SUM(C233:C234)</f>
        <v>10868333.24</v>
      </c>
      <c r="D232" s="925">
        <f t="shared" si="55"/>
        <v>0</v>
      </c>
      <c r="E232" s="925">
        <f t="shared" si="55"/>
        <v>0</v>
      </c>
      <c r="F232" s="925">
        <f t="shared" si="55"/>
        <v>0</v>
      </c>
      <c r="G232" s="925">
        <f t="shared" si="55"/>
        <v>0</v>
      </c>
      <c r="H232" s="925">
        <f t="shared" si="55"/>
        <v>0</v>
      </c>
      <c r="I232" s="925">
        <f t="shared" si="55"/>
        <v>0</v>
      </c>
      <c r="J232" s="925">
        <f t="shared" si="55"/>
        <v>0</v>
      </c>
      <c r="K232" s="861">
        <f t="shared" si="55"/>
        <v>0</v>
      </c>
      <c r="L232" s="925">
        <f t="shared" si="55"/>
        <v>0</v>
      </c>
      <c r="M232" s="925">
        <f t="shared" si="55"/>
        <v>0</v>
      </c>
      <c r="N232" s="925">
        <f t="shared" si="55"/>
        <v>0</v>
      </c>
      <c r="O232" s="925">
        <f t="shared" si="55"/>
        <v>1128</v>
      </c>
      <c r="P232" s="925">
        <f t="shared" si="55"/>
        <v>10078913.720000001</v>
      </c>
      <c r="Q232" s="925">
        <f t="shared" si="55"/>
        <v>0</v>
      </c>
      <c r="R232" s="925">
        <f t="shared" si="55"/>
        <v>0</v>
      </c>
      <c r="S232" s="925">
        <f t="shared" si="55"/>
        <v>0</v>
      </c>
      <c r="T232" s="925">
        <f t="shared" si="55"/>
        <v>0</v>
      </c>
      <c r="U232" s="925">
        <v>0</v>
      </c>
      <c r="V232" s="925">
        <v>0</v>
      </c>
      <c r="W232" s="925">
        <f>SUM(W233:W234)</f>
        <v>0</v>
      </c>
      <c r="X232" s="925">
        <f>SUM(X233:X234)</f>
        <v>0</v>
      </c>
      <c r="Y232" s="925">
        <v>0</v>
      </c>
      <c r="Z232" s="921">
        <f>SUM(Z233:Z234)</f>
        <v>789419.52000000002</v>
      </c>
      <c r="AA232" s="925">
        <f>SUM(AA233:AA234)</f>
        <v>0</v>
      </c>
    </row>
    <row r="233" spans="1:27" s="867" customFormat="1" ht="100.5" customHeight="1">
      <c r="A233" s="927">
        <v>45</v>
      </c>
      <c r="B233" s="863" t="s">
        <v>1458</v>
      </c>
      <c r="C233" s="925">
        <f>D233+N233+P233+R233+T233+X233+Z233</f>
        <v>5434166.6200000001</v>
      </c>
      <c r="D233" s="925">
        <f>SUM(E233:J233)</f>
        <v>0</v>
      </c>
      <c r="E233" s="925">
        <v>0</v>
      </c>
      <c r="F233" s="925">
        <v>0</v>
      </c>
      <c r="G233" s="925">
        <v>0</v>
      </c>
      <c r="H233" s="925">
        <v>0</v>
      </c>
      <c r="I233" s="925">
        <v>0</v>
      </c>
      <c r="J233" s="925">
        <v>0</v>
      </c>
      <c r="K233" s="861">
        <v>0</v>
      </c>
      <c r="L233" s="925">
        <v>0</v>
      </c>
      <c r="M233" s="925">
        <v>0</v>
      </c>
      <c r="N233" s="925">
        <v>0</v>
      </c>
      <c r="O233" s="925">
        <v>564</v>
      </c>
      <c r="P233" s="925">
        <v>5039456.8600000003</v>
      </c>
      <c r="Q233" s="925">
        <v>0</v>
      </c>
      <c r="R233" s="925">
        <v>0</v>
      </c>
      <c r="S233" s="925">
        <v>0</v>
      </c>
      <c r="T233" s="925">
        <v>0</v>
      </c>
      <c r="U233" s="925">
        <v>0</v>
      </c>
      <c r="V233" s="925">
        <v>0</v>
      </c>
      <c r="W233" s="925">
        <v>0</v>
      </c>
      <c r="X233" s="925">
        <v>0</v>
      </c>
      <c r="Y233" s="925">
        <v>0</v>
      </c>
      <c r="Z233" s="921">
        <v>394709.76000000001</v>
      </c>
      <c r="AA233" s="925">
        <v>0</v>
      </c>
    </row>
    <row r="234" spans="1:27" s="867" customFormat="1" ht="107.25" customHeight="1">
      <c r="A234" s="927">
        <v>46</v>
      </c>
      <c r="B234" s="863" t="s">
        <v>1459</v>
      </c>
      <c r="C234" s="925">
        <f>D234+N234+P234+R234+T234+X234+Z234</f>
        <v>5434166.6200000001</v>
      </c>
      <c r="D234" s="925">
        <f>SUM(E234:J234)</f>
        <v>0</v>
      </c>
      <c r="E234" s="925">
        <v>0</v>
      </c>
      <c r="F234" s="925">
        <v>0</v>
      </c>
      <c r="G234" s="925">
        <v>0</v>
      </c>
      <c r="H234" s="925">
        <v>0</v>
      </c>
      <c r="I234" s="925">
        <v>0</v>
      </c>
      <c r="J234" s="925">
        <v>0</v>
      </c>
      <c r="K234" s="861">
        <v>0</v>
      </c>
      <c r="L234" s="925">
        <v>0</v>
      </c>
      <c r="M234" s="925">
        <v>0</v>
      </c>
      <c r="N234" s="925">
        <v>0</v>
      </c>
      <c r="O234" s="925">
        <v>564</v>
      </c>
      <c r="P234" s="925">
        <v>5039456.8600000003</v>
      </c>
      <c r="Q234" s="925">
        <v>0</v>
      </c>
      <c r="R234" s="925">
        <v>0</v>
      </c>
      <c r="S234" s="925">
        <v>0</v>
      </c>
      <c r="T234" s="925">
        <v>0</v>
      </c>
      <c r="U234" s="925">
        <v>0</v>
      </c>
      <c r="V234" s="925">
        <v>0</v>
      </c>
      <c r="W234" s="925">
        <v>0</v>
      </c>
      <c r="X234" s="925">
        <v>0</v>
      </c>
      <c r="Y234" s="925">
        <v>0</v>
      </c>
      <c r="Z234" s="921">
        <v>394709.76000000001</v>
      </c>
      <c r="AA234" s="925">
        <v>0</v>
      </c>
    </row>
    <row r="235" spans="1:27" s="870" customFormat="1" ht="88.5" customHeight="1">
      <c r="A235" s="1198" t="s">
        <v>2055</v>
      </c>
      <c r="B235" s="1199"/>
      <c r="C235" s="925">
        <f>C236+C237</f>
        <v>4437569.01</v>
      </c>
      <c r="D235" s="925">
        <f t="shared" ref="D235:AA235" si="56">D236+D237</f>
        <v>4115246.95</v>
      </c>
      <c r="E235" s="925">
        <f t="shared" si="56"/>
        <v>4115246.95</v>
      </c>
      <c r="F235" s="925">
        <f t="shared" si="56"/>
        <v>0</v>
      </c>
      <c r="G235" s="925">
        <f t="shared" si="56"/>
        <v>0</v>
      </c>
      <c r="H235" s="925">
        <f t="shared" si="56"/>
        <v>0</v>
      </c>
      <c r="I235" s="925">
        <f t="shared" si="56"/>
        <v>0</v>
      </c>
      <c r="J235" s="925">
        <f t="shared" si="56"/>
        <v>0</v>
      </c>
      <c r="K235" s="861">
        <f t="shared" si="56"/>
        <v>0</v>
      </c>
      <c r="L235" s="925">
        <f t="shared" si="56"/>
        <v>0</v>
      </c>
      <c r="M235" s="925">
        <f t="shared" si="56"/>
        <v>0</v>
      </c>
      <c r="N235" s="925">
        <f t="shared" si="56"/>
        <v>0</v>
      </c>
      <c r="O235" s="925">
        <f t="shared" si="56"/>
        <v>0</v>
      </c>
      <c r="P235" s="925">
        <f t="shared" si="56"/>
        <v>0</v>
      </c>
      <c r="Q235" s="925">
        <f t="shared" si="56"/>
        <v>0</v>
      </c>
      <c r="R235" s="925">
        <f t="shared" si="56"/>
        <v>0</v>
      </c>
      <c r="S235" s="925">
        <f t="shared" si="56"/>
        <v>0</v>
      </c>
      <c r="T235" s="925">
        <f t="shared" si="56"/>
        <v>0</v>
      </c>
      <c r="U235" s="925">
        <f t="shared" si="56"/>
        <v>0</v>
      </c>
      <c r="V235" s="925">
        <f t="shared" si="56"/>
        <v>0</v>
      </c>
      <c r="W235" s="925">
        <f t="shared" si="56"/>
        <v>0</v>
      </c>
      <c r="X235" s="925">
        <f t="shared" si="56"/>
        <v>0</v>
      </c>
      <c r="Y235" s="925">
        <f t="shared" si="56"/>
        <v>0</v>
      </c>
      <c r="Z235" s="921">
        <f t="shared" si="56"/>
        <v>322322.06</v>
      </c>
      <c r="AA235" s="925">
        <f t="shared" si="56"/>
        <v>0</v>
      </c>
    </row>
    <row r="236" spans="1:27" s="870" customFormat="1" ht="119.25" customHeight="1">
      <c r="A236" s="927">
        <v>47</v>
      </c>
      <c r="B236" s="863" t="s">
        <v>1380</v>
      </c>
      <c r="C236" s="925">
        <f>D236+N236+P236+R236+T236+X236+Z236</f>
        <v>2244560.6799999997</v>
      </c>
      <c r="D236" s="925">
        <f>SUM(E236:J236)</f>
        <v>2081527.4</v>
      </c>
      <c r="E236" s="925">
        <v>2081527.4</v>
      </c>
      <c r="F236" s="925">
        <v>0</v>
      </c>
      <c r="G236" s="925">
        <v>0</v>
      </c>
      <c r="H236" s="925">
        <v>0</v>
      </c>
      <c r="I236" s="925">
        <v>0</v>
      </c>
      <c r="J236" s="925">
        <v>0</v>
      </c>
      <c r="K236" s="861">
        <v>0</v>
      </c>
      <c r="L236" s="925">
        <v>0</v>
      </c>
      <c r="M236" s="925">
        <v>0</v>
      </c>
      <c r="N236" s="925">
        <v>0</v>
      </c>
      <c r="O236" s="925">
        <v>0</v>
      </c>
      <c r="P236" s="925">
        <v>0</v>
      </c>
      <c r="Q236" s="925">
        <v>0</v>
      </c>
      <c r="R236" s="925">
        <v>0</v>
      </c>
      <c r="S236" s="925">
        <v>0</v>
      </c>
      <c r="T236" s="925">
        <v>0</v>
      </c>
      <c r="U236" s="925">
        <v>0</v>
      </c>
      <c r="V236" s="925">
        <v>0</v>
      </c>
      <c r="W236" s="925">
        <v>0</v>
      </c>
      <c r="X236" s="925">
        <v>0</v>
      </c>
      <c r="Y236" s="925">
        <v>0</v>
      </c>
      <c r="Z236" s="921">
        <v>163033.28</v>
      </c>
      <c r="AA236" s="925">
        <v>0</v>
      </c>
    </row>
    <row r="237" spans="1:27" s="870" customFormat="1" ht="119.25" customHeight="1">
      <c r="A237" s="927">
        <v>48</v>
      </c>
      <c r="B237" s="863" t="s">
        <v>1381</v>
      </c>
      <c r="C237" s="925">
        <f>D237+N237+P237+R237+T237+X237+Z237</f>
        <v>2193008.33</v>
      </c>
      <c r="D237" s="925">
        <f>SUM(E237:J237)</f>
        <v>2033719.55</v>
      </c>
      <c r="E237" s="925">
        <v>2033719.55</v>
      </c>
      <c r="F237" s="925">
        <v>0</v>
      </c>
      <c r="G237" s="925">
        <v>0</v>
      </c>
      <c r="H237" s="925">
        <v>0</v>
      </c>
      <c r="I237" s="925">
        <v>0</v>
      </c>
      <c r="J237" s="925">
        <v>0</v>
      </c>
      <c r="K237" s="861">
        <v>0</v>
      </c>
      <c r="L237" s="925">
        <v>0</v>
      </c>
      <c r="M237" s="925">
        <v>0</v>
      </c>
      <c r="N237" s="925">
        <v>0</v>
      </c>
      <c r="O237" s="925">
        <v>0</v>
      </c>
      <c r="P237" s="925">
        <v>0</v>
      </c>
      <c r="Q237" s="925">
        <v>0</v>
      </c>
      <c r="R237" s="925">
        <v>0</v>
      </c>
      <c r="S237" s="925">
        <v>0</v>
      </c>
      <c r="T237" s="925">
        <v>0</v>
      </c>
      <c r="U237" s="925">
        <v>0</v>
      </c>
      <c r="V237" s="925">
        <v>0</v>
      </c>
      <c r="W237" s="925">
        <v>0</v>
      </c>
      <c r="X237" s="925">
        <v>0</v>
      </c>
      <c r="Y237" s="925">
        <v>0</v>
      </c>
      <c r="Z237" s="921">
        <v>159288.78</v>
      </c>
      <c r="AA237" s="925">
        <v>0</v>
      </c>
    </row>
    <row r="238" spans="1:27" s="870" customFormat="1" ht="86.45" customHeight="1">
      <c r="A238" s="1198" t="s">
        <v>1053</v>
      </c>
      <c r="B238" s="1199"/>
      <c r="C238" s="925">
        <f>C239+C240</f>
        <v>6808572.7200000007</v>
      </c>
      <c r="D238" s="925">
        <f t="shared" ref="D238:AA238" si="57">D239+D240</f>
        <v>0</v>
      </c>
      <c r="E238" s="925">
        <f t="shared" si="57"/>
        <v>0</v>
      </c>
      <c r="F238" s="925">
        <f t="shared" si="57"/>
        <v>0</v>
      </c>
      <c r="G238" s="925">
        <f t="shared" si="57"/>
        <v>0</v>
      </c>
      <c r="H238" s="925">
        <f t="shared" si="57"/>
        <v>0</v>
      </c>
      <c r="I238" s="925">
        <f t="shared" si="57"/>
        <v>0</v>
      </c>
      <c r="J238" s="925">
        <v>0</v>
      </c>
      <c r="K238" s="861">
        <f t="shared" si="57"/>
        <v>0</v>
      </c>
      <c r="L238" s="925">
        <f t="shared" si="57"/>
        <v>0</v>
      </c>
      <c r="M238" s="925">
        <f t="shared" si="57"/>
        <v>0</v>
      </c>
      <c r="N238" s="925">
        <f t="shared" si="57"/>
        <v>0</v>
      </c>
      <c r="O238" s="925">
        <f t="shared" si="57"/>
        <v>788.23</v>
      </c>
      <c r="P238" s="925">
        <f t="shared" si="57"/>
        <v>6183431.4400000004</v>
      </c>
      <c r="Q238" s="925">
        <f t="shared" si="57"/>
        <v>0</v>
      </c>
      <c r="R238" s="925">
        <f t="shared" si="57"/>
        <v>0</v>
      </c>
      <c r="S238" s="925">
        <f t="shared" si="57"/>
        <v>0</v>
      </c>
      <c r="T238" s="925">
        <f t="shared" si="57"/>
        <v>0</v>
      </c>
      <c r="U238" s="925">
        <f t="shared" si="57"/>
        <v>0</v>
      </c>
      <c r="V238" s="925">
        <f t="shared" si="57"/>
        <v>0</v>
      </c>
      <c r="W238" s="925">
        <f t="shared" si="57"/>
        <v>0</v>
      </c>
      <c r="X238" s="925">
        <v>0</v>
      </c>
      <c r="Y238" s="925">
        <f t="shared" si="57"/>
        <v>0</v>
      </c>
      <c r="Z238" s="925">
        <f t="shared" si="57"/>
        <v>625141.28</v>
      </c>
      <c r="AA238" s="925">
        <f t="shared" si="57"/>
        <v>0</v>
      </c>
    </row>
    <row r="239" spans="1:27" s="870" customFormat="1" ht="91.15" customHeight="1">
      <c r="A239" s="927">
        <v>49</v>
      </c>
      <c r="B239" s="863" t="s">
        <v>1434</v>
      </c>
      <c r="C239" s="925">
        <f>D239+N239+P239+R239+T239+X239+Z239</f>
        <v>6667741.7200000007</v>
      </c>
      <c r="D239" s="925">
        <f>SUM(E239:J239)</f>
        <v>0</v>
      </c>
      <c r="E239" s="925">
        <v>0</v>
      </c>
      <c r="F239" s="925">
        <v>0</v>
      </c>
      <c r="G239" s="925">
        <v>0</v>
      </c>
      <c r="H239" s="925">
        <v>0</v>
      </c>
      <c r="I239" s="925">
        <v>0</v>
      </c>
      <c r="J239" s="925">
        <v>0</v>
      </c>
      <c r="K239" s="861">
        <v>0</v>
      </c>
      <c r="L239" s="925">
        <v>0</v>
      </c>
      <c r="M239" s="925">
        <v>0</v>
      </c>
      <c r="N239" s="925">
        <v>0</v>
      </c>
      <c r="O239" s="925">
        <v>788.23</v>
      </c>
      <c r="P239" s="925">
        <v>6183431.4400000004</v>
      </c>
      <c r="Q239" s="925">
        <v>0</v>
      </c>
      <c r="R239" s="925">
        <v>0</v>
      </c>
      <c r="S239" s="925">
        <v>0</v>
      </c>
      <c r="T239" s="925">
        <v>0</v>
      </c>
      <c r="U239" s="925">
        <v>0</v>
      </c>
      <c r="V239" s="925">
        <v>0</v>
      </c>
      <c r="W239" s="925">
        <v>0</v>
      </c>
      <c r="X239" s="925">
        <v>0</v>
      </c>
      <c r="Y239" s="925">
        <v>0</v>
      </c>
      <c r="Z239" s="921">
        <v>484310.28</v>
      </c>
      <c r="AA239" s="925">
        <v>0</v>
      </c>
    </row>
    <row r="240" spans="1:27" s="870" customFormat="1" ht="174.75" customHeight="1">
      <c r="A240" s="927">
        <v>50</v>
      </c>
      <c r="B240" s="863" t="s">
        <v>2065</v>
      </c>
      <c r="C240" s="925">
        <f>Z240</f>
        <v>140831</v>
      </c>
      <c r="D240" s="925">
        <f>SUM(E240:J240)</f>
        <v>0</v>
      </c>
      <c r="E240" s="925">
        <v>0</v>
      </c>
      <c r="F240" s="925">
        <v>0</v>
      </c>
      <c r="G240" s="925">
        <v>0</v>
      </c>
      <c r="H240" s="925">
        <v>0</v>
      </c>
      <c r="I240" s="925">
        <v>0</v>
      </c>
      <c r="J240" s="925" t="s">
        <v>2066</v>
      </c>
      <c r="K240" s="861">
        <v>0</v>
      </c>
      <c r="L240" s="925">
        <v>0</v>
      </c>
      <c r="M240" s="925">
        <v>0</v>
      </c>
      <c r="N240" s="925">
        <v>0</v>
      </c>
      <c r="O240" s="925">
        <v>0</v>
      </c>
      <c r="P240" s="925">
        <v>0</v>
      </c>
      <c r="Q240" s="925">
        <v>0</v>
      </c>
      <c r="R240" s="925">
        <v>0</v>
      </c>
      <c r="S240" s="925">
        <v>0</v>
      </c>
      <c r="T240" s="925">
        <v>0</v>
      </c>
      <c r="U240" s="925">
        <v>0</v>
      </c>
      <c r="V240" s="925">
        <v>0</v>
      </c>
      <c r="W240" s="925">
        <v>0</v>
      </c>
      <c r="X240" s="925" t="s">
        <v>2066</v>
      </c>
      <c r="Y240" s="925">
        <v>0</v>
      </c>
      <c r="Z240" s="921">
        <v>140831</v>
      </c>
      <c r="AA240" s="925">
        <v>0</v>
      </c>
    </row>
    <row r="241" spans="1:27" s="867" customFormat="1" ht="104.25" customHeight="1">
      <c r="A241" s="1198" t="s">
        <v>1973</v>
      </c>
      <c r="B241" s="1199"/>
      <c r="C241" s="925">
        <f>SUM(C242:C246)</f>
        <v>25493238.48</v>
      </c>
      <c r="D241" s="925">
        <f t="shared" ref="D241:AA241" si="58">SUM(D242:D246)</f>
        <v>633302.11</v>
      </c>
      <c r="E241" s="925">
        <f t="shared" si="58"/>
        <v>0</v>
      </c>
      <c r="F241" s="925">
        <f t="shared" si="58"/>
        <v>0</v>
      </c>
      <c r="G241" s="925">
        <f t="shared" si="58"/>
        <v>0</v>
      </c>
      <c r="H241" s="925">
        <f t="shared" si="58"/>
        <v>0</v>
      </c>
      <c r="I241" s="925">
        <f t="shared" si="58"/>
        <v>0</v>
      </c>
      <c r="J241" s="925">
        <f t="shared" si="58"/>
        <v>633302.11</v>
      </c>
      <c r="K241" s="861">
        <f t="shared" si="58"/>
        <v>0</v>
      </c>
      <c r="L241" s="925">
        <f t="shared" si="58"/>
        <v>0</v>
      </c>
      <c r="M241" s="925">
        <f t="shared" si="58"/>
        <v>0</v>
      </c>
      <c r="N241" s="925">
        <f t="shared" si="58"/>
        <v>0</v>
      </c>
      <c r="O241" s="925">
        <f t="shared" si="58"/>
        <v>2767.7799999999997</v>
      </c>
      <c r="P241" s="925">
        <f t="shared" si="58"/>
        <v>23008239.370000001</v>
      </c>
      <c r="Q241" s="925">
        <f t="shared" si="58"/>
        <v>0</v>
      </c>
      <c r="R241" s="925">
        <f t="shared" si="58"/>
        <v>0</v>
      </c>
      <c r="S241" s="925">
        <f t="shared" si="58"/>
        <v>0</v>
      </c>
      <c r="T241" s="925">
        <f t="shared" si="58"/>
        <v>0</v>
      </c>
      <c r="U241" s="925">
        <f t="shared" si="58"/>
        <v>0</v>
      </c>
      <c r="V241" s="925">
        <f t="shared" si="58"/>
        <v>0</v>
      </c>
      <c r="W241" s="925">
        <f t="shared" si="58"/>
        <v>0</v>
      </c>
      <c r="X241" s="925">
        <f t="shared" si="58"/>
        <v>0</v>
      </c>
      <c r="Y241" s="925">
        <f t="shared" si="58"/>
        <v>0</v>
      </c>
      <c r="Z241" s="925">
        <f t="shared" si="58"/>
        <v>1851696.9999999998</v>
      </c>
      <c r="AA241" s="925">
        <f t="shared" si="58"/>
        <v>0</v>
      </c>
    </row>
    <row r="242" spans="1:27" s="867" customFormat="1" ht="119.25" customHeight="1">
      <c r="A242" s="927">
        <v>51</v>
      </c>
      <c r="B242" s="863" t="s">
        <v>1350</v>
      </c>
      <c r="C242" s="925">
        <f>D242+N242+P242+R242+T242+X242+Z242</f>
        <v>6179714.1899999995</v>
      </c>
      <c r="D242" s="925">
        <f>SUM(E242:J242)</f>
        <v>0</v>
      </c>
      <c r="E242" s="925">
        <v>0</v>
      </c>
      <c r="F242" s="925">
        <v>0</v>
      </c>
      <c r="G242" s="925">
        <v>0</v>
      </c>
      <c r="H242" s="925">
        <v>0</v>
      </c>
      <c r="I242" s="925">
        <v>0</v>
      </c>
      <c r="J242" s="925">
        <v>0</v>
      </c>
      <c r="K242" s="861">
        <v>0</v>
      </c>
      <c r="L242" s="925">
        <v>0</v>
      </c>
      <c r="M242" s="925">
        <v>0</v>
      </c>
      <c r="N242" s="925">
        <v>0</v>
      </c>
      <c r="O242" s="925">
        <v>737</v>
      </c>
      <c r="P242" s="925">
        <v>5730851.71</v>
      </c>
      <c r="Q242" s="925">
        <v>0</v>
      </c>
      <c r="R242" s="925">
        <v>0</v>
      </c>
      <c r="S242" s="925">
        <v>0</v>
      </c>
      <c r="T242" s="925">
        <v>0</v>
      </c>
      <c r="U242" s="925">
        <v>0</v>
      </c>
      <c r="V242" s="925">
        <v>0</v>
      </c>
      <c r="W242" s="925">
        <v>0</v>
      </c>
      <c r="X242" s="925">
        <v>0</v>
      </c>
      <c r="Y242" s="925">
        <v>0</v>
      </c>
      <c r="Z242" s="921">
        <v>448862.48</v>
      </c>
      <c r="AA242" s="925">
        <v>0</v>
      </c>
    </row>
    <row r="243" spans="1:27" s="867" customFormat="1" ht="110.25" customHeight="1">
      <c r="A243" s="927">
        <v>52</v>
      </c>
      <c r="B243" s="863" t="s">
        <v>1351</v>
      </c>
      <c r="C243" s="925">
        <f>D243+N243+P243+R243+T243+X243+Z243</f>
        <v>6262780.6799999997</v>
      </c>
      <c r="D243" s="925">
        <f>SUM(E243:J243)</f>
        <v>0</v>
      </c>
      <c r="E243" s="925">
        <v>0</v>
      </c>
      <c r="F243" s="925">
        <v>0</v>
      </c>
      <c r="G243" s="925">
        <v>0</v>
      </c>
      <c r="H243" s="925">
        <v>0</v>
      </c>
      <c r="I243" s="925">
        <v>0</v>
      </c>
      <c r="J243" s="925">
        <v>0</v>
      </c>
      <c r="K243" s="861">
        <v>0</v>
      </c>
      <c r="L243" s="925">
        <v>0</v>
      </c>
      <c r="M243" s="925">
        <v>0</v>
      </c>
      <c r="N243" s="925">
        <v>0</v>
      </c>
      <c r="O243" s="925">
        <v>650</v>
      </c>
      <c r="P243" s="925">
        <v>5807884.6799999997</v>
      </c>
      <c r="Q243" s="925">
        <v>0</v>
      </c>
      <c r="R243" s="925">
        <v>0</v>
      </c>
      <c r="S243" s="925">
        <v>0</v>
      </c>
      <c r="T243" s="925">
        <v>0</v>
      </c>
      <c r="U243" s="925">
        <v>0</v>
      </c>
      <c r="V243" s="925">
        <v>0</v>
      </c>
      <c r="W243" s="925">
        <v>0</v>
      </c>
      <c r="X243" s="925">
        <v>0</v>
      </c>
      <c r="Y243" s="925">
        <v>0</v>
      </c>
      <c r="Z243" s="921">
        <v>454896</v>
      </c>
      <c r="AA243" s="925">
        <v>0</v>
      </c>
    </row>
    <row r="244" spans="1:27" s="867" customFormat="1" ht="110.25" customHeight="1">
      <c r="A244" s="927">
        <v>53</v>
      </c>
      <c r="B244" s="863" t="s">
        <v>2072</v>
      </c>
      <c r="C244" s="925">
        <f>D244+N244+P244+R244+T244+X244+Z244</f>
        <v>6089349.8300000001</v>
      </c>
      <c r="D244" s="925">
        <v>0</v>
      </c>
      <c r="E244" s="925">
        <v>0</v>
      </c>
      <c r="F244" s="925">
        <v>0</v>
      </c>
      <c r="G244" s="925">
        <v>0</v>
      </c>
      <c r="H244" s="925">
        <v>0</v>
      </c>
      <c r="I244" s="925">
        <v>0</v>
      </c>
      <c r="J244" s="925">
        <v>0</v>
      </c>
      <c r="K244" s="861">
        <v>0</v>
      </c>
      <c r="L244" s="925">
        <v>0</v>
      </c>
      <c r="M244" s="925">
        <v>0</v>
      </c>
      <c r="N244" s="925">
        <v>0</v>
      </c>
      <c r="O244" s="925">
        <v>632</v>
      </c>
      <c r="P244" s="925">
        <v>5647050.9500000002</v>
      </c>
      <c r="Q244" s="925">
        <v>0</v>
      </c>
      <c r="R244" s="925">
        <v>0</v>
      </c>
      <c r="S244" s="925">
        <v>0</v>
      </c>
      <c r="T244" s="925">
        <v>0</v>
      </c>
      <c r="U244" s="925">
        <v>0</v>
      </c>
      <c r="V244" s="925">
        <v>0</v>
      </c>
      <c r="W244" s="925">
        <v>0</v>
      </c>
      <c r="X244" s="925">
        <v>0</v>
      </c>
      <c r="Y244" s="925">
        <v>0</v>
      </c>
      <c r="Z244" s="921">
        <v>442298.88</v>
      </c>
      <c r="AA244" s="925">
        <v>0</v>
      </c>
    </row>
    <row r="245" spans="1:27" s="867" customFormat="1" ht="92.25" customHeight="1">
      <c r="A245" s="927">
        <v>54</v>
      </c>
      <c r="B245" s="863" t="s">
        <v>2073</v>
      </c>
      <c r="C245" s="925">
        <f>D245+N245+P245+R245+T245+X245+Z245</f>
        <v>6278489</v>
      </c>
      <c r="D245" s="925">
        <f>SUM(E245:J245)</f>
        <v>0</v>
      </c>
      <c r="E245" s="925">
        <v>0</v>
      </c>
      <c r="F245" s="925">
        <v>0</v>
      </c>
      <c r="G245" s="925">
        <v>0</v>
      </c>
      <c r="H245" s="925">
        <v>0</v>
      </c>
      <c r="I245" s="925">
        <v>0</v>
      </c>
      <c r="J245" s="925">
        <v>0</v>
      </c>
      <c r="K245" s="861">
        <v>0</v>
      </c>
      <c r="L245" s="925">
        <v>0</v>
      </c>
      <c r="M245" s="925">
        <v>0</v>
      </c>
      <c r="N245" s="925">
        <v>0</v>
      </c>
      <c r="O245" s="925">
        <v>748.78</v>
      </c>
      <c r="P245" s="925">
        <v>5822452.0300000003</v>
      </c>
      <c r="Q245" s="925">
        <v>0</v>
      </c>
      <c r="R245" s="925">
        <v>0</v>
      </c>
      <c r="S245" s="925">
        <v>0</v>
      </c>
      <c r="T245" s="925">
        <v>0</v>
      </c>
      <c r="U245" s="925">
        <v>0</v>
      </c>
      <c r="V245" s="925">
        <v>0</v>
      </c>
      <c r="W245" s="925">
        <v>0</v>
      </c>
      <c r="X245" s="925">
        <v>0</v>
      </c>
      <c r="Y245" s="925">
        <v>0</v>
      </c>
      <c r="Z245" s="921">
        <v>456036.97</v>
      </c>
      <c r="AA245" s="925">
        <v>0</v>
      </c>
    </row>
    <row r="246" spans="1:27" s="867" customFormat="1" ht="92.25" customHeight="1">
      <c r="A246" s="927">
        <v>55</v>
      </c>
      <c r="B246" s="923" t="s">
        <v>2051</v>
      </c>
      <c r="C246" s="925">
        <f>D246+N246+P246+R246+T246+X246+Z246</f>
        <v>682904.78</v>
      </c>
      <c r="D246" s="925">
        <f>SUM(E246:J246)</f>
        <v>633302.11</v>
      </c>
      <c r="E246" s="925">
        <v>0</v>
      </c>
      <c r="F246" s="925">
        <v>0</v>
      </c>
      <c r="G246" s="925">
        <v>0</v>
      </c>
      <c r="H246" s="925">
        <v>0</v>
      </c>
      <c r="I246" s="925">
        <v>0</v>
      </c>
      <c r="J246" s="925">
        <v>633302.11</v>
      </c>
      <c r="K246" s="861">
        <v>0</v>
      </c>
      <c r="L246" s="925">
        <v>0</v>
      </c>
      <c r="M246" s="925">
        <v>0</v>
      </c>
      <c r="N246" s="925">
        <v>0</v>
      </c>
      <c r="O246" s="925">
        <v>0</v>
      </c>
      <c r="P246" s="925">
        <v>0</v>
      </c>
      <c r="Q246" s="925">
        <v>0</v>
      </c>
      <c r="R246" s="925">
        <v>0</v>
      </c>
      <c r="S246" s="925">
        <v>0</v>
      </c>
      <c r="T246" s="925">
        <v>0</v>
      </c>
      <c r="U246" s="925">
        <v>0</v>
      </c>
      <c r="V246" s="925">
        <v>0</v>
      </c>
      <c r="W246" s="925">
        <v>0</v>
      </c>
      <c r="X246" s="925">
        <v>0</v>
      </c>
      <c r="Y246" s="925">
        <v>0</v>
      </c>
      <c r="Z246" s="921">
        <v>49602.67</v>
      </c>
      <c r="AA246" s="925">
        <v>0</v>
      </c>
    </row>
    <row r="247" spans="1:27" s="867" customFormat="1" ht="114.75" customHeight="1">
      <c r="A247" s="1198" t="s">
        <v>1174</v>
      </c>
      <c r="B247" s="1199"/>
      <c r="C247" s="925">
        <f>SUM(C248:C251)</f>
        <v>2132222.73</v>
      </c>
      <c r="D247" s="925">
        <f t="shared" ref="D247:AA247" si="59">SUM(D248:D251)</f>
        <v>1977349.0999999999</v>
      </c>
      <c r="E247" s="925">
        <f t="shared" si="59"/>
        <v>1977349.0999999999</v>
      </c>
      <c r="F247" s="925">
        <f t="shared" si="59"/>
        <v>0</v>
      </c>
      <c r="G247" s="925">
        <f t="shared" si="59"/>
        <v>0</v>
      </c>
      <c r="H247" s="925">
        <f t="shared" si="59"/>
        <v>0</v>
      </c>
      <c r="I247" s="925">
        <f t="shared" si="59"/>
        <v>0</v>
      </c>
      <c r="J247" s="925">
        <f t="shared" si="59"/>
        <v>0</v>
      </c>
      <c r="K247" s="861">
        <f t="shared" si="59"/>
        <v>0</v>
      </c>
      <c r="L247" s="925">
        <f t="shared" si="59"/>
        <v>0</v>
      </c>
      <c r="M247" s="925">
        <f t="shared" si="59"/>
        <v>0</v>
      </c>
      <c r="N247" s="925">
        <f t="shared" si="59"/>
        <v>0</v>
      </c>
      <c r="O247" s="925">
        <f t="shared" si="59"/>
        <v>0</v>
      </c>
      <c r="P247" s="925">
        <f t="shared" si="59"/>
        <v>0</v>
      </c>
      <c r="Q247" s="925">
        <f t="shared" si="59"/>
        <v>0</v>
      </c>
      <c r="R247" s="925">
        <f t="shared" si="59"/>
        <v>0</v>
      </c>
      <c r="S247" s="925">
        <f t="shared" si="59"/>
        <v>0</v>
      </c>
      <c r="T247" s="925">
        <f t="shared" si="59"/>
        <v>0</v>
      </c>
      <c r="U247" s="925">
        <f t="shared" si="59"/>
        <v>0</v>
      </c>
      <c r="V247" s="925">
        <f t="shared" si="59"/>
        <v>0</v>
      </c>
      <c r="W247" s="925">
        <f t="shared" si="59"/>
        <v>0</v>
      </c>
      <c r="X247" s="925">
        <f t="shared" si="59"/>
        <v>0</v>
      </c>
      <c r="Y247" s="925">
        <f t="shared" si="59"/>
        <v>0</v>
      </c>
      <c r="Z247" s="925">
        <f t="shared" si="59"/>
        <v>154873.63</v>
      </c>
      <c r="AA247" s="925">
        <f t="shared" si="59"/>
        <v>0</v>
      </c>
    </row>
    <row r="248" spans="1:27" s="867" customFormat="1" ht="114.75" customHeight="1">
      <c r="A248" s="927">
        <v>56</v>
      </c>
      <c r="B248" s="868" t="s">
        <v>1299</v>
      </c>
      <c r="C248" s="925">
        <f>D248+N248+P248+R248+T248+X248+Z248</f>
        <v>390874.51999999996</v>
      </c>
      <c r="D248" s="925">
        <f>SUM(E248:J248)</f>
        <v>362483.42</v>
      </c>
      <c r="E248" s="925">
        <v>362483.42</v>
      </c>
      <c r="F248" s="925">
        <v>0</v>
      </c>
      <c r="G248" s="925">
        <v>0</v>
      </c>
      <c r="H248" s="925">
        <v>0</v>
      </c>
      <c r="I248" s="925">
        <v>0</v>
      </c>
      <c r="J248" s="925">
        <v>0</v>
      </c>
      <c r="K248" s="861">
        <v>0</v>
      </c>
      <c r="L248" s="925">
        <v>0</v>
      </c>
      <c r="M248" s="925">
        <v>0</v>
      </c>
      <c r="N248" s="925">
        <v>0</v>
      </c>
      <c r="O248" s="925">
        <v>0</v>
      </c>
      <c r="P248" s="925">
        <v>0</v>
      </c>
      <c r="Q248" s="925">
        <v>0</v>
      </c>
      <c r="R248" s="925">
        <v>0</v>
      </c>
      <c r="S248" s="925">
        <v>0</v>
      </c>
      <c r="T248" s="925">
        <v>0</v>
      </c>
      <c r="U248" s="925">
        <v>0</v>
      </c>
      <c r="V248" s="925">
        <v>0</v>
      </c>
      <c r="W248" s="925">
        <v>0</v>
      </c>
      <c r="X248" s="925">
        <v>0</v>
      </c>
      <c r="Y248" s="925">
        <v>0</v>
      </c>
      <c r="Z248" s="921">
        <v>28391.1</v>
      </c>
      <c r="AA248" s="925">
        <v>0</v>
      </c>
    </row>
    <row r="249" spans="1:27" s="867" customFormat="1" ht="113.25" customHeight="1">
      <c r="A249" s="927">
        <v>57</v>
      </c>
      <c r="B249" s="868" t="s">
        <v>1300</v>
      </c>
      <c r="C249" s="925">
        <f>D249+N249+P249+R249+T249+X249+Z249</f>
        <v>424619.88</v>
      </c>
      <c r="D249" s="925">
        <f>SUM(E249:J249)</f>
        <v>393777.69</v>
      </c>
      <c r="E249" s="925">
        <v>393777.69</v>
      </c>
      <c r="F249" s="925">
        <v>0</v>
      </c>
      <c r="G249" s="925">
        <v>0</v>
      </c>
      <c r="H249" s="925">
        <v>0</v>
      </c>
      <c r="I249" s="925">
        <v>0</v>
      </c>
      <c r="J249" s="925">
        <v>0</v>
      </c>
      <c r="K249" s="861">
        <v>0</v>
      </c>
      <c r="L249" s="925">
        <v>0</v>
      </c>
      <c r="M249" s="925">
        <v>0</v>
      </c>
      <c r="N249" s="925">
        <v>0</v>
      </c>
      <c r="O249" s="925">
        <v>0</v>
      </c>
      <c r="P249" s="925">
        <v>0</v>
      </c>
      <c r="Q249" s="925">
        <v>0</v>
      </c>
      <c r="R249" s="925">
        <v>0</v>
      </c>
      <c r="S249" s="925">
        <v>0</v>
      </c>
      <c r="T249" s="925">
        <v>0</v>
      </c>
      <c r="U249" s="925">
        <v>0</v>
      </c>
      <c r="V249" s="925">
        <v>0</v>
      </c>
      <c r="W249" s="925">
        <v>0</v>
      </c>
      <c r="X249" s="925">
        <v>0</v>
      </c>
      <c r="Y249" s="925">
        <v>0</v>
      </c>
      <c r="Z249" s="921">
        <v>30842.19</v>
      </c>
      <c r="AA249" s="925">
        <v>0</v>
      </c>
    </row>
    <row r="250" spans="1:27" s="867" customFormat="1" ht="113.25" customHeight="1">
      <c r="A250" s="927">
        <v>58</v>
      </c>
      <c r="B250" s="868" t="s">
        <v>2075</v>
      </c>
      <c r="C250" s="925">
        <f>D250+N250+P250+R250+T250+X250+Z250</f>
        <v>851877.83</v>
      </c>
      <c r="D250" s="925">
        <f>SUM(E250:J250)</f>
        <v>790001.83</v>
      </c>
      <c r="E250" s="925">
        <v>790001.83</v>
      </c>
      <c r="F250" s="925">
        <v>0</v>
      </c>
      <c r="G250" s="925">
        <v>0</v>
      </c>
      <c r="H250" s="925">
        <v>0</v>
      </c>
      <c r="I250" s="925">
        <v>0</v>
      </c>
      <c r="J250" s="925">
        <v>0</v>
      </c>
      <c r="K250" s="861">
        <v>0</v>
      </c>
      <c r="L250" s="925">
        <v>0</v>
      </c>
      <c r="M250" s="925">
        <v>0</v>
      </c>
      <c r="N250" s="925">
        <v>0</v>
      </c>
      <c r="O250" s="925">
        <v>0</v>
      </c>
      <c r="P250" s="925">
        <v>0</v>
      </c>
      <c r="Q250" s="925">
        <v>0</v>
      </c>
      <c r="R250" s="925">
        <v>0</v>
      </c>
      <c r="S250" s="925">
        <v>0</v>
      </c>
      <c r="T250" s="925">
        <v>0</v>
      </c>
      <c r="U250" s="925">
        <v>0</v>
      </c>
      <c r="V250" s="925">
        <v>0</v>
      </c>
      <c r="W250" s="925">
        <v>0</v>
      </c>
      <c r="X250" s="925">
        <v>0</v>
      </c>
      <c r="Y250" s="925">
        <v>0</v>
      </c>
      <c r="Z250" s="921">
        <v>61876</v>
      </c>
      <c r="AA250" s="925">
        <v>0</v>
      </c>
    </row>
    <row r="251" spans="1:27" s="867" customFormat="1" ht="113.25" customHeight="1">
      <c r="A251" s="927">
        <v>59</v>
      </c>
      <c r="B251" s="868" t="s">
        <v>2076</v>
      </c>
      <c r="C251" s="925">
        <f>D251+N251+P251+R251+T251+X251+Z251</f>
        <v>464850.5</v>
      </c>
      <c r="D251" s="925">
        <f>SUM(E251:J251)</f>
        <v>431086.16</v>
      </c>
      <c r="E251" s="925">
        <v>431086.16</v>
      </c>
      <c r="F251" s="925">
        <v>0</v>
      </c>
      <c r="G251" s="925">
        <v>0</v>
      </c>
      <c r="H251" s="925">
        <v>0</v>
      </c>
      <c r="I251" s="925">
        <v>0</v>
      </c>
      <c r="J251" s="925">
        <v>0</v>
      </c>
      <c r="K251" s="861">
        <v>0</v>
      </c>
      <c r="L251" s="925">
        <v>0</v>
      </c>
      <c r="M251" s="925">
        <v>0</v>
      </c>
      <c r="N251" s="925">
        <v>0</v>
      </c>
      <c r="O251" s="925">
        <v>0</v>
      </c>
      <c r="P251" s="925">
        <v>0</v>
      </c>
      <c r="Q251" s="925">
        <v>0</v>
      </c>
      <c r="R251" s="925">
        <v>0</v>
      </c>
      <c r="S251" s="925">
        <v>0</v>
      </c>
      <c r="T251" s="925">
        <v>0</v>
      </c>
      <c r="U251" s="925">
        <v>0</v>
      </c>
      <c r="V251" s="925">
        <v>0</v>
      </c>
      <c r="W251" s="925">
        <v>0</v>
      </c>
      <c r="X251" s="925">
        <v>0</v>
      </c>
      <c r="Y251" s="925">
        <v>0</v>
      </c>
      <c r="Z251" s="921">
        <v>33764.339999999997</v>
      </c>
      <c r="AA251" s="925">
        <v>0</v>
      </c>
    </row>
    <row r="252" spans="1:27" s="867" customFormat="1" ht="141" customHeight="1">
      <c r="A252" s="1198" t="s">
        <v>1978</v>
      </c>
      <c r="B252" s="1199"/>
      <c r="C252" s="925">
        <f>SUM(C253:C254)</f>
        <v>19335303.449999999</v>
      </c>
      <c r="D252" s="925">
        <f t="shared" ref="D252:AA252" si="60">SUM(D253:D254)</f>
        <v>0</v>
      </c>
      <c r="E252" s="925">
        <f t="shared" si="60"/>
        <v>0</v>
      </c>
      <c r="F252" s="925">
        <f t="shared" si="60"/>
        <v>0</v>
      </c>
      <c r="G252" s="925">
        <f t="shared" si="60"/>
        <v>0</v>
      </c>
      <c r="H252" s="925">
        <f t="shared" si="60"/>
        <v>0</v>
      </c>
      <c r="I252" s="925">
        <f t="shared" si="60"/>
        <v>0</v>
      </c>
      <c r="J252" s="925">
        <f t="shared" si="60"/>
        <v>0</v>
      </c>
      <c r="K252" s="861">
        <f t="shared" si="60"/>
        <v>0</v>
      </c>
      <c r="L252" s="925">
        <f t="shared" si="60"/>
        <v>0</v>
      </c>
      <c r="M252" s="925">
        <f t="shared" si="60"/>
        <v>0</v>
      </c>
      <c r="N252" s="925">
        <f t="shared" si="60"/>
        <v>0</v>
      </c>
      <c r="O252" s="925">
        <f t="shared" si="60"/>
        <v>1699.2</v>
      </c>
      <c r="P252" s="925">
        <f t="shared" si="60"/>
        <v>13151323.33</v>
      </c>
      <c r="Q252" s="925">
        <f t="shared" si="60"/>
        <v>0</v>
      </c>
      <c r="R252" s="925">
        <f t="shared" si="60"/>
        <v>0</v>
      </c>
      <c r="S252" s="925">
        <f t="shared" si="60"/>
        <v>1152</v>
      </c>
      <c r="T252" s="925">
        <f t="shared" si="60"/>
        <v>4779563.67</v>
      </c>
      <c r="U252" s="925">
        <f t="shared" si="60"/>
        <v>0</v>
      </c>
      <c r="V252" s="925">
        <f t="shared" si="60"/>
        <v>0</v>
      </c>
      <c r="W252" s="925">
        <f t="shared" si="60"/>
        <v>0</v>
      </c>
      <c r="X252" s="925">
        <f t="shared" si="60"/>
        <v>0</v>
      </c>
      <c r="Y252" s="925">
        <f t="shared" si="60"/>
        <v>0</v>
      </c>
      <c r="Z252" s="921">
        <f t="shared" si="60"/>
        <v>1404416.45</v>
      </c>
      <c r="AA252" s="925">
        <f t="shared" si="60"/>
        <v>0</v>
      </c>
    </row>
    <row r="253" spans="1:27" s="867" customFormat="1" ht="59.45" customHeight="1">
      <c r="A253" s="927">
        <v>60</v>
      </c>
      <c r="B253" s="863" t="s">
        <v>1499</v>
      </c>
      <c r="C253" s="925">
        <f>D253+N253+P253+R253+T253+X253+Z253</f>
        <v>16322864.309999999</v>
      </c>
      <c r="D253" s="925">
        <f>SUM(E253:J253)</f>
        <v>0</v>
      </c>
      <c r="E253" s="925">
        <v>0</v>
      </c>
      <c r="F253" s="925">
        <v>0</v>
      </c>
      <c r="G253" s="925">
        <v>0</v>
      </c>
      <c r="H253" s="925">
        <v>0</v>
      </c>
      <c r="I253" s="925">
        <v>0</v>
      </c>
      <c r="J253" s="925">
        <v>0</v>
      </c>
      <c r="K253" s="861">
        <v>0</v>
      </c>
      <c r="L253" s="925">
        <v>0</v>
      </c>
      <c r="M253" s="925">
        <v>0</v>
      </c>
      <c r="N253" s="925">
        <v>0</v>
      </c>
      <c r="O253" s="925">
        <v>1159.2</v>
      </c>
      <c r="P253" s="925">
        <v>10357692.189999999</v>
      </c>
      <c r="Q253" s="925">
        <v>0</v>
      </c>
      <c r="R253" s="925">
        <v>0</v>
      </c>
      <c r="S253" s="925">
        <v>1152</v>
      </c>
      <c r="T253" s="925">
        <v>4779563.67</v>
      </c>
      <c r="U253" s="925">
        <v>0</v>
      </c>
      <c r="V253" s="925">
        <v>0</v>
      </c>
      <c r="W253" s="925">
        <v>0</v>
      </c>
      <c r="X253" s="925">
        <v>0</v>
      </c>
      <c r="Y253" s="925">
        <v>0</v>
      </c>
      <c r="Z253" s="921">
        <v>1185608.45</v>
      </c>
      <c r="AA253" s="925">
        <v>0</v>
      </c>
    </row>
    <row r="254" spans="1:27" s="867" customFormat="1" ht="80.25" customHeight="1">
      <c r="A254" s="927">
        <v>61</v>
      </c>
      <c r="B254" s="863" t="s">
        <v>2034</v>
      </c>
      <c r="C254" s="925">
        <f>D254+N254+P254+R254+T254+X254+Z254</f>
        <v>3012439.14</v>
      </c>
      <c r="D254" s="925">
        <f>SUM(E254:J254)</f>
        <v>0</v>
      </c>
      <c r="E254" s="925">
        <v>0</v>
      </c>
      <c r="F254" s="925">
        <v>0</v>
      </c>
      <c r="G254" s="925">
        <v>0</v>
      </c>
      <c r="H254" s="925">
        <v>0</v>
      </c>
      <c r="I254" s="925">
        <v>0</v>
      </c>
      <c r="J254" s="925">
        <v>0</v>
      </c>
      <c r="K254" s="861">
        <v>0</v>
      </c>
      <c r="L254" s="925">
        <v>0</v>
      </c>
      <c r="M254" s="925">
        <v>0</v>
      </c>
      <c r="N254" s="925">
        <v>0</v>
      </c>
      <c r="O254" s="925">
        <v>540</v>
      </c>
      <c r="P254" s="925">
        <v>2793631.14</v>
      </c>
      <c r="Q254" s="925">
        <v>0</v>
      </c>
      <c r="R254" s="925">
        <v>0</v>
      </c>
      <c r="S254" s="925">
        <v>0</v>
      </c>
      <c r="T254" s="925">
        <v>0</v>
      </c>
      <c r="U254" s="925">
        <v>0</v>
      </c>
      <c r="V254" s="925">
        <v>0</v>
      </c>
      <c r="W254" s="925">
        <v>0</v>
      </c>
      <c r="X254" s="925">
        <v>0</v>
      </c>
      <c r="Y254" s="925">
        <v>0</v>
      </c>
      <c r="Z254" s="921">
        <v>218808</v>
      </c>
      <c r="AA254" s="925">
        <v>0</v>
      </c>
    </row>
    <row r="255" spans="1:27" s="867" customFormat="1" ht="104.25" customHeight="1">
      <c r="A255" s="1198" t="s">
        <v>1236</v>
      </c>
      <c r="B255" s="1199"/>
      <c r="C255" s="925">
        <f>C256</f>
        <v>4370826.05</v>
      </c>
      <c r="D255" s="925">
        <f t="shared" ref="D255:AA255" si="61">D256</f>
        <v>0</v>
      </c>
      <c r="E255" s="925">
        <f t="shared" si="61"/>
        <v>0</v>
      </c>
      <c r="F255" s="925">
        <f t="shared" si="61"/>
        <v>0</v>
      </c>
      <c r="G255" s="925">
        <f t="shared" si="61"/>
        <v>0</v>
      </c>
      <c r="H255" s="925">
        <f t="shared" si="61"/>
        <v>0</v>
      </c>
      <c r="I255" s="925">
        <f t="shared" si="61"/>
        <v>0</v>
      </c>
      <c r="J255" s="925">
        <f t="shared" si="61"/>
        <v>0</v>
      </c>
      <c r="K255" s="861">
        <f t="shared" si="61"/>
        <v>0</v>
      </c>
      <c r="L255" s="925">
        <f t="shared" si="61"/>
        <v>0</v>
      </c>
      <c r="M255" s="925">
        <f t="shared" si="61"/>
        <v>0</v>
      </c>
      <c r="N255" s="925">
        <f t="shared" si="61"/>
        <v>0</v>
      </c>
      <c r="O255" s="925">
        <f t="shared" si="61"/>
        <v>783.5</v>
      </c>
      <c r="P255" s="925">
        <f t="shared" si="61"/>
        <v>4053351.85</v>
      </c>
      <c r="Q255" s="925">
        <f t="shared" si="61"/>
        <v>0</v>
      </c>
      <c r="R255" s="925">
        <f t="shared" si="61"/>
        <v>0</v>
      </c>
      <c r="S255" s="925">
        <f t="shared" si="61"/>
        <v>0</v>
      </c>
      <c r="T255" s="925">
        <f t="shared" si="61"/>
        <v>0</v>
      </c>
      <c r="U255" s="925">
        <f t="shared" si="61"/>
        <v>0</v>
      </c>
      <c r="V255" s="925">
        <f t="shared" si="61"/>
        <v>0</v>
      </c>
      <c r="W255" s="925">
        <f t="shared" si="61"/>
        <v>0</v>
      </c>
      <c r="X255" s="925">
        <f t="shared" si="61"/>
        <v>0</v>
      </c>
      <c r="Y255" s="925">
        <f t="shared" si="61"/>
        <v>0</v>
      </c>
      <c r="Z255" s="921">
        <f t="shared" si="61"/>
        <v>317474.2</v>
      </c>
      <c r="AA255" s="925">
        <f t="shared" si="61"/>
        <v>0</v>
      </c>
    </row>
    <row r="256" spans="1:27" s="867" customFormat="1" ht="63" customHeight="1">
      <c r="A256" s="927">
        <v>62</v>
      </c>
      <c r="B256" s="868" t="s">
        <v>1880</v>
      </c>
      <c r="C256" s="925">
        <f>D256+N256+P256+R256+T256+X256+Z256</f>
        <v>4370826.05</v>
      </c>
      <c r="D256" s="925">
        <f>SUM(E256:J256)</f>
        <v>0</v>
      </c>
      <c r="E256" s="925">
        <v>0</v>
      </c>
      <c r="F256" s="925">
        <v>0</v>
      </c>
      <c r="G256" s="925">
        <v>0</v>
      </c>
      <c r="H256" s="925">
        <v>0</v>
      </c>
      <c r="I256" s="925">
        <v>0</v>
      </c>
      <c r="J256" s="925">
        <v>0</v>
      </c>
      <c r="K256" s="861">
        <v>0</v>
      </c>
      <c r="L256" s="925">
        <v>0</v>
      </c>
      <c r="M256" s="925">
        <v>0</v>
      </c>
      <c r="N256" s="925">
        <v>0</v>
      </c>
      <c r="O256" s="925">
        <v>783.5</v>
      </c>
      <c r="P256" s="925">
        <v>4053351.85</v>
      </c>
      <c r="Q256" s="925">
        <v>0</v>
      </c>
      <c r="R256" s="925">
        <v>0</v>
      </c>
      <c r="S256" s="925">
        <v>0</v>
      </c>
      <c r="T256" s="925">
        <v>0</v>
      </c>
      <c r="U256" s="925">
        <v>0</v>
      </c>
      <c r="V256" s="925">
        <v>0</v>
      </c>
      <c r="W256" s="925">
        <v>0</v>
      </c>
      <c r="X256" s="925">
        <v>0</v>
      </c>
      <c r="Y256" s="925">
        <v>0</v>
      </c>
      <c r="Z256" s="921">
        <v>317474.2</v>
      </c>
      <c r="AA256" s="925">
        <v>0</v>
      </c>
    </row>
    <row r="257" spans="1:27" s="867" customFormat="1" ht="93.6" customHeight="1">
      <c r="A257" s="1196" t="s">
        <v>1056</v>
      </c>
      <c r="B257" s="1197"/>
      <c r="C257" s="925">
        <f>C258</f>
        <v>4158100.78</v>
      </c>
      <c r="D257" s="925">
        <f t="shared" ref="D257:AA257" si="62">D258</f>
        <v>0</v>
      </c>
      <c r="E257" s="925">
        <f t="shared" si="62"/>
        <v>0</v>
      </c>
      <c r="F257" s="925">
        <f t="shared" si="62"/>
        <v>0</v>
      </c>
      <c r="G257" s="925">
        <f t="shared" si="62"/>
        <v>0</v>
      </c>
      <c r="H257" s="925">
        <f t="shared" si="62"/>
        <v>0</v>
      </c>
      <c r="I257" s="925">
        <f t="shared" si="62"/>
        <v>0</v>
      </c>
      <c r="J257" s="925">
        <f t="shared" si="62"/>
        <v>0</v>
      </c>
      <c r="K257" s="861">
        <f t="shared" si="62"/>
        <v>0</v>
      </c>
      <c r="L257" s="925">
        <f t="shared" si="62"/>
        <v>0</v>
      </c>
      <c r="M257" s="925">
        <f t="shared" si="62"/>
        <v>0</v>
      </c>
      <c r="N257" s="925">
        <f t="shared" si="62"/>
        <v>0</v>
      </c>
      <c r="O257" s="925">
        <f t="shared" si="62"/>
        <v>495.9</v>
      </c>
      <c r="P257" s="925">
        <f t="shared" si="62"/>
        <v>3856077.84</v>
      </c>
      <c r="Q257" s="925">
        <f t="shared" si="62"/>
        <v>0</v>
      </c>
      <c r="R257" s="925">
        <f t="shared" si="62"/>
        <v>0</v>
      </c>
      <c r="S257" s="925">
        <f t="shared" si="62"/>
        <v>0</v>
      </c>
      <c r="T257" s="925">
        <f t="shared" si="62"/>
        <v>0</v>
      </c>
      <c r="U257" s="925">
        <f t="shared" si="62"/>
        <v>0</v>
      </c>
      <c r="V257" s="925">
        <f t="shared" si="62"/>
        <v>0</v>
      </c>
      <c r="W257" s="925">
        <f t="shared" si="62"/>
        <v>0</v>
      </c>
      <c r="X257" s="925">
        <f t="shared" si="62"/>
        <v>0</v>
      </c>
      <c r="Y257" s="925">
        <f t="shared" si="62"/>
        <v>0</v>
      </c>
      <c r="Z257" s="921">
        <f t="shared" si="62"/>
        <v>302022.94</v>
      </c>
      <c r="AA257" s="925">
        <f t="shared" si="62"/>
        <v>0</v>
      </c>
    </row>
    <row r="258" spans="1:27" s="867" customFormat="1" ht="92.45" customHeight="1">
      <c r="A258" s="927">
        <v>63</v>
      </c>
      <c r="B258" s="868" t="s">
        <v>1493</v>
      </c>
      <c r="C258" s="925">
        <f>D258+N258+P258+R258+T258+X258+Z258</f>
        <v>4158100.78</v>
      </c>
      <c r="D258" s="925">
        <f>SUM(E258:J258)</f>
        <v>0</v>
      </c>
      <c r="E258" s="925">
        <v>0</v>
      </c>
      <c r="F258" s="925">
        <v>0</v>
      </c>
      <c r="G258" s="925">
        <v>0</v>
      </c>
      <c r="H258" s="925">
        <v>0</v>
      </c>
      <c r="I258" s="925">
        <v>0</v>
      </c>
      <c r="J258" s="925">
        <v>0</v>
      </c>
      <c r="K258" s="861">
        <v>0</v>
      </c>
      <c r="L258" s="925">
        <v>0</v>
      </c>
      <c r="M258" s="925">
        <v>0</v>
      </c>
      <c r="N258" s="925">
        <v>0</v>
      </c>
      <c r="O258" s="925">
        <v>495.9</v>
      </c>
      <c r="P258" s="925">
        <v>3856077.84</v>
      </c>
      <c r="Q258" s="925">
        <v>0</v>
      </c>
      <c r="R258" s="925">
        <v>0</v>
      </c>
      <c r="S258" s="925">
        <v>0</v>
      </c>
      <c r="T258" s="925">
        <v>0</v>
      </c>
      <c r="U258" s="925">
        <v>0</v>
      </c>
      <c r="V258" s="925">
        <v>0</v>
      </c>
      <c r="W258" s="925">
        <v>0</v>
      </c>
      <c r="X258" s="925">
        <v>0</v>
      </c>
      <c r="Y258" s="925">
        <v>0</v>
      </c>
      <c r="Z258" s="921">
        <v>302022.94</v>
      </c>
      <c r="AA258" s="925">
        <v>0</v>
      </c>
    </row>
    <row r="259" spans="1:27" s="867" customFormat="1" ht="110.25" customHeight="1">
      <c r="A259" s="1198" t="s">
        <v>1979</v>
      </c>
      <c r="B259" s="1199"/>
      <c r="C259" s="925">
        <f>SUM(C260:C268)</f>
        <v>26729425.859999999</v>
      </c>
      <c r="D259" s="925">
        <f>SUM(D260:D268)</f>
        <v>464573.58</v>
      </c>
      <c r="E259" s="925">
        <f t="shared" ref="E259:AA259" si="63">SUM(E260:E268)</f>
        <v>0</v>
      </c>
      <c r="F259" s="925">
        <f t="shared" si="63"/>
        <v>0</v>
      </c>
      <c r="G259" s="925">
        <f t="shared" si="63"/>
        <v>0</v>
      </c>
      <c r="H259" s="925">
        <f t="shared" si="63"/>
        <v>0</v>
      </c>
      <c r="I259" s="925">
        <f t="shared" si="63"/>
        <v>0</v>
      </c>
      <c r="J259" s="925">
        <f t="shared" si="63"/>
        <v>464573.58</v>
      </c>
      <c r="K259" s="861">
        <f t="shared" si="63"/>
        <v>0</v>
      </c>
      <c r="L259" s="925">
        <f t="shared" si="63"/>
        <v>0</v>
      </c>
      <c r="M259" s="925">
        <f t="shared" si="63"/>
        <v>0</v>
      </c>
      <c r="N259" s="925">
        <f t="shared" si="63"/>
        <v>0</v>
      </c>
      <c r="O259" s="925">
        <f t="shared" si="63"/>
        <v>4105.5499999999993</v>
      </c>
      <c r="P259" s="925">
        <f t="shared" si="63"/>
        <v>24323365.02</v>
      </c>
      <c r="Q259" s="925">
        <f t="shared" si="63"/>
        <v>0</v>
      </c>
      <c r="R259" s="925">
        <f t="shared" si="63"/>
        <v>0</v>
      </c>
      <c r="S259" s="925">
        <f t="shared" si="63"/>
        <v>0</v>
      </c>
      <c r="T259" s="925">
        <f t="shared" si="63"/>
        <v>0</v>
      </c>
      <c r="U259" s="925">
        <f t="shared" si="63"/>
        <v>0</v>
      </c>
      <c r="V259" s="925">
        <f t="shared" si="63"/>
        <v>0</v>
      </c>
      <c r="W259" s="925">
        <f t="shared" si="63"/>
        <v>0</v>
      </c>
      <c r="X259" s="925">
        <f t="shared" si="63"/>
        <v>0</v>
      </c>
      <c r="Y259" s="925">
        <f t="shared" si="63"/>
        <v>0</v>
      </c>
      <c r="Z259" s="925">
        <f>SUM(Z260:Z268)</f>
        <v>1941487.26</v>
      </c>
      <c r="AA259" s="925">
        <f t="shared" si="63"/>
        <v>0</v>
      </c>
    </row>
    <row r="260" spans="1:27" s="867" customFormat="1" ht="110.25" customHeight="1">
      <c r="A260" s="927">
        <v>64</v>
      </c>
      <c r="B260" s="863" t="s">
        <v>1957</v>
      </c>
      <c r="C260" s="925">
        <f>D260+N260+P260+R260+T260+X260+Z260</f>
        <v>500960.78</v>
      </c>
      <c r="D260" s="925">
        <f>SUM(E260:J260)</f>
        <v>464573.58</v>
      </c>
      <c r="E260" s="925">
        <v>0</v>
      </c>
      <c r="F260" s="925">
        <v>0</v>
      </c>
      <c r="G260" s="925">
        <v>0</v>
      </c>
      <c r="H260" s="925">
        <v>0</v>
      </c>
      <c r="I260" s="925">
        <v>0</v>
      </c>
      <c r="J260" s="925">
        <v>464573.58</v>
      </c>
      <c r="K260" s="861">
        <v>0</v>
      </c>
      <c r="L260" s="925">
        <v>0</v>
      </c>
      <c r="M260" s="925">
        <v>0</v>
      </c>
      <c r="N260" s="925">
        <v>0</v>
      </c>
      <c r="O260" s="925">
        <v>0</v>
      </c>
      <c r="P260" s="925">
        <v>0</v>
      </c>
      <c r="Q260" s="925">
        <v>0</v>
      </c>
      <c r="R260" s="925">
        <v>0</v>
      </c>
      <c r="S260" s="925">
        <v>0</v>
      </c>
      <c r="T260" s="925">
        <v>0</v>
      </c>
      <c r="U260" s="925">
        <v>0</v>
      </c>
      <c r="V260" s="925">
        <v>0</v>
      </c>
      <c r="W260" s="925">
        <v>0</v>
      </c>
      <c r="X260" s="925">
        <v>0</v>
      </c>
      <c r="Y260" s="925">
        <v>0</v>
      </c>
      <c r="Z260" s="921">
        <v>36387.199999999997</v>
      </c>
      <c r="AA260" s="925">
        <v>0</v>
      </c>
    </row>
    <row r="261" spans="1:27" s="867" customFormat="1" ht="131.44999999999999" customHeight="1">
      <c r="A261" s="927">
        <v>65</v>
      </c>
      <c r="B261" s="868" t="s">
        <v>1338</v>
      </c>
      <c r="C261" s="925">
        <f t="shared" ref="C261:C268" si="64">D261+N261+P261+R261+T261+X261+Z261</f>
        <v>2119864.58</v>
      </c>
      <c r="D261" s="925">
        <f t="shared" ref="D261:D268" si="65">SUM(E261:J261)</f>
        <v>0</v>
      </c>
      <c r="E261" s="925">
        <v>0</v>
      </c>
      <c r="F261" s="925">
        <v>0</v>
      </c>
      <c r="G261" s="925">
        <v>0</v>
      </c>
      <c r="H261" s="925">
        <v>0</v>
      </c>
      <c r="I261" s="925">
        <v>0</v>
      </c>
      <c r="J261" s="925">
        <v>0</v>
      </c>
      <c r="K261" s="861">
        <v>0</v>
      </c>
      <c r="L261" s="925">
        <v>0</v>
      </c>
      <c r="M261" s="925">
        <v>0</v>
      </c>
      <c r="N261" s="925">
        <v>0</v>
      </c>
      <c r="O261" s="925">
        <v>380</v>
      </c>
      <c r="P261" s="925">
        <v>1965888.58</v>
      </c>
      <c r="Q261" s="925">
        <v>0</v>
      </c>
      <c r="R261" s="925">
        <v>0</v>
      </c>
      <c r="S261" s="925">
        <v>0</v>
      </c>
      <c r="T261" s="925">
        <v>0</v>
      </c>
      <c r="U261" s="925">
        <v>0</v>
      </c>
      <c r="V261" s="925">
        <v>0</v>
      </c>
      <c r="W261" s="925">
        <v>0</v>
      </c>
      <c r="X261" s="925">
        <v>0</v>
      </c>
      <c r="Y261" s="925">
        <v>0</v>
      </c>
      <c r="Z261" s="921">
        <v>153976</v>
      </c>
      <c r="AA261" s="925">
        <v>0</v>
      </c>
    </row>
    <row r="262" spans="1:27" s="867" customFormat="1" ht="131.44999999999999" customHeight="1">
      <c r="A262" s="927">
        <v>66</v>
      </c>
      <c r="B262" s="868" t="s">
        <v>2050</v>
      </c>
      <c r="C262" s="925">
        <f t="shared" si="64"/>
        <v>4432121.71</v>
      </c>
      <c r="D262" s="925">
        <f t="shared" si="65"/>
        <v>0</v>
      </c>
      <c r="E262" s="925">
        <v>0</v>
      </c>
      <c r="F262" s="925">
        <v>0</v>
      </c>
      <c r="G262" s="925">
        <v>0</v>
      </c>
      <c r="H262" s="925">
        <v>0</v>
      </c>
      <c r="I262" s="925">
        <v>0</v>
      </c>
      <c r="J262" s="925">
        <v>0</v>
      </c>
      <c r="K262" s="861">
        <v>0</v>
      </c>
      <c r="L262" s="925">
        <v>0</v>
      </c>
      <c r="M262" s="925">
        <v>0</v>
      </c>
      <c r="N262" s="925">
        <v>0</v>
      </c>
      <c r="O262" s="925">
        <v>460</v>
      </c>
      <c r="P262" s="925">
        <v>4110195.31</v>
      </c>
      <c r="Q262" s="925">
        <v>0</v>
      </c>
      <c r="R262" s="925">
        <v>0</v>
      </c>
      <c r="S262" s="925">
        <v>0</v>
      </c>
      <c r="T262" s="925">
        <v>0</v>
      </c>
      <c r="U262" s="925">
        <v>0</v>
      </c>
      <c r="V262" s="925">
        <v>0</v>
      </c>
      <c r="W262" s="925">
        <v>0</v>
      </c>
      <c r="X262" s="925">
        <v>0</v>
      </c>
      <c r="Y262" s="925">
        <v>0</v>
      </c>
      <c r="Z262" s="921">
        <v>321926.40000000002</v>
      </c>
      <c r="AA262" s="925">
        <v>0</v>
      </c>
    </row>
    <row r="263" spans="1:27" s="867" customFormat="1" ht="93" customHeight="1">
      <c r="A263" s="927">
        <v>67</v>
      </c>
      <c r="B263" s="868" t="s">
        <v>1581</v>
      </c>
      <c r="C263" s="925">
        <f t="shared" si="64"/>
        <v>2918663.03</v>
      </c>
      <c r="D263" s="925">
        <f t="shared" si="65"/>
        <v>0</v>
      </c>
      <c r="E263" s="925">
        <v>0</v>
      </c>
      <c r="F263" s="925">
        <v>0</v>
      </c>
      <c r="G263" s="925">
        <v>0</v>
      </c>
      <c r="H263" s="925">
        <v>0</v>
      </c>
      <c r="I263" s="925">
        <v>0</v>
      </c>
      <c r="J263" s="925">
        <v>0</v>
      </c>
      <c r="K263" s="861">
        <v>0</v>
      </c>
      <c r="L263" s="925">
        <v>0</v>
      </c>
      <c r="M263" s="925">
        <v>0</v>
      </c>
      <c r="N263" s="925">
        <v>0</v>
      </c>
      <c r="O263" s="925">
        <v>523.19000000000005</v>
      </c>
      <c r="P263" s="925">
        <v>2706666.44</v>
      </c>
      <c r="Q263" s="925">
        <v>0</v>
      </c>
      <c r="R263" s="925">
        <v>0</v>
      </c>
      <c r="S263" s="925">
        <v>0</v>
      </c>
      <c r="T263" s="925">
        <v>0</v>
      </c>
      <c r="U263" s="925">
        <v>0</v>
      </c>
      <c r="V263" s="925">
        <v>0</v>
      </c>
      <c r="W263" s="925">
        <v>0</v>
      </c>
      <c r="X263" s="925">
        <v>0</v>
      </c>
      <c r="Y263" s="925">
        <v>0</v>
      </c>
      <c r="Z263" s="921">
        <v>211996.59</v>
      </c>
      <c r="AA263" s="925">
        <v>0</v>
      </c>
    </row>
    <row r="264" spans="1:27" s="867" customFormat="1" ht="93.6" customHeight="1">
      <c r="A264" s="927">
        <v>68</v>
      </c>
      <c r="B264" s="863" t="s">
        <v>1259</v>
      </c>
      <c r="C264" s="925">
        <f t="shared" si="64"/>
        <v>2309313.5299999998</v>
      </c>
      <c r="D264" s="925">
        <f t="shared" si="65"/>
        <v>0</v>
      </c>
      <c r="E264" s="925">
        <v>0</v>
      </c>
      <c r="F264" s="925">
        <v>0</v>
      </c>
      <c r="G264" s="925">
        <v>0</v>
      </c>
      <c r="H264" s="925">
        <v>0</v>
      </c>
      <c r="I264" s="925">
        <v>0</v>
      </c>
      <c r="J264" s="925">
        <v>0</v>
      </c>
      <c r="K264" s="861">
        <v>0</v>
      </c>
      <c r="L264" s="925">
        <v>0</v>
      </c>
      <c r="M264" s="925">
        <v>0</v>
      </c>
      <c r="N264" s="925">
        <v>0</v>
      </c>
      <c r="O264" s="925">
        <v>413.96</v>
      </c>
      <c r="P264" s="925">
        <v>2141576.94</v>
      </c>
      <c r="Q264" s="925">
        <v>0</v>
      </c>
      <c r="R264" s="925">
        <v>0</v>
      </c>
      <c r="S264" s="925">
        <v>0</v>
      </c>
      <c r="T264" s="925">
        <v>0</v>
      </c>
      <c r="U264" s="925">
        <v>0</v>
      </c>
      <c r="V264" s="925">
        <v>0</v>
      </c>
      <c r="W264" s="925">
        <v>0</v>
      </c>
      <c r="X264" s="925">
        <v>0</v>
      </c>
      <c r="Y264" s="925">
        <v>0</v>
      </c>
      <c r="Z264" s="921">
        <v>167736.59</v>
      </c>
      <c r="AA264" s="925">
        <v>0</v>
      </c>
    </row>
    <row r="265" spans="1:27" s="867" customFormat="1" ht="93.6" customHeight="1">
      <c r="A265" s="927">
        <v>69</v>
      </c>
      <c r="B265" s="863" t="s">
        <v>1960</v>
      </c>
      <c r="C265" s="925">
        <f t="shared" si="64"/>
        <v>3981998.26</v>
      </c>
      <c r="D265" s="925">
        <f t="shared" si="65"/>
        <v>0</v>
      </c>
      <c r="E265" s="925">
        <v>0</v>
      </c>
      <c r="F265" s="925">
        <v>0</v>
      </c>
      <c r="G265" s="925">
        <v>0</v>
      </c>
      <c r="H265" s="925">
        <v>0</v>
      </c>
      <c r="I265" s="925">
        <v>0</v>
      </c>
      <c r="J265" s="925">
        <v>0</v>
      </c>
      <c r="K265" s="861">
        <v>0</v>
      </c>
      <c r="L265" s="925">
        <v>0</v>
      </c>
      <c r="M265" s="925">
        <v>0</v>
      </c>
      <c r="N265" s="925">
        <v>0</v>
      </c>
      <c r="O265" s="925">
        <v>713.8</v>
      </c>
      <c r="P265" s="925">
        <v>3692766.5</v>
      </c>
      <c r="Q265" s="925">
        <v>0</v>
      </c>
      <c r="R265" s="925">
        <v>0</v>
      </c>
      <c r="S265" s="925">
        <v>0</v>
      </c>
      <c r="T265" s="925">
        <v>0</v>
      </c>
      <c r="U265" s="925">
        <v>0</v>
      </c>
      <c r="V265" s="925">
        <v>0</v>
      </c>
      <c r="W265" s="925">
        <v>0</v>
      </c>
      <c r="X265" s="925">
        <v>0</v>
      </c>
      <c r="Y265" s="925">
        <v>0</v>
      </c>
      <c r="Z265" s="921">
        <v>289231.76</v>
      </c>
      <c r="AA265" s="925">
        <v>0</v>
      </c>
    </row>
    <row r="266" spans="1:27" s="867" customFormat="1" ht="93.6" customHeight="1">
      <c r="A266" s="927">
        <v>70</v>
      </c>
      <c r="B266" s="863" t="s">
        <v>2160</v>
      </c>
      <c r="C266" s="925">
        <f t="shared" si="64"/>
        <v>4360178.26</v>
      </c>
      <c r="D266" s="925">
        <f t="shared" si="65"/>
        <v>0</v>
      </c>
      <c r="E266" s="925">
        <v>0</v>
      </c>
      <c r="F266" s="925">
        <v>0</v>
      </c>
      <c r="G266" s="925">
        <v>0</v>
      </c>
      <c r="H266" s="925">
        <v>0</v>
      </c>
      <c r="I266" s="925">
        <v>0</v>
      </c>
      <c r="J266" s="925">
        <v>0</v>
      </c>
      <c r="K266" s="861">
        <v>0</v>
      </c>
      <c r="L266" s="925">
        <v>0</v>
      </c>
      <c r="M266" s="925">
        <v>0</v>
      </c>
      <c r="N266" s="925">
        <v>0</v>
      </c>
      <c r="O266" s="925">
        <v>520</v>
      </c>
      <c r="P266" s="925">
        <v>4043477.46</v>
      </c>
      <c r="Q266" s="925">
        <v>0</v>
      </c>
      <c r="R266" s="925">
        <v>0</v>
      </c>
      <c r="S266" s="925">
        <v>0</v>
      </c>
      <c r="T266" s="925">
        <v>0</v>
      </c>
      <c r="U266" s="925">
        <v>0</v>
      </c>
      <c r="V266" s="925">
        <v>0</v>
      </c>
      <c r="W266" s="925">
        <v>0</v>
      </c>
      <c r="X266" s="925">
        <v>0</v>
      </c>
      <c r="Y266" s="925">
        <v>0</v>
      </c>
      <c r="Z266" s="921">
        <v>316700.79999999999</v>
      </c>
      <c r="AA266" s="925">
        <v>0</v>
      </c>
    </row>
    <row r="267" spans="1:27" s="867" customFormat="1" ht="93.6" customHeight="1">
      <c r="A267" s="927">
        <v>71</v>
      </c>
      <c r="B267" s="863" t="s">
        <v>2047</v>
      </c>
      <c r="C267" s="925">
        <f t="shared" si="64"/>
        <v>2773117.59</v>
      </c>
      <c r="D267" s="925">
        <f t="shared" si="65"/>
        <v>0</v>
      </c>
      <c r="E267" s="925">
        <v>0</v>
      </c>
      <c r="F267" s="925">
        <v>0</v>
      </c>
      <c r="G267" s="925">
        <v>0</v>
      </c>
      <c r="H267" s="925">
        <v>0</v>
      </c>
      <c r="I267" s="925">
        <v>0</v>
      </c>
      <c r="J267" s="925">
        <v>0</v>
      </c>
      <c r="K267" s="861">
        <v>0</v>
      </c>
      <c r="L267" s="925">
        <v>0</v>
      </c>
      <c r="M267" s="925">
        <v>0</v>
      </c>
      <c r="N267" s="925">
        <v>0</v>
      </c>
      <c r="O267" s="925">
        <v>497.1</v>
      </c>
      <c r="P267" s="925">
        <v>2571692.67</v>
      </c>
      <c r="Q267" s="925">
        <v>0</v>
      </c>
      <c r="R267" s="925">
        <v>0</v>
      </c>
      <c r="S267" s="925">
        <v>0</v>
      </c>
      <c r="T267" s="925">
        <v>0</v>
      </c>
      <c r="U267" s="925">
        <v>0</v>
      </c>
      <c r="V267" s="925">
        <v>0</v>
      </c>
      <c r="W267" s="925">
        <v>0</v>
      </c>
      <c r="X267" s="925">
        <v>0</v>
      </c>
      <c r="Y267" s="925">
        <v>0</v>
      </c>
      <c r="Z267" s="921">
        <v>201424.92</v>
      </c>
      <c r="AA267" s="925">
        <v>0</v>
      </c>
    </row>
    <row r="268" spans="1:27" s="867" customFormat="1" ht="93.6" customHeight="1">
      <c r="A268" s="927">
        <v>72</v>
      </c>
      <c r="B268" s="863" t="s">
        <v>2048</v>
      </c>
      <c r="C268" s="925">
        <f t="shared" si="64"/>
        <v>3333208.12</v>
      </c>
      <c r="D268" s="925">
        <f t="shared" si="65"/>
        <v>0</v>
      </c>
      <c r="E268" s="925">
        <v>0</v>
      </c>
      <c r="F268" s="925">
        <v>0</v>
      </c>
      <c r="G268" s="925">
        <v>0</v>
      </c>
      <c r="H268" s="925">
        <v>0</v>
      </c>
      <c r="I268" s="925">
        <v>0</v>
      </c>
      <c r="J268" s="925">
        <v>0</v>
      </c>
      <c r="K268" s="861">
        <v>0</v>
      </c>
      <c r="L268" s="925">
        <v>0</v>
      </c>
      <c r="M268" s="925">
        <v>0</v>
      </c>
      <c r="N268" s="925">
        <v>0</v>
      </c>
      <c r="O268" s="925">
        <v>597.5</v>
      </c>
      <c r="P268" s="925">
        <v>3091101.12</v>
      </c>
      <c r="Q268" s="925">
        <v>0</v>
      </c>
      <c r="R268" s="925">
        <v>0</v>
      </c>
      <c r="S268" s="925">
        <v>0</v>
      </c>
      <c r="T268" s="925">
        <v>0</v>
      </c>
      <c r="U268" s="925">
        <v>0</v>
      </c>
      <c r="V268" s="925">
        <v>0</v>
      </c>
      <c r="W268" s="925">
        <v>0</v>
      </c>
      <c r="X268" s="925">
        <v>0</v>
      </c>
      <c r="Y268" s="925">
        <v>0</v>
      </c>
      <c r="Z268" s="921">
        <v>242107</v>
      </c>
      <c r="AA268" s="925">
        <v>0</v>
      </c>
    </row>
    <row r="269" spans="1:27" s="867" customFormat="1" ht="111.75" customHeight="1">
      <c r="A269" s="1198" t="s">
        <v>1974</v>
      </c>
      <c r="B269" s="1199"/>
      <c r="C269" s="925">
        <f>C270+C271+C272+C273</f>
        <v>11257596.639999999</v>
      </c>
      <c r="D269" s="925">
        <f t="shared" ref="D269:AA269" si="66">D270+D271+D272+D273</f>
        <v>0</v>
      </c>
      <c r="E269" s="925">
        <f t="shared" si="66"/>
        <v>0</v>
      </c>
      <c r="F269" s="925">
        <f t="shared" si="66"/>
        <v>0</v>
      </c>
      <c r="G269" s="925">
        <f t="shared" si="66"/>
        <v>0</v>
      </c>
      <c r="H269" s="925">
        <f t="shared" si="66"/>
        <v>0</v>
      </c>
      <c r="I269" s="925">
        <f t="shared" si="66"/>
        <v>0</v>
      </c>
      <c r="J269" s="925">
        <f t="shared" si="66"/>
        <v>0</v>
      </c>
      <c r="K269" s="861">
        <f t="shared" si="66"/>
        <v>0</v>
      </c>
      <c r="L269" s="925">
        <f t="shared" si="66"/>
        <v>0</v>
      </c>
      <c r="M269" s="925">
        <f t="shared" si="66"/>
        <v>0</v>
      </c>
      <c r="N269" s="925">
        <f t="shared" si="66"/>
        <v>0</v>
      </c>
      <c r="O269" s="925">
        <f t="shared" si="66"/>
        <v>2018</v>
      </c>
      <c r="P269" s="925">
        <f t="shared" si="66"/>
        <v>10439903.039999999</v>
      </c>
      <c r="Q269" s="925">
        <f t="shared" si="66"/>
        <v>0</v>
      </c>
      <c r="R269" s="925">
        <f t="shared" si="66"/>
        <v>0</v>
      </c>
      <c r="S269" s="925">
        <f t="shared" si="66"/>
        <v>0</v>
      </c>
      <c r="T269" s="925">
        <f t="shared" si="66"/>
        <v>0</v>
      </c>
      <c r="U269" s="925">
        <f t="shared" si="66"/>
        <v>0</v>
      </c>
      <c r="V269" s="925">
        <f t="shared" si="66"/>
        <v>0</v>
      </c>
      <c r="W269" s="925">
        <f t="shared" si="66"/>
        <v>0</v>
      </c>
      <c r="X269" s="925">
        <f t="shared" si="66"/>
        <v>0</v>
      </c>
      <c r="Y269" s="925">
        <f t="shared" si="66"/>
        <v>0</v>
      </c>
      <c r="Z269" s="921">
        <f t="shared" si="66"/>
        <v>817693.60000000009</v>
      </c>
      <c r="AA269" s="925">
        <f t="shared" si="66"/>
        <v>0</v>
      </c>
    </row>
    <row r="270" spans="1:27" s="867" customFormat="1" ht="92.25" customHeight="1">
      <c r="A270" s="927">
        <v>73</v>
      </c>
      <c r="B270" s="863" t="s">
        <v>1368</v>
      </c>
      <c r="C270" s="925">
        <f>D270+N270+P270+R270+T270+X270+Z270</f>
        <v>1891142.35</v>
      </c>
      <c r="D270" s="925">
        <f>SUM(E270:J270)</f>
        <v>0</v>
      </c>
      <c r="E270" s="925">
        <v>0</v>
      </c>
      <c r="F270" s="925">
        <v>0</v>
      </c>
      <c r="G270" s="925">
        <v>0</v>
      </c>
      <c r="H270" s="925">
        <v>0</v>
      </c>
      <c r="I270" s="925">
        <v>0</v>
      </c>
      <c r="J270" s="925">
        <v>0</v>
      </c>
      <c r="K270" s="861">
        <v>0</v>
      </c>
      <c r="L270" s="925">
        <v>0</v>
      </c>
      <c r="M270" s="925">
        <v>0</v>
      </c>
      <c r="N270" s="925">
        <v>0</v>
      </c>
      <c r="O270" s="925">
        <v>339</v>
      </c>
      <c r="P270" s="925">
        <v>1753779.55</v>
      </c>
      <c r="Q270" s="925">
        <v>0</v>
      </c>
      <c r="R270" s="925">
        <v>0</v>
      </c>
      <c r="S270" s="925">
        <v>0</v>
      </c>
      <c r="T270" s="925">
        <v>0</v>
      </c>
      <c r="U270" s="925">
        <v>0</v>
      </c>
      <c r="V270" s="925">
        <v>0</v>
      </c>
      <c r="W270" s="925">
        <v>0</v>
      </c>
      <c r="X270" s="925">
        <v>0</v>
      </c>
      <c r="Y270" s="925">
        <v>0</v>
      </c>
      <c r="Z270" s="921">
        <v>137362.79999999999</v>
      </c>
      <c r="AA270" s="925">
        <v>0</v>
      </c>
    </row>
    <row r="271" spans="1:27" s="867" customFormat="1" ht="126" customHeight="1">
      <c r="A271" s="927">
        <v>74</v>
      </c>
      <c r="B271" s="868" t="s">
        <v>1369</v>
      </c>
      <c r="C271" s="925">
        <f>D271+N271+P271+R271+T271+X271+Z271</f>
        <v>5411233.2699999996</v>
      </c>
      <c r="D271" s="925">
        <f>SUM(E271:J271)</f>
        <v>0</v>
      </c>
      <c r="E271" s="925">
        <v>0</v>
      </c>
      <c r="F271" s="925">
        <v>0</v>
      </c>
      <c r="G271" s="925">
        <v>0</v>
      </c>
      <c r="H271" s="925">
        <v>0</v>
      </c>
      <c r="I271" s="925">
        <v>0</v>
      </c>
      <c r="J271" s="925">
        <v>0</v>
      </c>
      <c r="K271" s="861">
        <v>0</v>
      </c>
      <c r="L271" s="925">
        <v>0</v>
      </c>
      <c r="M271" s="925">
        <v>0</v>
      </c>
      <c r="N271" s="925">
        <v>0</v>
      </c>
      <c r="O271" s="925">
        <v>970</v>
      </c>
      <c r="P271" s="880">
        <v>5018189.2699999996</v>
      </c>
      <c r="Q271" s="925">
        <v>0</v>
      </c>
      <c r="R271" s="925">
        <v>0</v>
      </c>
      <c r="S271" s="925">
        <v>0</v>
      </c>
      <c r="T271" s="925">
        <v>0</v>
      </c>
      <c r="U271" s="925">
        <v>0</v>
      </c>
      <c r="V271" s="925">
        <v>0</v>
      </c>
      <c r="W271" s="925">
        <v>0</v>
      </c>
      <c r="X271" s="925">
        <v>0</v>
      </c>
      <c r="Y271" s="925">
        <v>0</v>
      </c>
      <c r="Z271" s="921">
        <v>393044</v>
      </c>
      <c r="AA271" s="925">
        <v>0</v>
      </c>
    </row>
    <row r="272" spans="1:27" s="867" customFormat="1" ht="102" customHeight="1">
      <c r="A272" s="927">
        <v>75</v>
      </c>
      <c r="B272" s="868" t="s">
        <v>1370</v>
      </c>
      <c r="C272" s="925">
        <f>D272+N272+P272+R272+T272+X272+Z272</f>
        <v>1891142.35</v>
      </c>
      <c r="D272" s="925">
        <f>SUM(E272:J272)</f>
        <v>0</v>
      </c>
      <c r="E272" s="925">
        <v>0</v>
      </c>
      <c r="F272" s="925">
        <v>0</v>
      </c>
      <c r="G272" s="925">
        <v>0</v>
      </c>
      <c r="H272" s="925">
        <v>0</v>
      </c>
      <c r="I272" s="925">
        <v>0</v>
      </c>
      <c r="J272" s="925">
        <v>0</v>
      </c>
      <c r="K272" s="861">
        <v>0</v>
      </c>
      <c r="L272" s="925">
        <v>0</v>
      </c>
      <c r="M272" s="925">
        <v>0</v>
      </c>
      <c r="N272" s="925">
        <v>0</v>
      </c>
      <c r="O272" s="925">
        <v>339</v>
      </c>
      <c r="P272" s="880">
        <v>1753779.55</v>
      </c>
      <c r="Q272" s="925">
        <v>0</v>
      </c>
      <c r="R272" s="925">
        <v>0</v>
      </c>
      <c r="S272" s="925">
        <v>0</v>
      </c>
      <c r="T272" s="925">
        <v>0</v>
      </c>
      <c r="U272" s="925">
        <v>0</v>
      </c>
      <c r="V272" s="925">
        <v>0</v>
      </c>
      <c r="W272" s="925">
        <v>0</v>
      </c>
      <c r="X272" s="925">
        <v>0</v>
      </c>
      <c r="Y272" s="925">
        <v>0</v>
      </c>
      <c r="Z272" s="921">
        <v>137362.79999999999</v>
      </c>
      <c r="AA272" s="925">
        <v>0</v>
      </c>
    </row>
    <row r="273" spans="1:27" s="867" customFormat="1" ht="93.75" customHeight="1">
      <c r="A273" s="927">
        <v>76</v>
      </c>
      <c r="B273" s="874" t="s">
        <v>1371</v>
      </c>
      <c r="C273" s="925">
        <f>D273+N273+P273+R273+T273+X273+Z273</f>
        <v>2064078.67</v>
      </c>
      <c r="D273" s="925">
        <f>SUM(E273:J273)</f>
        <v>0</v>
      </c>
      <c r="E273" s="925">
        <v>0</v>
      </c>
      <c r="F273" s="925">
        <v>0</v>
      </c>
      <c r="G273" s="925">
        <v>0</v>
      </c>
      <c r="H273" s="925">
        <v>0</v>
      </c>
      <c r="I273" s="925">
        <v>0</v>
      </c>
      <c r="J273" s="925">
        <v>0</v>
      </c>
      <c r="K273" s="861">
        <v>0</v>
      </c>
      <c r="L273" s="925">
        <v>0</v>
      </c>
      <c r="M273" s="925">
        <v>0</v>
      </c>
      <c r="N273" s="925">
        <v>0</v>
      </c>
      <c r="O273" s="925">
        <v>370</v>
      </c>
      <c r="P273" s="881">
        <v>1914154.67</v>
      </c>
      <c r="Q273" s="925">
        <v>0</v>
      </c>
      <c r="R273" s="925">
        <v>0</v>
      </c>
      <c r="S273" s="925">
        <v>0</v>
      </c>
      <c r="T273" s="925">
        <v>0</v>
      </c>
      <c r="U273" s="925">
        <v>0</v>
      </c>
      <c r="V273" s="925">
        <v>0</v>
      </c>
      <c r="W273" s="925">
        <v>0</v>
      </c>
      <c r="X273" s="925">
        <v>0</v>
      </c>
      <c r="Y273" s="925">
        <v>0</v>
      </c>
      <c r="Z273" s="921">
        <v>149924</v>
      </c>
      <c r="AA273" s="925">
        <v>0</v>
      </c>
    </row>
    <row r="274" spans="1:27" s="867" customFormat="1" ht="92.45" customHeight="1">
      <c r="A274" s="1198" t="s">
        <v>1248</v>
      </c>
      <c r="B274" s="1199"/>
      <c r="C274" s="925">
        <f>C275+C276+C277+C278+C279</f>
        <v>19728615.199999999</v>
      </c>
      <c r="D274" s="925">
        <f t="shared" ref="D274:AA274" si="67">D275+D276+D277+D278+D279</f>
        <v>1587348.24</v>
      </c>
      <c r="E274" s="925">
        <f t="shared" si="67"/>
        <v>0</v>
      </c>
      <c r="F274" s="925">
        <f t="shared" si="67"/>
        <v>0</v>
      </c>
      <c r="G274" s="925">
        <f t="shared" si="67"/>
        <v>0</v>
      </c>
      <c r="H274" s="925">
        <f t="shared" si="67"/>
        <v>0</v>
      </c>
      <c r="I274" s="925">
        <f t="shared" si="67"/>
        <v>1587348.24</v>
      </c>
      <c r="J274" s="925">
        <f t="shared" si="67"/>
        <v>0</v>
      </c>
      <c r="K274" s="861">
        <f t="shared" si="67"/>
        <v>0</v>
      </c>
      <c r="L274" s="925">
        <f t="shared" si="67"/>
        <v>0</v>
      </c>
      <c r="M274" s="925">
        <f t="shared" si="67"/>
        <v>0</v>
      </c>
      <c r="N274" s="925">
        <f t="shared" si="67"/>
        <v>0</v>
      </c>
      <c r="O274" s="925">
        <f t="shared" si="67"/>
        <v>2190.71</v>
      </c>
      <c r="P274" s="925">
        <f t="shared" si="67"/>
        <v>16708282.379999999</v>
      </c>
      <c r="Q274" s="925">
        <f t="shared" si="67"/>
        <v>0</v>
      </c>
      <c r="R274" s="925">
        <f t="shared" si="67"/>
        <v>0</v>
      </c>
      <c r="S274" s="925">
        <f t="shared" si="67"/>
        <v>0</v>
      </c>
      <c r="T274" s="925">
        <f t="shared" si="67"/>
        <v>0</v>
      </c>
      <c r="U274" s="925">
        <f t="shared" si="67"/>
        <v>0</v>
      </c>
      <c r="V274" s="925">
        <f t="shared" si="67"/>
        <v>0</v>
      </c>
      <c r="W274" s="925">
        <f t="shared" si="67"/>
        <v>0</v>
      </c>
      <c r="X274" s="925">
        <f t="shared" si="67"/>
        <v>0</v>
      </c>
      <c r="Y274" s="925">
        <f t="shared" si="67"/>
        <v>0</v>
      </c>
      <c r="Z274" s="921">
        <f t="shared" si="67"/>
        <v>1432984.58</v>
      </c>
      <c r="AA274" s="925">
        <f t="shared" si="67"/>
        <v>0</v>
      </c>
    </row>
    <row r="275" spans="1:27" s="867" customFormat="1" ht="84" customHeight="1">
      <c r="A275" s="927">
        <v>77</v>
      </c>
      <c r="B275" s="863" t="s">
        <v>1419</v>
      </c>
      <c r="C275" s="925">
        <f>D275+N275+P275+R275+T275+X275+Z275</f>
        <v>3641084.34</v>
      </c>
      <c r="D275" s="925">
        <f>SUM(E275:J275)</f>
        <v>0</v>
      </c>
      <c r="E275" s="925">
        <v>0</v>
      </c>
      <c r="F275" s="925">
        <v>0</v>
      </c>
      <c r="G275" s="925">
        <v>0</v>
      </c>
      <c r="H275" s="925">
        <v>0</v>
      </c>
      <c r="I275" s="925">
        <v>0</v>
      </c>
      <c r="J275" s="925">
        <v>0</v>
      </c>
      <c r="K275" s="861">
        <v>0</v>
      </c>
      <c r="L275" s="925">
        <v>0</v>
      </c>
      <c r="M275" s="925">
        <v>0</v>
      </c>
      <c r="N275" s="925">
        <v>0</v>
      </c>
      <c r="O275" s="925">
        <v>377.9</v>
      </c>
      <c r="P275" s="925">
        <v>3376614.8</v>
      </c>
      <c r="Q275" s="925">
        <v>0</v>
      </c>
      <c r="R275" s="925">
        <v>0</v>
      </c>
      <c r="S275" s="925">
        <v>0</v>
      </c>
      <c r="T275" s="925">
        <v>0</v>
      </c>
      <c r="U275" s="925">
        <v>0</v>
      </c>
      <c r="V275" s="925">
        <v>0</v>
      </c>
      <c r="W275" s="925">
        <v>0</v>
      </c>
      <c r="X275" s="925">
        <v>0</v>
      </c>
      <c r="Y275" s="925">
        <v>0</v>
      </c>
      <c r="Z275" s="864">
        <v>264469.53999999998</v>
      </c>
      <c r="AA275" s="873">
        <v>0</v>
      </c>
    </row>
    <row r="276" spans="1:27" s="867" customFormat="1" ht="131.44999999999999" customHeight="1">
      <c r="A276" s="927">
        <v>78</v>
      </c>
      <c r="B276" s="863" t="s">
        <v>2161</v>
      </c>
      <c r="C276" s="925">
        <f>D276+N276+P276+R276+T276+X276+Z276</f>
        <v>4250384.2699999996</v>
      </c>
      <c r="D276" s="925">
        <f>SUM(E276:J276)</f>
        <v>0</v>
      </c>
      <c r="E276" s="925">
        <v>0</v>
      </c>
      <c r="F276" s="925">
        <v>0</v>
      </c>
      <c r="G276" s="925">
        <v>0</v>
      </c>
      <c r="H276" s="925">
        <v>0</v>
      </c>
      <c r="I276" s="925">
        <v>0</v>
      </c>
      <c r="J276" s="925">
        <v>0</v>
      </c>
      <c r="K276" s="861">
        <v>0</v>
      </c>
      <c r="L276" s="925">
        <v>0</v>
      </c>
      <c r="M276" s="925">
        <v>0</v>
      </c>
      <c r="N276" s="925">
        <v>0</v>
      </c>
      <c r="O276" s="925">
        <v>761.91</v>
      </c>
      <c r="P276" s="925">
        <v>3941658.34</v>
      </c>
      <c r="Q276" s="925">
        <v>0</v>
      </c>
      <c r="R276" s="925">
        <v>0</v>
      </c>
      <c r="S276" s="925">
        <v>0</v>
      </c>
      <c r="T276" s="925">
        <v>0</v>
      </c>
      <c r="U276" s="925">
        <v>0</v>
      </c>
      <c r="V276" s="925">
        <v>0</v>
      </c>
      <c r="W276" s="925">
        <v>0</v>
      </c>
      <c r="X276" s="925">
        <v>0</v>
      </c>
      <c r="Y276" s="925">
        <v>0</v>
      </c>
      <c r="Z276" s="864">
        <v>308725.93</v>
      </c>
      <c r="AA276" s="873">
        <v>0</v>
      </c>
    </row>
    <row r="277" spans="1:27" s="867" customFormat="1" ht="97.15" customHeight="1">
      <c r="A277" s="927">
        <v>79</v>
      </c>
      <c r="B277" s="863" t="s">
        <v>2162</v>
      </c>
      <c r="C277" s="925">
        <f>D277+N277+P277+R277+T277+X277+Z277</f>
        <v>1711675.5</v>
      </c>
      <c r="D277" s="925">
        <f>SUM(E277:J277)</f>
        <v>1587348.24</v>
      </c>
      <c r="E277" s="925">
        <v>0</v>
      </c>
      <c r="F277" s="925">
        <v>0</v>
      </c>
      <c r="G277" s="925">
        <v>0</v>
      </c>
      <c r="H277" s="925">
        <v>0</v>
      </c>
      <c r="I277" s="925">
        <v>1587348.24</v>
      </c>
      <c r="J277" s="925">
        <v>0</v>
      </c>
      <c r="K277" s="861">
        <v>0</v>
      </c>
      <c r="L277" s="925">
        <v>0</v>
      </c>
      <c r="M277" s="925">
        <v>0</v>
      </c>
      <c r="N277" s="925">
        <v>0</v>
      </c>
      <c r="O277" s="925">
        <v>0</v>
      </c>
      <c r="P277" s="925">
        <v>0</v>
      </c>
      <c r="Q277" s="925">
        <v>0</v>
      </c>
      <c r="R277" s="925">
        <v>0</v>
      </c>
      <c r="S277" s="925">
        <v>0</v>
      </c>
      <c r="T277" s="925">
        <v>0</v>
      </c>
      <c r="U277" s="925">
        <v>0</v>
      </c>
      <c r="V277" s="925">
        <v>0</v>
      </c>
      <c r="W277" s="925">
        <v>0</v>
      </c>
      <c r="X277" s="925">
        <v>0</v>
      </c>
      <c r="Y277" s="925">
        <v>0</v>
      </c>
      <c r="Z277" s="864">
        <v>124327.26</v>
      </c>
      <c r="AA277" s="873">
        <v>0</v>
      </c>
    </row>
    <row r="278" spans="1:27" s="867" customFormat="1" ht="124.15" customHeight="1">
      <c r="A278" s="927">
        <v>80</v>
      </c>
      <c r="B278" s="863" t="s">
        <v>1422</v>
      </c>
      <c r="C278" s="925">
        <f>D278+N278+P278+R278+T278+X278+Z278</f>
        <v>5863889.7199999997</v>
      </c>
      <c r="D278" s="925">
        <f>SUM(E278:J278)</f>
        <v>0</v>
      </c>
      <c r="E278" s="925">
        <v>0</v>
      </c>
      <c r="F278" s="925">
        <v>0</v>
      </c>
      <c r="G278" s="925">
        <v>0</v>
      </c>
      <c r="H278" s="925">
        <v>0</v>
      </c>
      <c r="I278" s="925">
        <v>0</v>
      </c>
      <c r="J278" s="925">
        <v>0</v>
      </c>
      <c r="K278" s="861">
        <v>0</v>
      </c>
      <c r="L278" s="925">
        <v>0</v>
      </c>
      <c r="M278" s="925">
        <v>0</v>
      </c>
      <c r="N278" s="925">
        <v>0</v>
      </c>
      <c r="O278" s="925">
        <v>608.6</v>
      </c>
      <c r="P278" s="925">
        <v>5437967.0999999996</v>
      </c>
      <c r="Q278" s="925">
        <v>0</v>
      </c>
      <c r="R278" s="925">
        <v>0</v>
      </c>
      <c r="S278" s="925">
        <v>0</v>
      </c>
      <c r="T278" s="925">
        <v>0</v>
      </c>
      <c r="U278" s="925">
        <v>0</v>
      </c>
      <c r="V278" s="925">
        <v>0</v>
      </c>
      <c r="W278" s="925">
        <v>0</v>
      </c>
      <c r="X278" s="925">
        <v>0</v>
      </c>
      <c r="Y278" s="925">
        <v>0</v>
      </c>
      <c r="Z278" s="864">
        <v>425922.62</v>
      </c>
      <c r="AA278" s="873">
        <v>0</v>
      </c>
    </row>
    <row r="279" spans="1:27" s="867" customFormat="1" ht="124.15" customHeight="1">
      <c r="A279" s="927">
        <v>81</v>
      </c>
      <c r="B279" s="863" t="s">
        <v>1423</v>
      </c>
      <c r="C279" s="925">
        <f>D279+N279+P279+R279+T279+X279+Z279</f>
        <v>4261581.37</v>
      </c>
      <c r="D279" s="925">
        <f>SUM(E279:J279)</f>
        <v>0</v>
      </c>
      <c r="E279" s="925">
        <v>0</v>
      </c>
      <c r="F279" s="925">
        <v>0</v>
      </c>
      <c r="G279" s="925">
        <v>0</v>
      </c>
      <c r="H279" s="925">
        <v>0</v>
      </c>
      <c r="I279" s="925">
        <v>0</v>
      </c>
      <c r="J279" s="925">
        <v>0</v>
      </c>
      <c r="K279" s="861">
        <v>0</v>
      </c>
      <c r="L279" s="925">
        <v>0</v>
      </c>
      <c r="M279" s="925">
        <v>0</v>
      </c>
      <c r="N279" s="925">
        <v>0</v>
      </c>
      <c r="O279" s="925">
        <v>442.3</v>
      </c>
      <c r="P279" s="925">
        <v>3952042.14</v>
      </c>
      <c r="Q279" s="925">
        <v>0</v>
      </c>
      <c r="R279" s="925">
        <v>0</v>
      </c>
      <c r="S279" s="925">
        <v>0</v>
      </c>
      <c r="T279" s="925">
        <v>0</v>
      </c>
      <c r="U279" s="925">
        <v>0</v>
      </c>
      <c r="V279" s="925">
        <v>0</v>
      </c>
      <c r="W279" s="925">
        <v>0</v>
      </c>
      <c r="X279" s="925">
        <v>0</v>
      </c>
      <c r="Y279" s="925">
        <v>0</v>
      </c>
      <c r="Z279" s="864">
        <v>309539.23</v>
      </c>
      <c r="AA279" s="873">
        <v>0</v>
      </c>
    </row>
    <row r="280" spans="1:27" s="867" customFormat="1" ht="124.15" customHeight="1">
      <c r="A280" s="1198" t="s">
        <v>2082</v>
      </c>
      <c r="B280" s="1199"/>
      <c r="C280" s="925">
        <v>2408761.7999999998</v>
      </c>
      <c r="D280" s="925">
        <f t="shared" ref="D280:AA280" si="68">SUM(D281:D288)</f>
        <v>0</v>
      </c>
      <c r="E280" s="925">
        <f t="shared" si="68"/>
        <v>0</v>
      </c>
      <c r="F280" s="925">
        <f t="shared" si="68"/>
        <v>0</v>
      </c>
      <c r="G280" s="925">
        <f t="shared" si="68"/>
        <v>0</v>
      </c>
      <c r="H280" s="925">
        <f t="shared" si="68"/>
        <v>0</v>
      </c>
      <c r="I280" s="925">
        <f t="shared" si="68"/>
        <v>0</v>
      </c>
      <c r="J280" s="925">
        <f t="shared" si="68"/>
        <v>0</v>
      </c>
      <c r="K280" s="861">
        <f t="shared" si="68"/>
        <v>0</v>
      </c>
      <c r="L280" s="925">
        <f t="shared" si="68"/>
        <v>0</v>
      </c>
      <c r="M280" s="925">
        <f t="shared" si="68"/>
        <v>0</v>
      </c>
      <c r="N280" s="925">
        <f t="shared" si="68"/>
        <v>0</v>
      </c>
      <c r="O280" s="925">
        <v>250</v>
      </c>
      <c r="P280" s="925">
        <v>2233801.7999999998</v>
      </c>
      <c r="Q280" s="925">
        <f t="shared" si="68"/>
        <v>0</v>
      </c>
      <c r="R280" s="925">
        <f t="shared" si="68"/>
        <v>0</v>
      </c>
      <c r="S280" s="925">
        <f t="shared" si="68"/>
        <v>0</v>
      </c>
      <c r="T280" s="925">
        <f t="shared" si="68"/>
        <v>0</v>
      </c>
      <c r="U280" s="925">
        <f t="shared" si="68"/>
        <v>0</v>
      </c>
      <c r="V280" s="925">
        <f t="shared" si="68"/>
        <v>0</v>
      </c>
      <c r="W280" s="925">
        <f t="shared" si="68"/>
        <v>0</v>
      </c>
      <c r="X280" s="925">
        <f t="shared" si="68"/>
        <v>0</v>
      </c>
      <c r="Y280" s="925">
        <f t="shared" si="68"/>
        <v>0</v>
      </c>
      <c r="Z280" s="925">
        <v>174960</v>
      </c>
      <c r="AA280" s="925">
        <f t="shared" si="68"/>
        <v>0</v>
      </c>
    </row>
    <row r="281" spans="1:27" s="867" customFormat="1" ht="124.15" customHeight="1">
      <c r="A281" s="927">
        <v>82</v>
      </c>
      <c r="B281" s="863" t="s">
        <v>2170</v>
      </c>
      <c r="C281" s="925">
        <v>2408761.7999999998</v>
      </c>
      <c r="D281" s="925">
        <f>SUM(E281:J281)</f>
        <v>0</v>
      </c>
      <c r="E281" s="925">
        <v>0</v>
      </c>
      <c r="F281" s="925">
        <v>0</v>
      </c>
      <c r="G281" s="925">
        <v>0</v>
      </c>
      <c r="H281" s="925">
        <v>0</v>
      </c>
      <c r="I281" s="925">
        <v>0</v>
      </c>
      <c r="J281" s="925">
        <v>0</v>
      </c>
      <c r="K281" s="861">
        <v>0</v>
      </c>
      <c r="L281" s="925">
        <v>0</v>
      </c>
      <c r="M281" s="925">
        <v>0</v>
      </c>
      <c r="N281" s="925">
        <v>0</v>
      </c>
      <c r="O281" s="925">
        <v>250</v>
      </c>
      <c r="P281" s="925">
        <v>2233801.7999999998</v>
      </c>
      <c r="Q281" s="925">
        <v>0</v>
      </c>
      <c r="R281" s="925">
        <v>0</v>
      </c>
      <c r="S281" s="925">
        <v>0</v>
      </c>
      <c r="T281" s="925">
        <v>0</v>
      </c>
      <c r="U281" s="925">
        <v>0</v>
      </c>
      <c r="V281" s="925">
        <v>0</v>
      </c>
      <c r="W281" s="925">
        <v>0</v>
      </c>
      <c r="X281" s="925">
        <v>0</v>
      </c>
      <c r="Y281" s="925">
        <v>0</v>
      </c>
      <c r="Z281" s="921">
        <v>174960</v>
      </c>
      <c r="AA281" s="925">
        <v>0</v>
      </c>
    </row>
    <row r="282" spans="1:27" s="875" customFormat="1" ht="136.5" customHeight="1">
      <c r="A282" s="1198" t="s">
        <v>1185</v>
      </c>
      <c r="B282" s="1199"/>
      <c r="C282" s="925">
        <f>SUM(C283:C290)</f>
        <v>32586878.849999998</v>
      </c>
      <c r="D282" s="925">
        <f t="shared" ref="D282:AA282" si="69">SUM(D283:D290)</f>
        <v>0</v>
      </c>
      <c r="E282" s="925">
        <f t="shared" si="69"/>
        <v>0</v>
      </c>
      <c r="F282" s="925">
        <f t="shared" si="69"/>
        <v>0</v>
      </c>
      <c r="G282" s="925">
        <f t="shared" si="69"/>
        <v>0</v>
      </c>
      <c r="H282" s="925">
        <f t="shared" si="69"/>
        <v>0</v>
      </c>
      <c r="I282" s="925">
        <f t="shared" si="69"/>
        <v>0</v>
      </c>
      <c r="J282" s="925">
        <f t="shared" si="69"/>
        <v>0</v>
      </c>
      <c r="K282" s="861">
        <f t="shared" si="69"/>
        <v>0</v>
      </c>
      <c r="L282" s="925">
        <f t="shared" si="69"/>
        <v>0</v>
      </c>
      <c r="M282" s="925">
        <f t="shared" si="69"/>
        <v>0</v>
      </c>
      <c r="N282" s="925">
        <f t="shared" si="69"/>
        <v>0</v>
      </c>
      <c r="O282" s="925">
        <f t="shared" si="69"/>
        <v>4221.4000000000005</v>
      </c>
      <c r="P282" s="925">
        <f t="shared" si="69"/>
        <v>30219936.500000007</v>
      </c>
      <c r="Q282" s="925">
        <f t="shared" si="69"/>
        <v>0</v>
      </c>
      <c r="R282" s="925">
        <f t="shared" si="69"/>
        <v>0</v>
      </c>
      <c r="S282" s="925">
        <f t="shared" si="69"/>
        <v>0</v>
      </c>
      <c r="T282" s="925">
        <f t="shared" si="69"/>
        <v>0</v>
      </c>
      <c r="U282" s="925">
        <f t="shared" si="69"/>
        <v>0</v>
      </c>
      <c r="V282" s="925">
        <f t="shared" si="69"/>
        <v>0</v>
      </c>
      <c r="W282" s="925">
        <f t="shared" si="69"/>
        <v>0</v>
      </c>
      <c r="X282" s="925">
        <f t="shared" si="69"/>
        <v>0</v>
      </c>
      <c r="Y282" s="925">
        <f t="shared" si="69"/>
        <v>0</v>
      </c>
      <c r="Z282" s="925">
        <f t="shared" si="69"/>
        <v>2366942.35</v>
      </c>
      <c r="AA282" s="925">
        <f t="shared" si="69"/>
        <v>0</v>
      </c>
    </row>
    <row r="283" spans="1:27" s="867" customFormat="1" ht="72.599999999999994" customHeight="1">
      <c r="A283" s="927">
        <v>83</v>
      </c>
      <c r="B283" s="863" t="s">
        <v>1329</v>
      </c>
      <c r="C283" s="925">
        <f>D283+N283+P283+R283+T283+X283+Z283</f>
        <v>4919655.0999999996</v>
      </c>
      <c r="D283" s="925">
        <f>SUM(E283:J283)</f>
        <v>0</v>
      </c>
      <c r="E283" s="925">
        <v>0</v>
      </c>
      <c r="F283" s="925">
        <v>0</v>
      </c>
      <c r="G283" s="925">
        <v>0</v>
      </c>
      <c r="H283" s="925">
        <v>0</v>
      </c>
      <c r="I283" s="925">
        <v>0</v>
      </c>
      <c r="J283" s="925">
        <v>0</v>
      </c>
      <c r="K283" s="861">
        <v>0</v>
      </c>
      <c r="L283" s="925">
        <v>0</v>
      </c>
      <c r="M283" s="925">
        <v>0</v>
      </c>
      <c r="N283" s="925">
        <v>0</v>
      </c>
      <c r="O283" s="925">
        <v>510.6</v>
      </c>
      <c r="P283" s="925">
        <v>4562316.8</v>
      </c>
      <c r="Q283" s="925">
        <v>0</v>
      </c>
      <c r="R283" s="925">
        <v>0</v>
      </c>
      <c r="S283" s="925">
        <v>0</v>
      </c>
      <c r="T283" s="925">
        <v>0</v>
      </c>
      <c r="U283" s="925">
        <v>0</v>
      </c>
      <c r="V283" s="925">
        <v>0</v>
      </c>
      <c r="W283" s="925">
        <v>0</v>
      </c>
      <c r="X283" s="925">
        <v>0</v>
      </c>
      <c r="Y283" s="925">
        <v>0</v>
      </c>
      <c r="Z283" s="921">
        <v>357338.3</v>
      </c>
      <c r="AA283" s="925">
        <v>0</v>
      </c>
    </row>
    <row r="284" spans="1:27" s="875" customFormat="1" ht="88.9" customHeight="1">
      <c r="A284" s="927">
        <v>84</v>
      </c>
      <c r="B284" s="863" t="s">
        <v>2163</v>
      </c>
      <c r="C284" s="925">
        <f>D284+N284+P284+R284+T284+X284+Z284+L284</f>
        <v>8052008.9500000002</v>
      </c>
      <c r="D284" s="925">
        <f>SUM(E284:J284)</f>
        <v>0</v>
      </c>
      <c r="E284" s="925">
        <v>0</v>
      </c>
      <c r="F284" s="925">
        <v>0</v>
      </c>
      <c r="G284" s="925">
        <v>0</v>
      </c>
      <c r="H284" s="925">
        <v>0</v>
      </c>
      <c r="I284" s="925">
        <v>0</v>
      </c>
      <c r="J284" s="925">
        <v>0</v>
      </c>
      <c r="K284" s="861">
        <v>0</v>
      </c>
      <c r="L284" s="925">
        <v>0</v>
      </c>
      <c r="M284" s="925">
        <v>0</v>
      </c>
      <c r="N284" s="925">
        <v>0</v>
      </c>
      <c r="O284" s="925">
        <v>835.7</v>
      </c>
      <c r="P284" s="925">
        <v>7467152.6600000001</v>
      </c>
      <c r="Q284" s="925">
        <v>0</v>
      </c>
      <c r="R284" s="925">
        <v>0</v>
      </c>
      <c r="S284" s="925">
        <v>0</v>
      </c>
      <c r="T284" s="925">
        <v>0</v>
      </c>
      <c r="U284" s="925">
        <v>0</v>
      </c>
      <c r="V284" s="925">
        <v>0</v>
      </c>
      <c r="W284" s="925">
        <v>0</v>
      </c>
      <c r="X284" s="925">
        <v>0</v>
      </c>
      <c r="Y284" s="925">
        <v>0</v>
      </c>
      <c r="Z284" s="921">
        <v>584856.29</v>
      </c>
      <c r="AA284" s="925">
        <v>0</v>
      </c>
    </row>
    <row r="285" spans="1:27" s="875" customFormat="1" ht="88.9" customHeight="1">
      <c r="A285" s="927">
        <v>85</v>
      </c>
      <c r="B285" s="863" t="s">
        <v>2164</v>
      </c>
      <c r="C285" s="925">
        <f>D285+N285+P285+R285+T285+X285+Z285</f>
        <v>4668180.3699999992</v>
      </c>
      <c r="D285" s="925">
        <f>SUM(E285:J285)</f>
        <v>0</v>
      </c>
      <c r="E285" s="925">
        <v>0</v>
      </c>
      <c r="F285" s="925">
        <v>0</v>
      </c>
      <c r="G285" s="925">
        <v>0</v>
      </c>
      <c r="H285" s="925">
        <v>0</v>
      </c>
      <c r="I285" s="925">
        <v>0</v>
      </c>
      <c r="J285" s="925">
        <v>0</v>
      </c>
      <c r="K285" s="861">
        <v>0</v>
      </c>
      <c r="L285" s="925">
        <v>0</v>
      </c>
      <c r="M285" s="925">
        <v>0</v>
      </c>
      <c r="N285" s="925">
        <v>0</v>
      </c>
      <c r="O285" s="925">
        <v>484.5</v>
      </c>
      <c r="P285" s="925">
        <v>4329107.8899999997</v>
      </c>
      <c r="Q285" s="925">
        <v>0</v>
      </c>
      <c r="R285" s="925">
        <v>0</v>
      </c>
      <c r="S285" s="925">
        <v>0</v>
      </c>
      <c r="T285" s="925">
        <v>0</v>
      </c>
      <c r="U285" s="925">
        <v>0</v>
      </c>
      <c r="V285" s="925">
        <v>0</v>
      </c>
      <c r="W285" s="925">
        <v>0</v>
      </c>
      <c r="X285" s="925">
        <v>0</v>
      </c>
      <c r="Y285" s="925">
        <v>0</v>
      </c>
      <c r="Z285" s="921">
        <v>339072.48</v>
      </c>
      <c r="AA285" s="925">
        <v>0</v>
      </c>
    </row>
    <row r="286" spans="1:27" s="875" customFormat="1" ht="88.9" customHeight="1">
      <c r="A286" s="927">
        <v>86</v>
      </c>
      <c r="B286" s="863" t="s">
        <v>2165</v>
      </c>
      <c r="C286" s="925">
        <f t="shared" ref="C286:C290" si="70">D286+N286+P286+R286+T286+X286+Z286</f>
        <v>4812966.01</v>
      </c>
      <c r="D286" s="925">
        <f t="shared" ref="D286:D290" si="71">SUM(E286:J286)</f>
        <v>0</v>
      </c>
      <c r="E286" s="925">
        <v>0</v>
      </c>
      <c r="F286" s="925">
        <v>0</v>
      </c>
      <c r="G286" s="925">
        <v>0</v>
      </c>
      <c r="H286" s="925">
        <v>0</v>
      </c>
      <c r="I286" s="925">
        <v>0</v>
      </c>
      <c r="J286" s="925">
        <v>0</v>
      </c>
      <c r="K286" s="861">
        <v>0</v>
      </c>
      <c r="L286" s="925">
        <v>0</v>
      </c>
      <c r="M286" s="925">
        <v>0</v>
      </c>
      <c r="N286" s="925">
        <v>0</v>
      </c>
      <c r="O286" s="925">
        <v>574</v>
      </c>
      <c r="P286" s="925">
        <v>4463377.05</v>
      </c>
      <c r="Q286" s="925">
        <v>0</v>
      </c>
      <c r="R286" s="925">
        <v>0</v>
      </c>
      <c r="S286" s="925">
        <v>0</v>
      </c>
      <c r="T286" s="925">
        <v>0</v>
      </c>
      <c r="U286" s="925">
        <v>0</v>
      </c>
      <c r="V286" s="925">
        <v>0</v>
      </c>
      <c r="W286" s="925">
        <v>0</v>
      </c>
      <c r="X286" s="925">
        <v>0</v>
      </c>
      <c r="Y286" s="925">
        <v>0</v>
      </c>
      <c r="Z286" s="921">
        <v>349588.96</v>
      </c>
      <c r="AA286" s="925">
        <v>0</v>
      </c>
    </row>
    <row r="287" spans="1:27" s="875" customFormat="1" ht="88.9" customHeight="1">
      <c r="A287" s="927">
        <v>87</v>
      </c>
      <c r="B287" s="863" t="s">
        <v>2166</v>
      </c>
      <c r="C287" s="925">
        <f t="shared" si="70"/>
        <v>2710637.37</v>
      </c>
      <c r="D287" s="925">
        <f t="shared" si="71"/>
        <v>0</v>
      </c>
      <c r="E287" s="925">
        <v>0</v>
      </c>
      <c r="F287" s="925">
        <v>0</v>
      </c>
      <c r="G287" s="925">
        <v>0</v>
      </c>
      <c r="H287" s="925">
        <v>0</v>
      </c>
      <c r="I287" s="925">
        <v>0</v>
      </c>
      <c r="J287" s="925">
        <v>0</v>
      </c>
      <c r="K287" s="861">
        <v>0</v>
      </c>
      <c r="L287" s="925">
        <v>0</v>
      </c>
      <c r="M287" s="925">
        <v>0</v>
      </c>
      <c r="N287" s="925">
        <v>0</v>
      </c>
      <c r="O287" s="925">
        <v>485.9</v>
      </c>
      <c r="P287" s="925">
        <v>2513750.69</v>
      </c>
      <c r="Q287" s="925">
        <v>0</v>
      </c>
      <c r="R287" s="925">
        <v>0</v>
      </c>
      <c r="S287" s="925">
        <v>0</v>
      </c>
      <c r="T287" s="925">
        <v>0</v>
      </c>
      <c r="U287" s="925">
        <v>0</v>
      </c>
      <c r="V287" s="925">
        <v>0</v>
      </c>
      <c r="W287" s="925">
        <v>0</v>
      </c>
      <c r="X287" s="925">
        <v>0</v>
      </c>
      <c r="Y287" s="925">
        <v>0</v>
      </c>
      <c r="Z287" s="921">
        <v>196886.68</v>
      </c>
      <c r="AA287" s="925">
        <v>0</v>
      </c>
    </row>
    <row r="288" spans="1:27" s="875" customFormat="1" ht="88.9" customHeight="1">
      <c r="A288" s="927">
        <v>88</v>
      </c>
      <c r="B288" s="863" t="s">
        <v>2167</v>
      </c>
      <c r="C288" s="925">
        <f t="shared" si="70"/>
        <v>2122653.88</v>
      </c>
      <c r="D288" s="925">
        <f t="shared" si="71"/>
        <v>0</v>
      </c>
      <c r="E288" s="925">
        <v>0</v>
      </c>
      <c r="F288" s="925">
        <v>0</v>
      </c>
      <c r="G288" s="925">
        <v>0</v>
      </c>
      <c r="H288" s="925">
        <v>0</v>
      </c>
      <c r="I288" s="925">
        <v>0</v>
      </c>
      <c r="J288" s="925">
        <v>0</v>
      </c>
      <c r="K288" s="861">
        <v>0</v>
      </c>
      <c r="L288" s="925">
        <v>0</v>
      </c>
      <c r="M288" s="925">
        <v>0</v>
      </c>
      <c r="N288" s="925">
        <v>0</v>
      </c>
      <c r="O288" s="925">
        <v>380.5</v>
      </c>
      <c r="P288" s="925">
        <v>1968475.28</v>
      </c>
      <c r="Q288" s="925">
        <v>0</v>
      </c>
      <c r="R288" s="925">
        <v>0</v>
      </c>
      <c r="S288" s="925">
        <v>0</v>
      </c>
      <c r="T288" s="925">
        <v>0</v>
      </c>
      <c r="U288" s="925">
        <v>0</v>
      </c>
      <c r="V288" s="925">
        <v>0</v>
      </c>
      <c r="W288" s="925">
        <v>0</v>
      </c>
      <c r="X288" s="925">
        <v>0</v>
      </c>
      <c r="Y288" s="925">
        <v>0</v>
      </c>
      <c r="Z288" s="921">
        <v>154178.6</v>
      </c>
      <c r="AA288" s="925">
        <v>0</v>
      </c>
    </row>
    <row r="289" spans="1:27" s="875" customFormat="1" ht="88.9" customHeight="1">
      <c r="A289" s="927">
        <v>89</v>
      </c>
      <c r="B289" s="863" t="s">
        <v>2168</v>
      </c>
      <c r="C289" s="925">
        <f t="shared" si="70"/>
        <v>2122653.88</v>
      </c>
      <c r="D289" s="925">
        <f t="shared" si="71"/>
        <v>0</v>
      </c>
      <c r="E289" s="925">
        <v>0</v>
      </c>
      <c r="F289" s="925">
        <v>0</v>
      </c>
      <c r="G289" s="925">
        <v>0</v>
      </c>
      <c r="H289" s="925">
        <v>0</v>
      </c>
      <c r="I289" s="925">
        <v>0</v>
      </c>
      <c r="J289" s="925">
        <v>0</v>
      </c>
      <c r="K289" s="861">
        <v>0</v>
      </c>
      <c r="L289" s="925">
        <v>0</v>
      </c>
      <c r="M289" s="925">
        <v>0</v>
      </c>
      <c r="N289" s="925">
        <v>0</v>
      </c>
      <c r="O289" s="925">
        <v>380.5</v>
      </c>
      <c r="P289" s="925">
        <v>1968475.28</v>
      </c>
      <c r="Q289" s="925">
        <v>0</v>
      </c>
      <c r="R289" s="925">
        <v>0</v>
      </c>
      <c r="S289" s="925">
        <v>0</v>
      </c>
      <c r="T289" s="925">
        <v>0</v>
      </c>
      <c r="U289" s="925">
        <v>0</v>
      </c>
      <c r="V289" s="925">
        <v>0</v>
      </c>
      <c r="W289" s="925">
        <v>0</v>
      </c>
      <c r="X289" s="925">
        <v>0</v>
      </c>
      <c r="Y289" s="925">
        <v>0</v>
      </c>
      <c r="Z289" s="921">
        <v>154178.6</v>
      </c>
      <c r="AA289" s="925">
        <v>0</v>
      </c>
    </row>
    <row r="290" spans="1:27" s="875" customFormat="1" ht="88.9" customHeight="1">
      <c r="A290" s="927">
        <v>90</v>
      </c>
      <c r="B290" s="863" t="s">
        <v>2169</v>
      </c>
      <c r="C290" s="925">
        <f t="shared" si="70"/>
        <v>3178123.29</v>
      </c>
      <c r="D290" s="925">
        <f t="shared" si="71"/>
        <v>0</v>
      </c>
      <c r="E290" s="925">
        <v>0</v>
      </c>
      <c r="F290" s="925">
        <v>0</v>
      </c>
      <c r="G290" s="925">
        <v>0</v>
      </c>
      <c r="H290" s="925">
        <v>0</v>
      </c>
      <c r="I290" s="925">
        <v>0</v>
      </c>
      <c r="J290" s="925">
        <v>0</v>
      </c>
      <c r="K290" s="861">
        <v>0</v>
      </c>
      <c r="L290" s="925">
        <v>0</v>
      </c>
      <c r="M290" s="925">
        <v>0</v>
      </c>
      <c r="N290" s="925">
        <v>0</v>
      </c>
      <c r="O290" s="925">
        <v>569.70000000000005</v>
      </c>
      <c r="P290" s="925">
        <v>2947280.85</v>
      </c>
      <c r="Q290" s="925">
        <v>0</v>
      </c>
      <c r="R290" s="925">
        <v>0</v>
      </c>
      <c r="S290" s="925">
        <v>0</v>
      </c>
      <c r="T290" s="925">
        <v>0</v>
      </c>
      <c r="U290" s="925">
        <v>0</v>
      </c>
      <c r="V290" s="925">
        <v>0</v>
      </c>
      <c r="W290" s="925">
        <v>0</v>
      </c>
      <c r="X290" s="925">
        <v>0</v>
      </c>
      <c r="Y290" s="925">
        <v>0</v>
      </c>
      <c r="Z290" s="921">
        <v>230842.44</v>
      </c>
      <c r="AA290" s="925">
        <v>0</v>
      </c>
    </row>
    <row r="291" spans="1:27" s="867" customFormat="1" ht="144" customHeight="1">
      <c r="A291" s="1198" t="s">
        <v>1977</v>
      </c>
      <c r="B291" s="1199"/>
      <c r="C291" s="925">
        <f>SUM(C292:C301)</f>
        <v>97886079.220000014</v>
      </c>
      <c r="D291" s="925">
        <f t="shared" ref="D291:AA291" si="72">SUM(D292:D301)</f>
        <v>0</v>
      </c>
      <c r="E291" s="925">
        <f t="shared" si="72"/>
        <v>0</v>
      </c>
      <c r="F291" s="925">
        <f t="shared" si="72"/>
        <v>0</v>
      </c>
      <c r="G291" s="925">
        <f t="shared" si="72"/>
        <v>0</v>
      </c>
      <c r="H291" s="925">
        <f t="shared" si="72"/>
        <v>0</v>
      </c>
      <c r="I291" s="925">
        <f t="shared" si="72"/>
        <v>0</v>
      </c>
      <c r="J291" s="925">
        <f t="shared" si="72"/>
        <v>0</v>
      </c>
      <c r="K291" s="861">
        <f t="shared" si="72"/>
        <v>0</v>
      </c>
      <c r="L291" s="925">
        <f t="shared" si="72"/>
        <v>0</v>
      </c>
      <c r="M291" s="925">
        <f t="shared" si="72"/>
        <v>5</v>
      </c>
      <c r="N291" s="925">
        <f t="shared" si="72"/>
        <v>14913972.1</v>
      </c>
      <c r="O291" s="925">
        <f t="shared" si="72"/>
        <v>7475.7199999999993</v>
      </c>
      <c r="P291" s="925">
        <f t="shared" si="72"/>
        <v>47709300.539999999</v>
      </c>
      <c r="Q291" s="925">
        <f t="shared" si="72"/>
        <v>0</v>
      </c>
      <c r="R291" s="925">
        <f t="shared" si="72"/>
        <v>0</v>
      </c>
      <c r="S291" s="925">
        <f t="shared" si="72"/>
        <v>5712.7</v>
      </c>
      <c r="T291" s="925">
        <f t="shared" si="72"/>
        <v>23701574.130000003</v>
      </c>
      <c r="U291" s="925">
        <f t="shared" si="72"/>
        <v>932</v>
      </c>
      <c r="V291" s="925">
        <f t="shared" si="72"/>
        <v>4451293.8900000006</v>
      </c>
      <c r="W291" s="925">
        <f t="shared" si="72"/>
        <v>0</v>
      </c>
      <c r="X291" s="925">
        <f t="shared" si="72"/>
        <v>0</v>
      </c>
      <c r="Y291" s="925">
        <f t="shared" si="72"/>
        <v>0</v>
      </c>
      <c r="Z291" s="921">
        <f t="shared" si="72"/>
        <v>7109938.5599999987</v>
      </c>
      <c r="AA291" s="925">
        <f t="shared" si="72"/>
        <v>0</v>
      </c>
    </row>
    <row r="292" spans="1:27" s="867" customFormat="1" ht="76.5" customHeight="1">
      <c r="A292" s="927">
        <v>91</v>
      </c>
      <c r="B292" s="863" t="s">
        <v>1527</v>
      </c>
      <c r="C292" s="925">
        <f>D292+N292+P292+R292+T292+X292+Z292+L292+V292</f>
        <v>20006298.800000001</v>
      </c>
      <c r="D292" s="925">
        <f t="shared" ref="D292:D303" si="73">SUM(E292:J292)</f>
        <v>0</v>
      </c>
      <c r="E292" s="925">
        <v>0</v>
      </c>
      <c r="F292" s="925">
        <v>0</v>
      </c>
      <c r="G292" s="925">
        <v>0</v>
      </c>
      <c r="H292" s="925">
        <v>0</v>
      </c>
      <c r="I292" s="925">
        <v>0</v>
      </c>
      <c r="J292" s="925">
        <v>0</v>
      </c>
      <c r="K292" s="861">
        <v>0</v>
      </c>
      <c r="L292" s="925">
        <v>0</v>
      </c>
      <c r="M292" s="925">
        <v>0</v>
      </c>
      <c r="N292" s="925">
        <v>0</v>
      </c>
      <c r="O292" s="925">
        <v>1060</v>
      </c>
      <c r="P292" s="925">
        <v>5483794.46</v>
      </c>
      <c r="Q292" s="925">
        <v>0</v>
      </c>
      <c r="R292" s="925">
        <v>0</v>
      </c>
      <c r="S292" s="925">
        <v>2647</v>
      </c>
      <c r="T292" s="925">
        <v>10982209.24</v>
      </c>
      <c r="U292" s="925">
        <v>437</v>
      </c>
      <c r="V292" s="925">
        <v>2087141.02</v>
      </c>
      <c r="W292" s="925">
        <v>0</v>
      </c>
      <c r="X292" s="925">
        <v>0</v>
      </c>
      <c r="Y292" s="925">
        <v>0</v>
      </c>
      <c r="Z292" s="921">
        <v>1453154.08</v>
      </c>
      <c r="AA292" s="925">
        <v>0</v>
      </c>
    </row>
    <row r="293" spans="1:27" s="867" customFormat="1" ht="87" customHeight="1">
      <c r="A293" s="927">
        <v>92</v>
      </c>
      <c r="B293" s="863" t="s">
        <v>1528</v>
      </c>
      <c r="C293" s="925">
        <f>D293+N293+P293+R293+T293+X293+Z293+L293+V293</f>
        <v>4228571.9799999995</v>
      </c>
      <c r="D293" s="925">
        <f t="shared" si="73"/>
        <v>0</v>
      </c>
      <c r="E293" s="925">
        <v>0</v>
      </c>
      <c r="F293" s="925">
        <v>0</v>
      </c>
      <c r="G293" s="925">
        <v>0</v>
      </c>
      <c r="H293" s="925">
        <v>0</v>
      </c>
      <c r="I293" s="925">
        <v>0</v>
      </c>
      <c r="J293" s="925">
        <v>0</v>
      </c>
      <c r="K293" s="861">
        <v>0</v>
      </c>
      <c r="L293" s="925">
        <v>0</v>
      </c>
      <c r="M293" s="925">
        <v>0</v>
      </c>
      <c r="N293" s="925">
        <v>0</v>
      </c>
      <c r="O293" s="925">
        <v>758</v>
      </c>
      <c r="P293" s="925">
        <v>3921430.38</v>
      </c>
      <c r="Q293" s="925">
        <v>0</v>
      </c>
      <c r="R293" s="925">
        <v>0</v>
      </c>
      <c r="S293" s="925">
        <v>0</v>
      </c>
      <c r="T293" s="925">
        <v>0</v>
      </c>
      <c r="U293" s="925">
        <v>0</v>
      </c>
      <c r="V293" s="925">
        <v>0</v>
      </c>
      <c r="W293" s="925">
        <v>0</v>
      </c>
      <c r="X293" s="925">
        <v>0</v>
      </c>
      <c r="Y293" s="925">
        <v>0</v>
      </c>
      <c r="Z293" s="921">
        <v>307141.59999999998</v>
      </c>
      <c r="AA293" s="925">
        <v>0</v>
      </c>
    </row>
    <row r="294" spans="1:27" s="867" customFormat="1" ht="96" customHeight="1">
      <c r="A294" s="927">
        <v>93</v>
      </c>
      <c r="B294" s="863" t="s">
        <v>1529</v>
      </c>
      <c r="C294" s="925">
        <f>D294+N294+P294+R294+T294+X294+Z294+L294+V294</f>
        <v>4923509.12</v>
      </c>
      <c r="D294" s="925">
        <f t="shared" si="73"/>
        <v>0</v>
      </c>
      <c r="E294" s="925">
        <v>0</v>
      </c>
      <c r="F294" s="925">
        <v>0</v>
      </c>
      <c r="G294" s="925">
        <v>0</v>
      </c>
      <c r="H294" s="925">
        <v>0</v>
      </c>
      <c r="I294" s="925">
        <v>0</v>
      </c>
      <c r="J294" s="925">
        <v>0</v>
      </c>
      <c r="K294" s="861">
        <v>0</v>
      </c>
      <c r="L294" s="925">
        <v>0</v>
      </c>
      <c r="M294" s="925">
        <v>0</v>
      </c>
      <c r="N294" s="925">
        <v>0</v>
      </c>
      <c r="O294" s="925">
        <v>511</v>
      </c>
      <c r="P294" s="925">
        <v>4565890.88</v>
      </c>
      <c r="Q294" s="925">
        <v>0</v>
      </c>
      <c r="R294" s="925">
        <v>0</v>
      </c>
      <c r="S294" s="925">
        <v>0</v>
      </c>
      <c r="T294" s="925">
        <v>0</v>
      </c>
      <c r="U294" s="925">
        <v>0</v>
      </c>
      <c r="V294" s="925">
        <v>0</v>
      </c>
      <c r="W294" s="925">
        <v>0</v>
      </c>
      <c r="X294" s="925">
        <v>0</v>
      </c>
      <c r="Y294" s="925">
        <v>0</v>
      </c>
      <c r="Z294" s="921">
        <v>357618.24</v>
      </c>
      <c r="AA294" s="925">
        <v>0</v>
      </c>
    </row>
    <row r="295" spans="1:27" s="867" customFormat="1" ht="111.75" customHeight="1">
      <c r="A295" s="927">
        <v>94</v>
      </c>
      <c r="B295" s="863" t="s">
        <v>1522</v>
      </c>
      <c r="C295" s="925">
        <f>D295+N295+P295+R295+T295+X295+Z295+V295</f>
        <v>16264917.23</v>
      </c>
      <c r="D295" s="925">
        <f t="shared" si="73"/>
        <v>0</v>
      </c>
      <c r="E295" s="925">
        <v>0</v>
      </c>
      <c r="F295" s="925">
        <f t="shared" ref="F295:L295" si="74">SUM(F296:F308)</f>
        <v>0</v>
      </c>
      <c r="G295" s="925">
        <f t="shared" si="74"/>
        <v>0</v>
      </c>
      <c r="H295" s="925">
        <v>0</v>
      </c>
      <c r="I295" s="925">
        <f t="shared" si="74"/>
        <v>0</v>
      </c>
      <c r="J295" s="925">
        <v>0</v>
      </c>
      <c r="K295" s="861">
        <f t="shared" si="74"/>
        <v>0</v>
      </c>
      <c r="L295" s="925">
        <f t="shared" si="74"/>
        <v>0</v>
      </c>
      <c r="M295" s="925">
        <v>0</v>
      </c>
      <c r="N295" s="925">
        <v>0</v>
      </c>
      <c r="O295" s="925">
        <v>0</v>
      </c>
      <c r="P295" s="925">
        <v>0</v>
      </c>
      <c r="Q295" s="925">
        <v>0</v>
      </c>
      <c r="R295" s="925">
        <v>0</v>
      </c>
      <c r="S295" s="925">
        <v>3065.7</v>
      </c>
      <c r="T295" s="925">
        <v>12719364.890000001</v>
      </c>
      <c r="U295" s="925">
        <v>495</v>
      </c>
      <c r="V295" s="925">
        <v>2364152.87</v>
      </c>
      <c r="W295" s="925">
        <v>0</v>
      </c>
      <c r="X295" s="925">
        <v>0</v>
      </c>
      <c r="Y295" s="925">
        <v>0</v>
      </c>
      <c r="Z295" s="921">
        <v>1181399.47</v>
      </c>
      <c r="AA295" s="925">
        <v>0</v>
      </c>
    </row>
    <row r="296" spans="1:27" s="867" customFormat="1" ht="96" customHeight="1">
      <c r="A296" s="927">
        <v>95</v>
      </c>
      <c r="B296" s="863" t="s">
        <v>1530</v>
      </c>
      <c r="C296" s="925">
        <f>D296+N296+P296+R296+T296+X296+Z296+L296+V296</f>
        <v>16082092.1</v>
      </c>
      <c r="D296" s="925">
        <f t="shared" si="73"/>
        <v>0</v>
      </c>
      <c r="E296" s="925">
        <v>0</v>
      </c>
      <c r="F296" s="925">
        <v>0</v>
      </c>
      <c r="G296" s="925">
        <v>0</v>
      </c>
      <c r="H296" s="925">
        <v>0</v>
      </c>
      <c r="I296" s="925">
        <v>0</v>
      </c>
      <c r="J296" s="925">
        <v>0</v>
      </c>
      <c r="K296" s="861">
        <v>0</v>
      </c>
      <c r="L296" s="925">
        <v>0</v>
      </c>
      <c r="M296" s="925">
        <v>5</v>
      </c>
      <c r="N296" s="925">
        <v>14913972.1</v>
      </c>
      <c r="O296" s="925">
        <v>0</v>
      </c>
      <c r="P296" s="925">
        <v>0</v>
      </c>
      <c r="Q296" s="925">
        <v>0</v>
      </c>
      <c r="R296" s="925">
        <v>0</v>
      </c>
      <c r="S296" s="925">
        <v>0</v>
      </c>
      <c r="T296" s="925">
        <v>0</v>
      </c>
      <c r="U296" s="925">
        <v>0</v>
      </c>
      <c r="V296" s="925">
        <v>0</v>
      </c>
      <c r="W296" s="925">
        <v>0</v>
      </c>
      <c r="X296" s="925">
        <v>0</v>
      </c>
      <c r="Y296" s="925">
        <v>0</v>
      </c>
      <c r="Z296" s="921">
        <v>1168120</v>
      </c>
      <c r="AA296" s="925">
        <v>0</v>
      </c>
    </row>
    <row r="297" spans="1:27" s="867" customFormat="1" ht="111" customHeight="1">
      <c r="A297" s="927">
        <v>96</v>
      </c>
      <c r="B297" s="863" t="s">
        <v>1531</v>
      </c>
      <c r="C297" s="925">
        <f>D297+N297+P297+R297+T297+X297+Z297+L297+V297</f>
        <v>9667698.1999999993</v>
      </c>
      <c r="D297" s="925">
        <f t="shared" si="73"/>
        <v>0</v>
      </c>
      <c r="E297" s="925">
        <v>0</v>
      </c>
      <c r="F297" s="925">
        <v>0</v>
      </c>
      <c r="G297" s="925">
        <v>0</v>
      </c>
      <c r="H297" s="925">
        <v>0</v>
      </c>
      <c r="I297" s="925">
        <v>0</v>
      </c>
      <c r="J297" s="925">
        <v>0</v>
      </c>
      <c r="K297" s="861">
        <v>0</v>
      </c>
      <c r="L297" s="925">
        <v>0</v>
      </c>
      <c r="M297" s="925">
        <v>0</v>
      </c>
      <c r="N297" s="925">
        <v>0</v>
      </c>
      <c r="O297" s="925">
        <v>1733</v>
      </c>
      <c r="P297" s="925">
        <v>8965486.5999999996</v>
      </c>
      <c r="Q297" s="925">
        <v>0</v>
      </c>
      <c r="R297" s="925">
        <v>0</v>
      </c>
      <c r="S297" s="925">
        <v>0</v>
      </c>
      <c r="T297" s="925">
        <v>0</v>
      </c>
      <c r="U297" s="925">
        <v>0</v>
      </c>
      <c r="V297" s="925">
        <v>0</v>
      </c>
      <c r="W297" s="925">
        <v>0</v>
      </c>
      <c r="X297" s="925">
        <v>0</v>
      </c>
      <c r="Y297" s="925">
        <v>0</v>
      </c>
      <c r="Z297" s="921">
        <v>702211.6</v>
      </c>
      <c r="AA297" s="925">
        <v>0</v>
      </c>
    </row>
    <row r="298" spans="1:27" s="867" customFormat="1" ht="111" customHeight="1">
      <c r="A298" s="927">
        <v>97</v>
      </c>
      <c r="B298" s="863" t="s">
        <v>2103</v>
      </c>
      <c r="C298" s="925">
        <f>D298+N298+P298+R298+T298+X298+Z298+L298+V298</f>
        <v>5414896.5300000003</v>
      </c>
      <c r="D298" s="925">
        <f t="shared" si="73"/>
        <v>0</v>
      </c>
      <c r="E298" s="925">
        <v>0</v>
      </c>
      <c r="F298" s="925">
        <v>0</v>
      </c>
      <c r="G298" s="925">
        <v>0</v>
      </c>
      <c r="H298" s="925">
        <v>0</v>
      </c>
      <c r="I298" s="925">
        <v>0</v>
      </c>
      <c r="J298" s="925">
        <v>0</v>
      </c>
      <c r="K298" s="861">
        <v>0</v>
      </c>
      <c r="L298" s="925">
        <v>0</v>
      </c>
      <c r="M298" s="925">
        <v>0</v>
      </c>
      <c r="N298" s="925">
        <v>0</v>
      </c>
      <c r="O298" s="925">
        <v>562</v>
      </c>
      <c r="P298" s="925">
        <v>5021586.45</v>
      </c>
      <c r="Q298" s="925">
        <v>0</v>
      </c>
      <c r="R298" s="925">
        <v>0</v>
      </c>
      <c r="S298" s="925">
        <v>0</v>
      </c>
      <c r="T298" s="925">
        <v>0</v>
      </c>
      <c r="U298" s="925">
        <v>0</v>
      </c>
      <c r="V298" s="925">
        <v>0</v>
      </c>
      <c r="W298" s="925">
        <v>0</v>
      </c>
      <c r="X298" s="925">
        <v>0</v>
      </c>
      <c r="Y298" s="925">
        <v>0</v>
      </c>
      <c r="Z298" s="921">
        <v>393310.08</v>
      </c>
      <c r="AA298" s="925">
        <v>0</v>
      </c>
    </row>
    <row r="299" spans="1:27" s="867" customFormat="1" ht="88.15" customHeight="1">
      <c r="A299" s="927">
        <v>98</v>
      </c>
      <c r="B299" s="863" t="s">
        <v>1992</v>
      </c>
      <c r="C299" s="925">
        <f>D299+N299+P299+R299+T299+X299+Z299</f>
        <v>8124659.9300000006</v>
      </c>
      <c r="D299" s="925">
        <f t="shared" si="73"/>
        <v>0</v>
      </c>
      <c r="E299" s="925">
        <v>0</v>
      </c>
      <c r="F299" s="925">
        <v>0</v>
      </c>
      <c r="G299" s="925">
        <v>0</v>
      </c>
      <c r="H299" s="925">
        <v>0</v>
      </c>
      <c r="I299" s="925">
        <v>0</v>
      </c>
      <c r="J299" s="925">
        <v>0</v>
      </c>
      <c r="K299" s="861">
        <v>0</v>
      </c>
      <c r="L299" s="925">
        <v>0</v>
      </c>
      <c r="M299" s="925">
        <v>0</v>
      </c>
      <c r="N299" s="925">
        <v>0</v>
      </c>
      <c r="O299" s="925">
        <v>1456.4</v>
      </c>
      <c r="P299" s="925">
        <v>7534526.6500000004</v>
      </c>
      <c r="Q299" s="925">
        <v>0</v>
      </c>
      <c r="R299" s="925">
        <v>0</v>
      </c>
      <c r="S299" s="925">
        <v>0</v>
      </c>
      <c r="T299" s="925">
        <v>0</v>
      </c>
      <c r="U299" s="925">
        <v>0</v>
      </c>
      <c r="V299" s="925">
        <v>0</v>
      </c>
      <c r="W299" s="925">
        <v>0</v>
      </c>
      <c r="X299" s="925">
        <v>0</v>
      </c>
      <c r="Y299" s="925">
        <v>0</v>
      </c>
      <c r="Z299" s="921">
        <v>590133.28</v>
      </c>
      <c r="AA299" s="925">
        <v>0</v>
      </c>
    </row>
    <row r="300" spans="1:27" s="867" customFormat="1" ht="88.15" customHeight="1">
      <c r="A300" s="927">
        <v>99</v>
      </c>
      <c r="B300" s="863" t="s">
        <v>2084</v>
      </c>
      <c r="C300" s="925">
        <f>D300+N300+P300+R300+T300+X300+Z300</f>
        <v>5311236.8100000005</v>
      </c>
      <c r="D300" s="925">
        <f>SUM(E300:J300)</f>
        <v>0</v>
      </c>
      <c r="E300" s="925">
        <v>0</v>
      </c>
      <c r="F300" s="925">
        <v>0</v>
      </c>
      <c r="G300" s="925">
        <v>0</v>
      </c>
      <c r="H300" s="925">
        <v>0</v>
      </c>
      <c r="I300" s="925">
        <v>0</v>
      </c>
      <c r="J300" s="925">
        <v>0</v>
      </c>
      <c r="K300" s="861">
        <v>0</v>
      </c>
      <c r="L300" s="925">
        <v>0</v>
      </c>
      <c r="M300" s="925">
        <v>0</v>
      </c>
      <c r="N300" s="925">
        <v>0</v>
      </c>
      <c r="O300" s="925">
        <v>579.32000000000005</v>
      </c>
      <c r="P300" s="925">
        <v>4925456.04</v>
      </c>
      <c r="Q300" s="925">
        <v>0</v>
      </c>
      <c r="R300" s="925">
        <v>0</v>
      </c>
      <c r="S300" s="925">
        <v>0</v>
      </c>
      <c r="T300" s="925">
        <v>0</v>
      </c>
      <c r="U300" s="925">
        <v>0</v>
      </c>
      <c r="V300" s="925">
        <v>0</v>
      </c>
      <c r="W300" s="925">
        <v>0</v>
      </c>
      <c r="X300" s="925">
        <v>0</v>
      </c>
      <c r="Y300" s="925">
        <v>0</v>
      </c>
      <c r="Z300" s="921">
        <v>385780.77</v>
      </c>
      <c r="AA300" s="925">
        <v>0</v>
      </c>
    </row>
    <row r="301" spans="1:27" s="867" customFormat="1" ht="102" customHeight="1">
      <c r="A301" s="927">
        <v>100</v>
      </c>
      <c r="B301" s="863" t="s">
        <v>2085</v>
      </c>
      <c r="C301" s="925">
        <f>D301+N301+P301+R301+T301+X301+Z301</f>
        <v>7862198.5199999996</v>
      </c>
      <c r="D301" s="925">
        <f t="shared" si="73"/>
        <v>0</v>
      </c>
      <c r="E301" s="925">
        <v>0</v>
      </c>
      <c r="F301" s="925">
        <v>0</v>
      </c>
      <c r="G301" s="925">
        <v>0</v>
      </c>
      <c r="H301" s="925">
        <v>0</v>
      </c>
      <c r="I301" s="925">
        <v>0</v>
      </c>
      <c r="J301" s="925">
        <v>0</v>
      </c>
      <c r="K301" s="861">
        <v>0</v>
      </c>
      <c r="L301" s="925">
        <v>0</v>
      </c>
      <c r="M301" s="925">
        <v>0</v>
      </c>
      <c r="N301" s="925">
        <v>0</v>
      </c>
      <c r="O301" s="925">
        <v>816</v>
      </c>
      <c r="P301" s="925">
        <v>7291129.0800000001</v>
      </c>
      <c r="Q301" s="925">
        <v>0</v>
      </c>
      <c r="R301" s="925">
        <v>0</v>
      </c>
      <c r="S301" s="925">
        <v>0</v>
      </c>
      <c r="T301" s="925">
        <v>0</v>
      </c>
      <c r="U301" s="925">
        <v>0</v>
      </c>
      <c r="V301" s="925">
        <v>0</v>
      </c>
      <c r="W301" s="925">
        <v>0</v>
      </c>
      <c r="X301" s="925">
        <v>0</v>
      </c>
      <c r="Y301" s="925">
        <v>0</v>
      </c>
      <c r="Z301" s="921">
        <v>571069.43999999994</v>
      </c>
      <c r="AA301" s="925">
        <v>0</v>
      </c>
    </row>
    <row r="302" spans="1:27" s="867" customFormat="1" ht="102" customHeight="1">
      <c r="A302" s="1200" t="s">
        <v>1976</v>
      </c>
      <c r="B302" s="1201"/>
      <c r="C302" s="925">
        <f>SUM(C303)</f>
        <v>6431262.9399999995</v>
      </c>
      <c r="D302" s="925">
        <f t="shared" ref="D302:AA302" si="75">SUM(D303)</f>
        <v>0</v>
      </c>
      <c r="E302" s="925">
        <f t="shared" si="75"/>
        <v>0</v>
      </c>
      <c r="F302" s="925">
        <f t="shared" si="75"/>
        <v>0</v>
      </c>
      <c r="G302" s="925">
        <f t="shared" si="75"/>
        <v>0</v>
      </c>
      <c r="H302" s="925">
        <f t="shared" si="75"/>
        <v>0</v>
      </c>
      <c r="I302" s="925">
        <f t="shared" si="75"/>
        <v>0</v>
      </c>
      <c r="J302" s="925">
        <f t="shared" si="75"/>
        <v>0</v>
      </c>
      <c r="K302" s="925">
        <f t="shared" si="75"/>
        <v>0</v>
      </c>
      <c r="L302" s="925">
        <f t="shared" si="75"/>
        <v>0</v>
      </c>
      <c r="M302" s="925">
        <f t="shared" si="75"/>
        <v>0</v>
      </c>
      <c r="N302" s="925">
        <f t="shared" si="75"/>
        <v>0</v>
      </c>
      <c r="O302" s="925">
        <f t="shared" si="75"/>
        <v>757</v>
      </c>
      <c r="P302" s="925">
        <f t="shared" si="75"/>
        <v>5964129.2599999998</v>
      </c>
      <c r="Q302" s="925">
        <f t="shared" si="75"/>
        <v>0</v>
      </c>
      <c r="R302" s="925">
        <f t="shared" si="75"/>
        <v>0</v>
      </c>
      <c r="S302" s="925">
        <f t="shared" si="75"/>
        <v>0</v>
      </c>
      <c r="T302" s="925">
        <f t="shared" si="75"/>
        <v>0</v>
      </c>
      <c r="U302" s="925">
        <f t="shared" si="75"/>
        <v>0</v>
      </c>
      <c r="V302" s="925">
        <f t="shared" si="75"/>
        <v>0</v>
      </c>
      <c r="W302" s="925">
        <f t="shared" si="75"/>
        <v>0</v>
      </c>
      <c r="X302" s="925">
        <f t="shared" si="75"/>
        <v>0</v>
      </c>
      <c r="Y302" s="925">
        <f t="shared" si="75"/>
        <v>0</v>
      </c>
      <c r="Z302" s="925">
        <f t="shared" si="75"/>
        <v>467133.68</v>
      </c>
      <c r="AA302" s="925">
        <f t="shared" si="75"/>
        <v>0</v>
      </c>
    </row>
    <row r="303" spans="1:27" s="867" customFormat="1" ht="102" customHeight="1">
      <c r="A303" s="927">
        <v>101</v>
      </c>
      <c r="B303" s="863" t="s">
        <v>2092</v>
      </c>
      <c r="C303" s="925">
        <f t="shared" ref="C303" si="76">D303+N303+P303+R303+T303+X303+Z303</f>
        <v>6431262.9399999995</v>
      </c>
      <c r="D303" s="925">
        <f t="shared" si="73"/>
        <v>0</v>
      </c>
      <c r="E303" s="925">
        <v>0</v>
      </c>
      <c r="F303" s="925">
        <v>0</v>
      </c>
      <c r="G303" s="925">
        <v>0</v>
      </c>
      <c r="H303" s="925">
        <v>0</v>
      </c>
      <c r="I303" s="925">
        <v>0</v>
      </c>
      <c r="J303" s="925">
        <v>0</v>
      </c>
      <c r="K303" s="861">
        <v>0</v>
      </c>
      <c r="L303" s="925">
        <v>0</v>
      </c>
      <c r="M303" s="925">
        <v>0</v>
      </c>
      <c r="N303" s="925">
        <v>0</v>
      </c>
      <c r="O303" s="925">
        <v>757</v>
      </c>
      <c r="P303" s="925">
        <v>5964129.2599999998</v>
      </c>
      <c r="Q303" s="925">
        <v>0</v>
      </c>
      <c r="R303" s="925">
        <v>0</v>
      </c>
      <c r="S303" s="925">
        <v>0</v>
      </c>
      <c r="T303" s="925">
        <v>0</v>
      </c>
      <c r="U303" s="925">
        <v>0</v>
      </c>
      <c r="V303" s="925">
        <v>0</v>
      </c>
      <c r="W303" s="925">
        <v>0</v>
      </c>
      <c r="X303" s="925">
        <v>0</v>
      </c>
      <c r="Y303" s="925">
        <v>0</v>
      </c>
      <c r="Z303" s="921">
        <v>467133.68</v>
      </c>
      <c r="AA303" s="925">
        <v>0</v>
      </c>
    </row>
    <row r="304" spans="1:27" s="867" customFormat="1" ht="90" customHeight="1">
      <c r="A304" s="1198" t="s">
        <v>1072</v>
      </c>
      <c r="B304" s="1199"/>
      <c r="C304" s="925">
        <f>SUM(C305:C311)</f>
        <v>27664563.290000003</v>
      </c>
      <c r="D304" s="925">
        <f t="shared" ref="D304:AA304" si="77">SUM(D305:D311)</f>
        <v>2085707.0699999998</v>
      </c>
      <c r="E304" s="925">
        <f t="shared" si="77"/>
        <v>1480106.65</v>
      </c>
      <c r="F304" s="925">
        <f t="shared" si="77"/>
        <v>0</v>
      </c>
      <c r="G304" s="925">
        <f t="shared" si="77"/>
        <v>0</v>
      </c>
      <c r="H304" s="925">
        <f t="shared" si="77"/>
        <v>421733.92</v>
      </c>
      <c r="I304" s="925">
        <f t="shared" si="77"/>
        <v>0</v>
      </c>
      <c r="J304" s="925">
        <f t="shared" si="77"/>
        <v>183866.5</v>
      </c>
      <c r="K304" s="861">
        <f t="shared" si="77"/>
        <v>0</v>
      </c>
      <c r="L304" s="925">
        <f t="shared" si="77"/>
        <v>0</v>
      </c>
      <c r="M304" s="925">
        <f t="shared" si="77"/>
        <v>0</v>
      </c>
      <c r="N304" s="925">
        <f t="shared" si="77"/>
        <v>0</v>
      </c>
      <c r="O304" s="925">
        <f t="shared" si="77"/>
        <v>3644.1</v>
      </c>
      <c r="P304" s="925">
        <f t="shared" si="77"/>
        <v>21441045.960000001</v>
      </c>
      <c r="Q304" s="925">
        <f t="shared" si="77"/>
        <v>0</v>
      </c>
      <c r="R304" s="925">
        <f t="shared" si="77"/>
        <v>0</v>
      </c>
      <c r="S304" s="925">
        <f t="shared" si="77"/>
        <v>513</v>
      </c>
      <c r="T304" s="925">
        <f t="shared" si="77"/>
        <v>2128399.4500000002</v>
      </c>
      <c r="U304" s="925">
        <f t="shared" si="77"/>
        <v>0</v>
      </c>
      <c r="V304" s="925">
        <f t="shared" si="77"/>
        <v>0</v>
      </c>
      <c r="W304" s="925">
        <f t="shared" si="77"/>
        <v>0</v>
      </c>
      <c r="X304" s="925">
        <f t="shared" si="77"/>
        <v>0</v>
      </c>
      <c r="Y304" s="925">
        <f t="shared" si="77"/>
        <v>0</v>
      </c>
      <c r="Z304" s="925">
        <f t="shared" si="77"/>
        <v>2009410.81</v>
      </c>
      <c r="AA304" s="925">
        <f t="shared" si="77"/>
        <v>0</v>
      </c>
    </row>
    <row r="305" spans="1:27" s="867" customFormat="1" ht="94.9" customHeight="1">
      <c r="A305" s="927">
        <v>102</v>
      </c>
      <c r="B305" s="863" t="s">
        <v>1386</v>
      </c>
      <c r="C305" s="925">
        <f>D305+P305+T305+Z305</f>
        <v>6158764.46</v>
      </c>
      <c r="D305" s="925">
        <f>E305+F305+G305+H305+I305+J305</f>
        <v>0</v>
      </c>
      <c r="E305" s="925">
        <v>0</v>
      </c>
      <c r="F305" s="925">
        <v>0</v>
      </c>
      <c r="G305" s="925">
        <v>0</v>
      </c>
      <c r="H305" s="925">
        <v>0</v>
      </c>
      <c r="I305" s="925">
        <v>0</v>
      </c>
      <c r="J305" s="925">
        <v>0</v>
      </c>
      <c r="K305" s="861">
        <v>0</v>
      </c>
      <c r="L305" s="925">
        <v>0</v>
      </c>
      <c r="M305" s="925">
        <v>0</v>
      </c>
      <c r="N305" s="925">
        <v>0</v>
      </c>
      <c r="O305" s="925">
        <v>1001</v>
      </c>
      <c r="P305" s="925">
        <v>5711423.6600000001</v>
      </c>
      <c r="Q305" s="925">
        <v>0</v>
      </c>
      <c r="R305" s="925">
        <v>0</v>
      </c>
      <c r="S305" s="925">
        <v>0</v>
      </c>
      <c r="T305" s="925">
        <v>0</v>
      </c>
      <c r="U305" s="925">
        <v>0</v>
      </c>
      <c r="V305" s="925">
        <v>0</v>
      </c>
      <c r="W305" s="925">
        <v>0</v>
      </c>
      <c r="X305" s="925">
        <v>0</v>
      </c>
      <c r="Y305" s="925">
        <v>0</v>
      </c>
      <c r="Z305" s="921">
        <v>447340.79999999999</v>
      </c>
      <c r="AA305" s="873">
        <v>0</v>
      </c>
    </row>
    <row r="306" spans="1:27" s="870" customFormat="1" ht="96.6" customHeight="1">
      <c r="A306" s="927">
        <v>103</v>
      </c>
      <c r="B306" s="863" t="s">
        <v>1388</v>
      </c>
      <c r="C306" s="925">
        <f>D306+P306+T306+Z306</f>
        <v>936516.34999999986</v>
      </c>
      <c r="D306" s="925">
        <f>E306+F306+G306+H306+I306+J306</f>
        <v>868492.6399999999</v>
      </c>
      <c r="E306" s="925">
        <v>262892.21999999997</v>
      </c>
      <c r="F306" s="925">
        <v>0</v>
      </c>
      <c r="G306" s="925">
        <v>0</v>
      </c>
      <c r="H306" s="925">
        <v>421733.92</v>
      </c>
      <c r="I306" s="925">
        <v>0</v>
      </c>
      <c r="J306" s="925">
        <v>183866.5</v>
      </c>
      <c r="K306" s="861">
        <v>0</v>
      </c>
      <c r="L306" s="925">
        <v>0</v>
      </c>
      <c r="M306" s="925">
        <v>0</v>
      </c>
      <c r="N306" s="925">
        <v>0</v>
      </c>
      <c r="O306" s="925">
        <v>0</v>
      </c>
      <c r="P306" s="925">
        <v>0</v>
      </c>
      <c r="Q306" s="925">
        <v>0</v>
      </c>
      <c r="R306" s="925">
        <v>0</v>
      </c>
      <c r="S306" s="925">
        <v>0</v>
      </c>
      <c r="T306" s="925">
        <v>0</v>
      </c>
      <c r="U306" s="925">
        <v>0</v>
      </c>
      <c r="V306" s="925">
        <v>0</v>
      </c>
      <c r="W306" s="925">
        <v>0</v>
      </c>
      <c r="X306" s="925">
        <v>0</v>
      </c>
      <c r="Y306" s="925">
        <v>0</v>
      </c>
      <c r="Z306" s="921">
        <v>68023.710000000006</v>
      </c>
      <c r="AA306" s="925">
        <v>0</v>
      </c>
    </row>
    <row r="307" spans="1:27" s="870" customFormat="1" ht="93.6" customHeight="1">
      <c r="A307" s="927">
        <v>104</v>
      </c>
      <c r="B307" s="863" t="s">
        <v>1389</v>
      </c>
      <c r="C307" s="925">
        <f>D307+N307+P307+R307+T307+X307+Z307</f>
        <v>4599548.28</v>
      </c>
      <c r="D307" s="925">
        <f>SUM(E307:J307)</f>
        <v>0</v>
      </c>
      <c r="E307" s="925">
        <v>0</v>
      </c>
      <c r="F307" s="925">
        <v>0</v>
      </c>
      <c r="G307" s="925">
        <v>0</v>
      </c>
      <c r="H307" s="925">
        <v>0</v>
      </c>
      <c r="I307" s="925">
        <v>0</v>
      </c>
      <c r="J307" s="925">
        <v>0</v>
      </c>
      <c r="K307" s="861">
        <v>0</v>
      </c>
      <c r="L307" s="925">
        <v>0</v>
      </c>
      <c r="M307" s="925">
        <v>0</v>
      </c>
      <c r="N307" s="925">
        <v>0</v>
      </c>
      <c r="O307" s="925">
        <v>824.5</v>
      </c>
      <c r="P307" s="925">
        <v>4265460.88</v>
      </c>
      <c r="Q307" s="925">
        <v>0</v>
      </c>
      <c r="R307" s="925">
        <v>0</v>
      </c>
      <c r="S307" s="925">
        <v>0</v>
      </c>
      <c r="T307" s="925">
        <v>0</v>
      </c>
      <c r="U307" s="925">
        <v>0</v>
      </c>
      <c r="V307" s="925">
        <v>0</v>
      </c>
      <c r="W307" s="925">
        <v>0</v>
      </c>
      <c r="X307" s="925">
        <v>0</v>
      </c>
      <c r="Y307" s="925">
        <v>0</v>
      </c>
      <c r="Z307" s="921">
        <v>334087.40000000002</v>
      </c>
      <c r="AA307" s="925">
        <v>0</v>
      </c>
    </row>
    <row r="308" spans="1:27" s="870" customFormat="1" ht="91.15" customHeight="1">
      <c r="A308" s="927">
        <v>105</v>
      </c>
      <c r="B308" s="863" t="s">
        <v>1390</v>
      </c>
      <c r="C308" s="925">
        <f>D308+N308+P308+R308+T308+X308+Z308</f>
        <v>3397919.78</v>
      </c>
      <c r="D308" s="925">
        <f>SUM(E308:J308)</f>
        <v>0</v>
      </c>
      <c r="E308" s="925">
        <v>0</v>
      </c>
      <c r="F308" s="925">
        <v>0</v>
      </c>
      <c r="G308" s="925">
        <v>0</v>
      </c>
      <c r="H308" s="925">
        <v>0</v>
      </c>
      <c r="I308" s="925">
        <v>0</v>
      </c>
      <c r="J308" s="925">
        <v>0</v>
      </c>
      <c r="K308" s="861">
        <v>0</v>
      </c>
      <c r="L308" s="925">
        <v>0</v>
      </c>
      <c r="M308" s="925">
        <v>0</v>
      </c>
      <c r="N308" s="925">
        <v>0</v>
      </c>
      <c r="O308" s="925">
        <v>609.1</v>
      </c>
      <c r="P308" s="925">
        <v>3151112.46</v>
      </c>
      <c r="Q308" s="925">
        <v>0</v>
      </c>
      <c r="R308" s="925">
        <v>0</v>
      </c>
      <c r="S308" s="925">
        <v>0</v>
      </c>
      <c r="T308" s="925">
        <v>0</v>
      </c>
      <c r="U308" s="925">
        <v>0</v>
      </c>
      <c r="V308" s="925">
        <v>0</v>
      </c>
      <c r="W308" s="925">
        <v>0</v>
      </c>
      <c r="X308" s="925">
        <v>0</v>
      </c>
      <c r="Y308" s="925">
        <v>0</v>
      </c>
      <c r="Z308" s="921">
        <v>246807.32</v>
      </c>
      <c r="AA308" s="925">
        <v>0</v>
      </c>
    </row>
    <row r="309" spans="1:27" s="870" customFormat="1" ht="91.15" customHeight="1">
      <c r="A309" s="927">
        <v>106</v>
      </c>
      <c r="B309" s="863" t="s">
        <v>1391</v>
      </c>
      <c r="C309" s="925">
        <f>D309+N309+P309+R309+T309+X309+Z309</f>
        <v>5265553.29</v>
      </c>
      <c r="D309" s="925">
        <f>SUM(E309:J309)</f>
        <v>0</v>
      </c>
      <c r="E309" s="925">
        <v>0</v>
      </c>
      <c r="F309" s="925">
        <v>0</v>
      </c>
      <c r="G309" s="925">
        <v>0</v>
      </c>
      <c r="H309" s="925">
        <v>0</v>
      </c>
      <c r="I309" s="925">
        <v>0</v>
      </c>
      <c r="J309" s="925">
        <v>0</v>
      </c>
      <c r="K309" s="861">
        <v>0</v>
      </c>
      <c r="L309" s="925">
        <v>0</v>
      </c>
      <c r="M309" s="925">
        <v>0</v>
      </c>
      <c r="N309" s="925">
        <v>0</v>
      </c>
      <c r="O309" s="925">
        <v>546.5</v>
      </c>
      <c r="P309" s="925">
        <v>4883090.7300000004</v>
      </c>
      <c r="Q309" s="925">
        <v>0</v>
      </c>
      <c r="R309" s="925">
        <v>0</v>
      </c>
      <c r="S309" s="925">
        <v>0</v>
      </c>
      <c r="T309" s="925">
        <v>0</v>
      </c>
      <c r="U309" s="925">
        <v>0</v>
      </c>
      <c r="V309" s="925">
        <v>0</v>
      </c>
      <c r="W309" s="925">
        <v>0</v>
      </c>
      <c r="X309" s="925">
        <v>0</v>
      </c>
      <c r="Y309" s="925">
        <v>0</v>
      </c>
      <c r="Z309" s="921">
        <v>382462.56</v>
      </c>
      <c r="AA309" s="925">
        <v>0</v>
      </c>
    </row>
    <row r="310" spans="1:27" s="870" customFormat="1" ht="91.15" customHeight="1">
      <c r="A310" s="927">
        <v>107</v>
      </c>
      <c r="B310" s="863" t="s">
        <v>2045</v>
      </c>
      <c r="C310" s="925">
        <f>D310+N310+P310+R310+T310+X310+Z310</f>
        <v>5993709.7599999998</v>
      </c>
      <c r="D310" s="925">
        <f>SUM(E310:J310)</f>
        <v>0</v>
      </c>
      <c r="E310" s="925">
        <v>0</v>
      </c>
      <c r="F310" s="925">
        <v>0</v>
      </c>
      <c r="G310" s="925">
        <v>0</v>
      </c>
      <c r="H310" s="925">
        <v>0</v>
      </c>
      <c r="I310" s="925">
        <v>0</v>
      </c>
      <c r="J310" s="925">
        <v>0</v>
      </c>
      <c r="K310" s="861">
        <v>0</v>
      </c>
      <c r="L310" s="925">
        <v>0</v>
      </c>
      <c r="M310" s="925">
        <v>0</v>
      </c>
      <c r="N310" s="925">
        <v>0</v>
      </c>
      <c r="O310" s="925">
        <v>663</v>
      </c>
      <c r="P310" s="925">
        <v>3429958.23</v>
      </c>
      <c r="Q310" s="925">
        <v>0</v>
      </c>
      <c r="R310" s="925">
        <v>0</v>
      </c>
      <c r="S310" s="925">
        <v>513</v>
      </c>
      <c r="T310" s="925">
        <v>2128399.4500000002</v>
      </c>
      <c r="U310" s="925">
        <v>0</v>
      </c>
      <c r="V310" s="925">
        <v>0</v>
      </c>
      <c r="W310" s="925">
        <v>0</v>
      </c>
      <c r="X310" s="925">
        <v>0</v>
      </c>
      <c r="Y310" s="925">
        <v>0</v>
      </c>
      <c r="Z310" s="921">
        <v>435352.08</v>
      </c>
      <c r="AA310" s="925">
        <v>0</v>
      </c>
    </row>
    <row r="311" spans="1:27" s="870" customFormat="1" ht="91.15" customHeight="1">
      <c r="A311" s="927">
        <v>108</v>
      </c>
      <c r="B311" s="863" t="s">
        <v>2046</v>
      </c>
      <c r="C311" s="925">
        <f>D311+N311+P311+R311+T311+X311+Z311</f>
        <v>1312551.3699999999</v>
      </c>
      <c r="D311" s="925">
        <f>SUM(E311:J311)</f>
        <v>1217214.43</v>
      </c>
      <c r="E311" s="925">
        <v>1217214.43</v>
      </c>
      <c r="F311" s="925">
        <v>0</v>
      </c>
      <c r="G311" s="925">
        <v>0</v>
      </c>
      <c r="H311" s="925">
        <v>0</v>
      </c>
      <c r="I311" s="925">
        <v>0</v>
      </c>
      <c r="J311" s="925">
        <v>0</v>
      </c>
      <c r="K311" s="861">
        <v>0</v>
      </c>
      <c r="L311" s="925">
        <v>0</v>
      </c>
      <c r="M311" s="925">
        <v>0</v>
      </c>
      <c r="N311" s="925">
        <v>0</v>
      </c>
      <c r="O311" s="925">
        <v>0</v>
      </c>
      <c r="P311" s="925">
        <v>0</v>
      </c>
      <c r="Q311" s="925">
        <v>0</v>
      </c>
      <c r="R311" s="925">
        <v>0</v>
      </c>
      <c r="S311" s="925">
        <v>0</v>
      </c>
      <c r="T311" s="925">
        <v>0</v>
      </c>
      <c r="U311" s="925">
        <v>0</v>
      </c>
      <c r="V311" s="925">
        <v>0</v>
      </c>
      <c r="W311" s="925">
        <v>0</v>
      </c>
      <c r="X311" s="925">
        <v>0</v>
      </c>
      <c r="Y311" s="925">
        <v>0</v>
      </c>
      <c r="Z311" s="921">
        <v>95336.94</v>
      </c>
      <c r="AA311" s="925">
        <v>0</v>
      </c>
    </row>
    <row r="312" spans="1:27" s="870" customFormat="1" ht="91.15" customHeight="1">
      <c r="A312" s="1198" t="s">
        <v>1824</v>
      </c>
      <c r="B312" s="1199"/>
      <c r="C312" s="925">
        <f>SUM(C313:C317)</f>
        <v>19334145.210000001</v>
      </c>
      <c r="D312" s="925">
        <f t="shared" ref="D312:AA312" si="78">SUM(D313:D317)</f>
        <v>0</v>
      </c>
      <c r="E312" s="925">
        <f t="shared" si="78"/>
        <v>0</v>
      </c>
      <c r="F312" s="925">
        <f t="shared" si="78"/>
        <v>0</v>
      </c>
      <c r="G312" s="925">
        <f t="shared" si="78"/>
        <v>0</v>
      </c>
      <c r="H312" s="925">
        <f t="shared" si="78"/>
        <v>0</v>
      </c>
      <c r="I312" s="925">
        <f t="shared" si="78"/>
        <v>0</v>
      </c>
      <c r="J312" s="925">
        <f t="shared" si="78"/>
        <v>0</v>
      </c>
      <c r="K312" s="861">
        <f t="shared" si="78"/>
        <v>0</v>
      </c>
      <c r="L312" s="925">
        <f t="shared" si="78"/>
        <v>0</v>
      </c>
      <c r="M312" s="925">
        <f t="shared" si="78"/>
        <v>0</v>
      </c>
      <c r="N312" s="925">
        <f t="shared" si="78"/>
        <v>0</v>
      </c>
      <c r="O312" s="925">
        <f t="shared" si="78"/>
        <v>2114.6</v>
      </c>
      <c r="P312" s="925">
        <f t="shared" si="78"/>
        <v>14984074.859999999</v>
      </c>
      <c r="Q312" s="925">
        <f t="shared" si="78"/>
        <v>0</v>
      </c>
      <c r="R312" s="925">
        <f t="shared" si="78"/>
        <v>0</v>
      </c>
      <c r="S312" s="925">
        <f t="shared" si="78"/>
        <v>710</v>
      </c>
      <c r="T312" s="925">
        <f t="shared" si="78"/>
        <v>2945738.03</v>
      </c>
      <c r="U312" s="925">
        <f t="shared" si="78"/>
        <v>0</v>
      </c>
      <c r="V312" s="925">
        <f t="shared" si="78"/>
        <v>0</v>
      </c>
      <c r="W312" s="925">
        <f t="shared" si="78"/>
        <v>0</v>
      </c>
      <c r="X312" s="925">
        <f t="shared" si="78"/>
        <v>0</v>
      </c>
      <c r="Y312" s="925">
        <f t="shared" si="78"/>
        <v>0</v>
      </c>
      <c r="Z312" s="925">
        <f t="shared" si="78"/>
        <v>1404332.3199999998</v>
      </c>
      <c r="AA312" s="925">
        <f t="shared" si="78"/>
        <v>0</v>
      </c>
    </row>
    <row r="313" spans="1:27" s="870" customFormat="1" ht="91.15" customHeight="1">
      <c r="A313" s="927">
        <v>109</v>
      </c>
      <c r="B313" s="863" t="s">
        <v>1964</v>
      </c>
      <c r="C313" s="925">
        <f>D313+P313+T313+Z313</f>
        <v>3176459.63</v>
      </c>
      <c r="D313" s="925">
        <f>E313+F313+G313+H313+I313+J313</f>
        <v>0</v>
      </c>
      <c r="E313" s="925">
        <v>0</v>
      </c>
      <c r="F313" s="925">
        <v>0</v>
      </c>
      <c r="G313" s="925">
        <v>0</v>
      </c>
      <c r="H313" s="925">
        <v>0</v>
      </c>
      <c r="I313" s="925">
        <v>0</v>
      </c>
      <c r="J313" s="925">
        <v>0</v>
      </c>
      <c r="K313" s="861">
        <v>0</v>
      </c>
      <c r="L313" s="925">
        <v>0</v>
      </c>
      <c r="M313" s="925">
        <v>0</v>
      </c>
      <c r="N313" s="925">
        <v>0</v>
      </c>
      <c r="O313" s="925">
        <v>0</v>
      </c>
      <c r="P313" s="925">
        <v>0</v>
      </c>
      <c r="Q313" s="925">
        <v>0</v>
      </c>
      <c r="R313" s="925">
        <v>0</v>
      </c>
      <c r="S313" s="925">
        <v>710</v>
      </c>
      <c r="T313" s="925">
        <v>2945738.03</v>
      </c>
      <c r="U313" s="925">
        <v>0</v>
      </c>
      <c r="V313" s="925">
        <v>0</v>
      </c>
      <c r="W313" s="925">
        <v>0</v>
      </c>
      <c r="X313" s="925">
        <v>0</v>
      </c>
      <c r="Y313" s="925">
        <v>0</v>
      </c>
      <c r="Z313" s="921">
        <v>230721.6</v>
      </c>
      <c r="AA313" s="925">
        <v>0</v>
      </c>
    </row>
    <row r="314" spans="1:27" s="870" customFormat="1" ht="91.15" customHeight="1">
      <c r="A314" s="927">
        <v>110</v>
      </c>
      <c r="B314" s="863" t="s">
        <v>1965</v>
      </c>
      <c r="C314" s="925">
        <f>D314+N314+P314+R314+T314+X314+Z314</f>
        <v>3626084.15</v>
      </c>
      <c r="D314" s="925">
        <f>SUM(E314:J314)</f>
        <v>0</v>
      </c>
      <c r="E314" s="925">
        <v>0</v>
      </c>
      <c r="F314" s="925">
        <v>0</v>
      </c>
      <c r="G314" s="925">
        <v>0</v>
      </c>
      <c r="H314" s="925">
        <v>0</v>
      </c>
      <c r="I314" s="925">
        <v>0</v>
      </c>
      <c r="J314" s="925">
        <v>0</v>
      </c>
      <c r="K314" s="861">
        <v>0</v>
      </c>
      <c r="L314" s="925">
        <v>0</v>
      </c>
      <c r="M314" s="925">
        <v>0</v>
      </c>
      <c r="N314" s="925">
        <v>0</v>
      </c>
      <c r="O314" s="925">
        <v>650</v>
      </c>
      <c r="P314" s="925">
        <v>3362704.15</v>
      </c>
      <c r="Q314" s="925">
        <v>0</v>
      </c>
      <c r="R314" s="925">
        <v>0</v>
      </c>
      <c r="S314" s="925">
        <v>0</v>
      </c>
      <c r="T314" s="925">
        <v>0</v>
      </c>
      <c r="U314" s="925">
        <v>0</v>
      </c>
      <c r="V314" s="925">
        <v>0</v>
      </c>
      <c r="W314" s="925">
        <v>0</v>
      </c>
      <c r="X314" s="925">
        <v>0</v>
      </c>
      <c r="Y314" s="925">
        <v>0</v>
      </c>
      <c r="Z314" s="921">
        <v>263380</v>
      </c>
      <c r="AA314" s="925">
        <v>0</v>
      </c>
    </row>
    <row r="315" spans="1:27" s="870" customFormat="1" ht="91.15" customHeight="1">
      <c r="A315" s="927">
        <v>111</v>
      </c>
      <c r="B315" s="868" t="s">
        <v>1968</v>
      </c>
      <c r="C315" s="925">
        <f>D315+P315+R315+T315+Z315+L315+V315</f>
        <v>7059401.2700000005</v>
      </c>
      <c r="D315" s="925">
        <f>E315+F315+G315+H315+I315+J315</f>
        <v>0</v>
      </c>
      <c r="E315" s="925">
        <v>0</v>
      </c>
      <c r="F315" s="925">
        <v>0</v>
      </c>
      <c r="G315" s="925">
        <v>0</v>
      </c>
      <c r="H315" s="925">
        <v>0</v>
      </c>
      <c r="I315" s="925">
        <v>0</v>
      </c>
      <c r="J315" s="925">
        <v>0</v>
      </c>
      <c r="K315" s="861">
        <v>0</v>
      </c>
      <c r="L315" s="925">
        <v>0</v>
      </c>
      <c r="M315" s="925">
        <v>0</v>
      </c>
      <c r="N315" s="925">
        <v>0</v>
      </c>
      <c r="O315" s="925">
        <v>770</v>
      </c>
      <c r="P315" s="925">
        <v>6546642.8700000001</v>
      </c>
      <c r="Q315" s="925">
        <v>0</v>
      </c>
      <c r="R315" s="925">
        <v>0</v>
      </c>
      <c r="S315" s="925">
        <v>0</v>
      </c>
      <c r="T315" s="925">
        <v>0</v>
      </c>
      <c r="U315" s="925">
        <v>0</v>
      </c>
      <c r="V315" s="925">
        <v>0</v>
      </c>
      <c r="W315" s="925">
        <v>0</v>
      </c>
      <c r="X315" s="925">
        <v>0</v>
      </c>
      <c r="Y315" s="925">
        <v>0</v>
      </c>
      <c r="Z315" s="921">
        <v>512758.4</v>
      </c>
      <c r="AA315" s="925">
        <v>0</v>
      </c>
    </row>
    <row r="316" spans="1:27" s="870" customFormat="1" ht="91.15" customHeight="1">
      <c r="A316" s="927">
        <v>112</v>
      </c>
      <c r="B316" s="863" t="s">
        <v>2052</v>
      </c>
      <c r="C316" s="925">
        <f>D316+N316+P316+R316+T316+X316+Z316</f>
        <v>1392416.3099999998</v>
      </c>
      <c r="D316" s="925">
        <f>SUM(E316:J316)</f>
        <v>0</v>
      </c>
      <c r="E316" s="925">
        <v>0</v>
      </c>
      <c r="F316" s="925">
        <v>0</v>
      </c>
      <c r="G316" s="925">
        <v>0</v>
      </c>
      <c r="H316" s="925">
        <v>0</v>
      </c>
      <c r="I316" s="925">
        <v>0</v>
      </c>
      <c r="J316" s="925">
        <v>0</v>
      </c>
      <c r="K316" s="861">
        <v>0</v>
      </c>
      <c r="L316" s="925">
        <v>0</v>
      </c>
      <c r="M316" s="925">
        <v>0</v>
      </c>
      <c r="N316" s="925">
        <v>0</v>
      </c>
      <c r="O316" s="925">
        <v>249.6</v>
      </c>
      <c r="P316" s="925">
        <v>1291278.3899999999</v>
      </c>
      <c r="Q316" s="925"/>
      <c r="R316" s="925"/>
      <c r="S316" s="925"/>
      <c r="T316" s="925"/>
      <c r="U316" s="925"/>
      <c r="V316" s="925"/>
      <c r="W316" s="925"/>
      <c r="X316" s="925"/>
      <c r="Y316" s="925"/>
      <c r="Z316" s="921">
        <v>101137.92</v>
      </c>
      <c r="AA316" s="925">
        <v>0</v>
      </c>
    </row>
    <row r="317" spans="1:27" s="870" customFormat="1" ht="91.15" customHeight="1">
      <c r="A317" s="927">
        <v>113</v>
      </c>
      <c r="B317" s="868" t="s">
        <v>2171</v>
      </c>
      <c r="C317" s="925">
        <f>D317+L317+N317+P317+R317+T317+V317+X317+Z317+AA317</f>
        <v>4079783.85</v>
      </c>
      <c r="D317" s="925">
        <f>SUM(E317:J317)</f>
        <v>0</v>
      </c>
      <c r="E317" s="925">
        <v>0</v>
      </c>
      <c r="F317" s="925">
        <v>0</v>
      </c>
      <c r="G317" s="925">
        <v>0</v>
      </c>
      <c r="H317" s="925">
        <v>0</v>
      </c>
      <c r="I317" s="925">
        <v>0</v>
      </c>
      <c r="J317" s="925">
        <v>0</v>
      </c>
      <c r="K317" s="861">
        <v>0</v>
      </c>
      <c r="L317" s="925">
        <v>0</v>
      </c>
      <c r="M317" s="873">
        <v>0</v>
      </c>
      <c r="N317" s="873">
        <v>0</v>
      </c>
      <c r="O317" s="925">
        <v>445</v>
      </c>
      <c r="P317" s="925">
        <v>3783449.45</v>
      </c>
      <c r="Q317" s="925">
        <v>0</v>
      </c>
      <c r="R317" s="925">
        <v>0</v>
      </c>
      <c r="S317" s="925">
        <v>0</v>
      </c>
      <c r="T317" s="925">
        <v>0</v>
      </c>
      <c r="U317" s="925">
        <v>0</v>
      </c>
      <c r="V317" s="925">
        <v>0</v>
      </c>
      <c r="W317" s="873">
        <v>0</v>
      </c>
      <c r="X317" s="873">
        <v>0</v>
      </c>
      <c r="Y317" s="925">
        <v>0</v>
      </c>
      <c r="Z317" s="921">
        <v>296334.40000000002</v>
      </c>
      <c r="AA317" s="873">
        <v>0</v>
      </c>
    </row>
    <row r="318" spans="1:27" s="867" customFormat="1" ht="105" customHeight="1">
      <c r="A318" s="1198" t="s">
        <v>1071</v>
      </c>
      <c r="B318" s="1199"/>
      <c r="C318" s="925">
        <f>C319</f>
        <v>3062646.46</v>
      </c>
      <c r="D318" s="925">
        <f t="shared" ref="D318:AA318" si="79">D319</f>
        <v>0</v>
      </c>
      <c r="E318" s="925">
        <f t="shared" si="79"/>
        <v>0</v>
      </c>
      <c r="F318" s="925">
        <f t="shared" si="79"/>
        <v>0</v>
      </c>
      <c r="G318" s="925">
        <f t="shared" si="79"/>
        <v>0</v>
      </c>
      <c r="H318" s="925">
        <f t="shared" si="79"/>
        <v>0</v>
      </c>
      <c r="I318" s="925">
        <f t="shared" si="79"/>
        <v>0</v>
      </c>
      <c r="J318" s="925">
        <f t="shared" si="79"/>
        <v>0</v>
      </c>
      <c r="K318" s="861">
        <f t="shared" si="79"/>
        <v>0</v>
      </c>
      <c r="L318" s="925">
        <f t="shared" si="79"/>
        <v>0</v>
      </c>
      <c r="M318" s="925">
        <f t="shared" si="79"/>
        <v>0</v>
      </c>
      <c r="N318" s="925">
        <f t="shared" si="79"/>
        <v>0</v>
      </c>
      <c r="O318" s="925">
        <f t="shared" si="79"/>
        <v>549</v>
      </c>
      <c r="P318" s="925">
        <f t="shared" si="79"/>
        <v>2840191.66</v>
      </c>
      <c r="Q318" s="925">
        <f t="shared" si="79"/>
        <v>0</v>
      </c>
      <c r="R318" s="925">
        <f t="shared" si="79"/>
        <v>0</v>
      </c>
      <c r="S318" s="925">
        <f t="shared" si="79"/>
        <v>0</v>
      </c>
      <c r="T318" s="925">
        <f t="shared" si="79"/>
        <v>0</v>
      </c>
      <c r="U318" s="925">
        <f t="shared" si="79"/>
        <v>0</v>
      </c>
      <c r="V318" s="925">
        <f t="shared" si="79"/>
        <v>0</v>
      </c>
      <c r="W318" s="925">
        <f t="shared" si="79"/>
        <v>0</v>
      </c>
      <c r="X318" s="925">
        <f t="shared" si="79"/>
        <v>0</v>
      </c>
      <c r="Y318" s="925">
        <f t="shared" si="79"/>
        <v>0</v>
      </c>
      <c r="Z318" s="921">
        <f t="shared" si="79"/>
        <v>222454.8</v>
      </c>
      <c r="AA318" s="925">
        <f t="shared" si="79"/>
        <v>0</v>
      </c>
    </row>
    <row r="319" spans="1:27" s="867" customFormat="1" ht="105" customHeight="1">
      <c r="A319" s="927">
        <v>114</v>
      </c>
      <c r="B319" s="863" t="s">
        <v>1481</v>
      </c>
      <c r="C319" s="925">
        <f>D319+N319+P319+R319+T319+X319+Z319</f>
        <v>3062646.46</v>
      </c>
      <c r="D319" s="925">
        <f>SUM(E319:J319)</f>
        <v>0</v>
      </c>
      <c r="E319" s="925">
        <v>0</v>
      </c>
      <c r="F319" s="925">
        <v>0</v>
      </c>
      <c r="G319" s="925">
        <v>0</v>
      </c>
      <c r="H319" s="925">
        <v>0</v>
      </c>
      <c r="I319" s="925">
        <v>0</v>
      </c>
      <c r="J319" s="925">
        <v>0</v>
      </c>
      <c r="K319" s="861">
        <v>0</v>
      </c>
      <c r="L319" s="925">
        <v>0</v>
      </c>
      <c r="M319" s="925">
        <v>0</v>
      </c>
      <c r="N319" s="925">
        <v>0</v>
      </c>
      <c r="O319" s="925">
        <v>549</v>
      </c>
      <c r="P319" s="925">
        <v>2840191.66</v>
      </c>
      <c r="Q319" s="925">
        <v>0</v>
      </c>
      <c r="R319" s="925">
        <v>0</v>
      </c>
      <c r="S319" s="925">
        <v>0</v>
      </c>
      <c r="T319" s="925">
        <v>0</v>
      </c>
      <c r="U319" s="925">
        <v>0</v>
      </c>
      <c r="V319" s="925">
        <v>0</v>
      </c>
      <c r="W319" s="925">
        <v>0</v>
      </c>
      <c r="X319" s="925">
        <v>0</v>
      </c>
      <c r="Y319" s="925">
        <v>0</v>
      </c>
      <c r="Z319" s="921">
        <v>222454.8</v>
      </c>
      <c r="AA319" s="925">
        <v>0</v>
      </c>
    </row>
    <row r="320" spans="1:27" s="867" customFormat="1" ht="125.45" customHeight="1">
      <c r="A320" s="1198" t="s">
        <v>1249</v>
      </c>
      <c r="B320" s="1199"/>
      <c r="C320" s="925">
        <f>SUM(C321:C322)</f>
        <v>10818421.27</v>
      </c>
      <c r="D320" s="925">
        <f t="shared" ref="D320:AA320" si="80">SUM(D321:D322)</f>
        <v>0</v>
      </c>
      <c r="E320" s="925">
        <f t="shared" si="80"/>
        <v>0</v>
      </c>
      <c r="F320" s="925">
        <f t="shared" si="80"/>
        <v>0</v>
      </c>
      <c r="G320" s="925">
        <f t="shared" si="80"/>
        <v>0</v>
      </c>
      <c r="H320" s="925">
        <f t="shared" si="80"/>
        <v>0</v>
      </c>
      <c r="I320" s="925">
        <f t="shared" si="80"/>
        <v>0</v>
      </c>
      <c r="J320" s="925">
        <f t="shared" si="80"/>
        <v>0</v>
      </c>
      <c r="K320" s="861">
        <f t="shared" si="80"/>
        <v>0</v>
      </c>
      <c r="L320" s="925">
        <f t="shared" si="80"/>
        <v>0</v>
      </c>
      <c r="M320" s="925">
        <f t="shared" si="80"/>
        <v>2</v>
      </c>
      <c r="N320" s="925">
        <f t="shared" si="80"/>
        <v>5965588.8399999999</v>
      </c>
      <c r="O320" s="925">
        <f t="shared" si="80"/>
        <v>455.17</v>
      </c>
      <c r="P320" s="925">
        <f t="shared" si="80"/>
        <v>4067038.26</v>
      </c>
      <c r="Q320" s="925">
        <f t="shared" si="80"/>
        <v>0</v>
      </c>
      <c r="R320" s="925">
        <f t="shared" si="80"/>
        <v>0</v>
      </c>
      <c r="S320" s="925">
        <f t="shared" si="80"/>
        <v>0</v>
      </c>
      <c r="T320" s="925">
        <f t="shared" si="80"/>
        <v>0</v>
      </c>
      <c r="U320" s="925">
        <f t="shared" si="80"/>
        <v>0</v>
      </c>
      <c r="V320" s="925">
        <f t="shared" si="80"/>
        <v>0</v>
      </c>
      <c r="W320" s="925">
        <f t="shared" si="80"/>
        <v>0</v>
      </c>
      <c r="X320" s="925">
        <f t="shared" si="80"/>
        <v>0</v>
      </c>
      <c r="Y320" s="925">
        <f t="shared" si="80"/>
        <v>0</v>
      </c>
      <c r="Z320" s="925">
        <f t="shared" si="80"/>
        <v>785794.16999999993</v>
      </c>
      <c r="AA320" s="925">
        <f t="shared" si="80"/>
        <v>0</v>
      </c>
    </row>
    <row r="321" spans="1:27" s="867" customFormat="1" ht="96" customHeight="1">
      <c r="A321" s="927">
        <v>115</v>
      </c>
      <c r="B321" s="863" t="s">
        <v>1785</v>
      </c>
      <c r="C321" s="925">
        <f>D321+N321+P321+R321+T321+X321+Z321</f>
        <v>4385584.43</v>
      </c>
      <c r="D321" s="925">
        <f>SUM(E321:J321)</f>
        <v>0</v>
      </c>
      <c r="E321" s="925">
        <v>0</v>
      </c>
      <c r="F321" s="925">
        <v>0</v>
      </c>
      <c r="G321" s="925">
        <v>0</v>
      </c>
      <c r="H321" s="925">
        <v>0</v>
      </c>
      <c r="I321" s="925">
        <v>0</v>
      </c>
      <c r="J321" s="925">
        <v>0</v>
      </c>
      <c r="K321" s="861">
        <v>0</v>
      </c>
      <c r="L321" s="925">
        <v>0</v>
      </c>
      <c r="M321" s="925">
        <v>0</v>
      </c>
      <c r="N321" s="925">
        <v>0</v>
      </c>
      <c r="O321" s="925">
        <v>455.17</v>
      </c>
      <c r="P321" s="925">
        <v>4067038.26</v>
      </c>
      <c r="Q321" s="925">
        <v>0</v>
      </c>
      <c r="R321" s="925">
        <v>0</v>
      </c>
      <c r="S321" s="925">
        <v>0</v>
      </c>
      <c r="T321" s="925">
        <v>0</v>
      </c>
      <c r="U321" s="925">
        <v>0</v>
      </c>
      <c r="V321" s="925">
        <v>0</v>
      </c>
      <c r="W321" s="925">
        <v>0</v>
      </c>
      <c r="X321" s="925">
        <v>0</v>
      </c>
      <c r="Y321" s="925">
        <v>0</v>
      </c>
      <c r="Z321" s="921">
        <v>318546.17</v>
      </c>
      <c r="AA321" s="925">
        <v>0</v>
      </c>
    </row>
    <row r="322" spans="1:27" s="867" customFormat="1" ht="96" customHeight="1">
      <c r="A322" s="927">
        <v>116</v>
      </c>
      <c r="B322" s="863" t="s">
        <v>2077</v>
      </c>
      <c r="C322" s="925">
        <f>D322+N322+P322+R322+T322+X322+Z322</f>
        <v>6432836.8399999999</v>
      </c>
      <c r="D322" s="925">
        <f>SUM(E322:J322)</f>
        <v>0</v>
      </c>
      <c r="E322" s="925">
        <v>0</v>
      </c>
      <c r="F322" s="925">
        <v>0</v>
      </c>
      <c r="G322" s="925">
        <v>0</v>
      </c>
      <c r="H322" s="925">
        <v>0</v>
      </c>
      <c r="I322" s="925">
        <v>0</v>
      </c>
      <c r="J322" s="925">
        <v>0</v>
      </c>
      <c r="K322" s="861">
        <v>0</v>
      </c>
      <c r="L322" s="925">
        <v>0</v>
      </c>
      <c r="M322" s="925">
        <v>2</v>
      </c>
      <c r="N322" s="925">
        <v>5965588.8399999999</v>
      </c>
      <c r="O322" s="925">
        <v>0</v>
      </c>
      <c r="P322" s="925">
        <v>0</v>
      </c>
      <c r="Q322" s="925">
        <v>0</v>
      </c>
      <c r="R322" s="925">
        <v>0</v>
      </c>
      <c r="S322" s="925">
        <v>0</v>
      </c>
      <c r="T322" s="925">
        <v>0</v>
      </c>
      <c r="U322" s="925">
        <v>0</v>
      </c>
      <c r="V322" s="925">
        <v>0</v>
      </c>
      <c r="W322" s="925">
        <v>0</v>
      </c>
      <c r="X322" s="925">
        <v>0</v>
      </c>
      <c r="Y322" s="925">
        <v>0</v>
      </c>
      <c r="Z322" s="921">
        <v>467248</v>
      </c>
      <c r="AA322" s="925">
        <v>0</v>
      </c>
    </row>
    <row r="323" spans="1:27" s="867" customFormat="1" ht="93.75" customHeight="1">
      <c r="A323" s="1198" t="s">
        <v>1059</v>
      </c>
      <c r="B323" s="1199"/>
      <c r="C323" s="925">
        <f>SUM(C324:C337)</f>
        <v>5400636</v>
      </c>
      <c r="D323" s="925">
        <f t="shared" ref="D323:AA323" si="81">SUM(D324:D337)</f>
        <v>2278000</v>
      </c>
      <c r="E323" s="925">
        <f t="shared" si="81"/>
        <v>160860</v>
      </c>
      <c r="F323" s="925">
        <f t="shared" si="81"/>
        <v>481845</v>
      </c>
      <c r="G323" s="925">
        <f t="shared" si="81"/>
        <v>0</v>
      </c>
      <c r="H323" s="925">
        <f t="shared" si="81"/>
        <v>703120</v>
      </c>
      <c r="I323" s="925">
        <f t="shared" si="81"/>
        <v>0</v>
      </c>
      <c r="J323" s="925">
        <f t="shared" si="81"/>
        <v>932175</v>
      </c>
      <c r="K323" s="861">
        <f t="shared" si="81"/>
        <v>0</v>
      </c>
      <c r="L323" s="925">
        <f t="shared" si="81"/>
        <v>0</v>
      </c>
      <c r="M323" s="925">
        <f t="shared" si="81"/>
        <v>0</v>
      </c>
      <c r="N323" s="925">
        <f t="shared" si="81"/>
        <v>0</v>
      </c>
      <c r="O323" s="925">
        <f t="shared" si="81"/>
        <v>1200</v>
      </c>
      <c r="P323" s="925">
        <f t="shared" si="81"/>
        <v>1800000</v>
      </c>
      <c r="Q323" s="925">
        <f t="shared" si="81"/>
        <v>0</v>
      </c>
      <c r="R323" s="925">
        <f t="shared" si="81"/>
        <v>0</v>
      </c>
      <c r="S323" s="925">
        <f t="shared" si="81"/>
        <v>43</v>
      </c>
      <c r="T323" s="925">
        <f t="shared" si="81"/>
        <v>700000</v>
      </c>
      <c r="U323" s="925">
        <f t="shared" si="81"/>
        <v>941.96</v>
      </c>
      <c r="V323" s="925">
        <f t="shared" si="81"/>
        <v>329686</v>
      </c>
      <c r="W323" s="925">
        <f t="shared" si="81"/>
        <v>126.5</v>
      </c>
      <c r="X323" s="925">
        <f t="shared" si="81"/>
        <v>292950</v>
      </c>
      <c r="Y323" s="925">
        <f t="shared" si="81"/>
        <v>0</v>
      </c>
      <c r="Z323" s="925">
        <f t="shared" si="81"/>
        <v>0</v>
      </c>
      <c r="AA323" s="925">
        <f t="shared" si="81"/>
        <v>0</v>
      </c>
    </row>
    <row r="324" spans="1:27" s="867" customFormat="1" ht="76.5">
      <c r="A324" s="927">
        <v>117</v>
      </c>
      <c r="B324" s="863" t="s">
        <v>2172</v>
      </c>
      <c r="C324" s="925">
        <f t="shared" ref="C324:C337" si="82">D324+N324+P324+R324+T324+X324+Z324</f>
        <v>407000</v>
      </c>
      <c r="D324" s="925">
        <f t="shared" ref="D324:D337" si="83">SUM(E324:J324)</f>
        <v>407000</v>
      </c>
      <c r="E324" s="925">
        <v>0</v>
      </c>
      <c r="F324" s="925">
        <v>0</v>
      </c>
      <c r="G324" s="925">
        <v>0</v>
      </c>
      <c r="H324" s="925">
        <v>0</v>
      </c>
      <c r="I324" s="925">
        <v>0</v>
      </c>
      <c r="J324" s="925">
        <v>407000</v>
      </c>
      <c r="K324" s="861">
        <v>0</v>
      </c>
      <c r="L324" s="925">
        <v>0</v>
      </c>
      <c r="M324" s="925">
        <v>0</v>
      </c>
      <c r="N324" s="925">
        <v>0</v>
      </c>
      <c r="O324" s="925">
        <v>0</v>
      </c>
      <c r="P324" s="925">
        <v>0</v>
      </c>
      <c r="Q324" s="925">
        <v>0</v>
      </c>
      <c r="R324" s="925">
        <v>0</v>
      </c>
      <c r="S324" s="925">
        <v>0</v>
      </c>
      <c r="T324" s="925">
        <v>0</v>
      </c>
      <c r="U324" s="925">
        <v>0</v>
      </c>
      <c r="V324" s="925">
        <v>0</v>
      </c>
      <c r="W324" s="925">
        <v>0</v>
      </c>
      <c r="X324" s="925">
        <v>0</v>
      </c>
      <c r="Y324" s="925">
        <v>0</v>
      </c>
      <c r="Z324" s="925">
        <v>0</v>
      </c>
      <c r="AA324" s="925">
        <v>0</v>
      </c>
    </row>
    <row r="325" spans="1:27" s="867" customFormat="1" ht="81" customHeight="1">
      <c r="A325" s="927">
        <v>118</v>
      </c>
      <c r="B325" s="863" t="s">
        <v>2173</v>
      </c>
      <c r="C325" s="925">
        <f t="shared" si="82"/>
        <v>276640</v>
      </c>
      <c r="D325" s="925">
        <f t="shared" si="83"/>
        <v>276640</v>
      </c>
      <c r="E325" s="925">
        <v>0</v>
      </c>
      <c r="F325" s="925">
        <v>0</v>
      </c>
      <c r="G325" s="925">
        <v>0</v>
      </c>
      <c r="H325" s="925">
        <v>276640</v>
      </c>
      <c r="I325" s="925">
        <v>0</v>
      </c>
      <c r="J325" s="925">
        <v>0</v>
      </c>
      <c r="K325" s="861">
        <v>0</v>
      </c>
      <c r="L325" s="925">
        <v>0</v>
      </c>
      <c r="M325" s="925">
        <v>0</v>
      </c>
      <c r="N325" s="925">
        <v>0</v>
      </c>
      <c r="O325" s="925">
        <v>0</v>
      </c>
      <c r="P325" s="925">
        <v>0</v>
      </c>
      <c r="Q325" s="925">
        <v>0</v>
      </c>
      <c r="R325" s="925">
        <v>0</v>
      </c>
      <c r="S325" s="925">
        <v>0</v>
      </c>
      <c r="T325" s="925">
        <v>0</v>
      </c>
      <c r="U325" s="925">
        <v>0</v>
      </c>
      <c r="V325" s="925">
        <v>0</v>
      </c>
      <c r="W325" s="925">
        <v>0</v>
      </c>
      <c r="X325" s="925">
        <v>0</v>
      </c>
      <c r="Y325" s="925">
        <v>0</v>
      </c>
      <c r="Z325" s="925">
        <v>0</v>
      </c>
      <c r="AA325" s="925">
        <v>0</v>
      </c>
    </row>
    <row r="326" spans="1:27" s="867" customFormat="1" ht="76.5">
      <c r="A326" s="927">
        <v>119</v>
      </c>
      <c r="B326" s="863" t="s">
        <v>2174</v>
      </c>
      <c r="C326" s="925">
        <f t="shared" si="82"/>
        <v>92550</v>
      </c>
      <c r="D326" s="925">
        <f>SUM(E326:J326)</f>
        <v>92550</v>
      </c>
      <c r="E326" s="925">
        <v>0</v>
      </c>
      <c r="F326" s="925">
        <v>0</v>
      </c>
      <c r="G326" s="925">
        <v>0</v>
      </c>
      <c r="H326" s="925">
        <v>0</v>
      </c>
      <c r="I326" s="925">
        <v>0</v>
      </c>
      <c r="J326" s="925">
        <v>92550</v>
      </c>
      <c r="K326" s="861">
        <v>0</v>
      </c>
      <c r="L326" s="925">
        <v>0</v>
      </c>
      <c r="M326" s="925">
        <v>0</v>
      </c>
      <c r="N326" s="925">
        <v>0</v>
      </c>
      <c r="O326" s="925">
        <v>0</v>
      </c>
      <c r="P326" s="925">
        <v>0</v>
      </c>
      <c r="Q326" s="925">
        <v>0</v>
      </c>
      <c r="R326" s="925">
        <v>0</v>
      </c>
      <c r="S326" s="925">
        <v>0</v>
      </c>
      <c r="T326" s="925">
        <v>0</v>
      </c>
      <c r="U326" s="925">
        <v>0</v>
      </c>
      <c r="V326" s="925">
        <v>0</v>
      </c>
      <c r="W326" s="925">
        <v>0</v>
      </c>
      <c r="X326" s="925">
        <v>0</v>
      </c>
      <c r="Y326" s="925">
        <v>0</v>
      </c>
      <c r="Z326" s="925">
        <v>0</v>
      </c>
      <c r="AA326" s="925">
        <v>0</v>
      </c>
    </row>
    <row r="327" spans="1:27" s="867" customFormat="1" ht="76.5">
      <c r="A327" s="927">
        <v>120</v>
      </c>
      <c r="B327" s="863" t="s">
        <v>2175</v>
      </c>
      <c r="C327" s="925">
        <f t="shared" si="82"/>
        <v>77225</v>
      </c>
      <c r="D327" s="925">
        <f t="shared" si="83"/>
        <v>77225</v>
      </c>
      <c r="E327" s="925">
        <v>0</v>
      </c>
      <c r="F327" s="925">
        <v>0</v>
      </c>
      <c r="G327" s="925">
        <v>0</v>
      </c>
      <c r="H327" s="925">
        <v>0</v>
      </c>
      <c r="I327" s="925">
        <v>0</v>
      </c>
      <c r="J327" s="925">
        <v>77225</v>
      </c>
      <c r="K327" s="861">
        <v>0</v>
      </c>
      <c r="L327" s="925">
        <v>0</v>
      </c>
      <c r="M327" s="925">
        <v>0</v>
      </c>
      <c r="N327" s="925">
        <v>0</v>
      </c>
      <c r="O327" s="925">
        <v>0</v>
      </c>
      <c r="P327" s="925">
        <v>0</v>
      </c>
      <c r="Q327" s="925">
        <v>0</v>
      </c>
      <c r="R327" s="925">
        <v>0</v>
      </c>
      <c r="S327" s="925">
        <v>0</v>
      </c>
      <c r="T327" s="925">
        <v>0</v>
      </c>
      <c r="U327" s="925">
        <v>0</v>
      </c>
      <c r="V327" s="925">
        <v>0</v>
      </c>
      <c r="W327" s="925">
        <v>0</v>
      </c>
      <c r="X327" s="925">
        <v>0</v>
      </c>
      <c r="Y327" s="925">
        <v>0</v>
      </c>
      <c r="Z327" s="925">
        <v>0</v>
      </c>
      <c r="AA327" s="925">
        <v>0</v>
      </c>
    </row>
    <row r="328" spans="1:27" s="867" customFormat="1" ht="76.5">
      <c r="A328" s="927">
        <v>121</v>
      </c>
      <c r="B328" s="863" t="s">
        <v>2176</v>
      </c>
      <c r="C328" s="925">
        <f t="shared" si="82"/>
        <v>160860</v>
      </c>
      <c r="D328" s="925">
        <f t="shared" si="83"/>
        <v>160860</v>
      </c>
      <c r="E328" s="925">
        <v>160860</v>
      </c>
      <c r="F328" s="925">
        <v>0</v>
      </c>
      <c r="G328" s="925">
        <v>0</v>
      </c>
      <c r="H328" s="925">
        <v>0</v>
      </c>
      <c r="I328" s="925">
        <v>0</v>
      </c>
      <c r="J328" s="925">
        <v>0</v>
      </c>
      <c r="K328" s="861">
        <v>0</v>
      </c>
      <c r="L328" s="925">
        <v>0</v>
      </c>
      <c r="M328" s="925">
        <v>0</v>
      </c>
      <c r="N328" s="925">
        <v>0</v>
      </c>
      <c r="O328" s="925">
        <v>0</v>
      </c>
      <c r="P328" s="925">
        <v>0</v>
      </c>
      <c r="Q328" s="925">
        <v>0</v>
      </c>
      <c r="R328" s="925">
        <v>0</v>
      </c>
      <c r="S328" s="925">
        <v>0</v>
      </c>
      <c r="T328" s="925">
        <v>0</v>
      </c>
      <c r="U328" s="925">
        <v>0</v>
      </c>
      <c r="V328" s="925">
        <v>0</v>
      </c>
      <c r="W328" s="925">
        <v>0</v>
      </c>
      <c r="X328" s="925">
        <v>0</v>
      </c>
      <c r="Y328" s="925">
        <v>0</v>
      </c>
      <c r="Z328" s="925">
        <v>0</v>
      </c>
      <c r="AA328" s="925">
        <v>0</v>
      </c>
    </row>
    <row r="329" spans="1:27" s="867" customFormat="1" ht="76.5">
      <c r="A329" s="927">
        <v>122</v>
      </c>
      <c r="B329" s="863" t="s">
        <v>2177</v>
      </c>
      <c r="C329" s="925">
        <f t="shared" si="82"/>
        <v>481845</v>
      </c>
      <c r="D329" s="925">
        <f t="shared" si="83"/>
        <v>481845</v>
      </c>
      <c r="E329" s="925">
        <v>0</v>
      </c>
      <c r="F329" s="925">
        <v>481845</v>
      </c>
      <c r="G329" s="925">
        <v>0</v>
      </c>
      <c r="H329" s="925">
        <v>0</v>
      </c>
      <c r="I329" s="925">
        <v>0</v>
      </c>
      <c r="J329" s="925">
        <v>0</v>
      </c>
      <c r="K329" s="861">
        <v>0</v>
      </c>
      <c r="L329" s="925">
        <v>0</v>
      </c>
      <c r="M329" s="925">
        <v>0</v>
      </c>
      <c r="N329" s="925">
        <v>0</v>
      </c>
      <c r="O329" s="925">
        <v>0</v>
      </c>
      <c r="P329" s="925">
        <v>0</v>
      </c>
      <c r="Q329" s="925">
        <v>0</v>
      </c>
      <c r="R329" s="925">
        <v>0</v>
      </c>
      <c r="S329" s="925">
        <v>0</v>
      </c>
      <c r="T329" s="925">
        <v>0</v>
      </c>
      <c r="U329" s="925">
        <v>0</v>
      </c>
      <c r="V329" s="925">
        <v>0</v>
      </c>
      <c r="W329" s="925">
        <v>0</v>
      </c>
      <c r="X329" s="925">
        <v>0</v>
      </c>
      <c r="Y329" s="925">
        <v>0</v>
      </c>
      <c r="Z329" s="925">
        <v>0</v>
      </c>
      <c r="AA329" s="925">
        <v>0</v>
      </c>
    </row>
    <row r="330" spans="1:27" s="867" customFormat="1" ht="76.5">
      <c r="A330" s="927">
        <v>123</v>
      </c>
      <c r="B330" s="863" t="s">
        <v>2178</v>
      </c>
      <c r="C330" s="925">
        <f>D330+N330+P330+R330+T330+X330+Z330+V330</f>
        <v>329686</v>
      </c>
      <c r="D330" s="925">
        <f t="shared" si="83"/>
        <v>0</v>
      </c>
      <c r="E330" s="925">
        <v>0</v>
      </c>
      <c r="F330" s="925">
        <v>0</v>
      </c>
      <c r="G330" s="925">
        <v>0</v>
      </c>
      <c r="H330" s="925">
        <v>0</v>
      </c>
      <c r="I330" s="925">
        <v>0</v>
      </c>
      <c r="J330" s="925">
        <v>0</v>
      </c>
      <c r="K330" s="861">
        <v>0</v>
      </c>
      <c r="L330" s="925">
        <v>0</v>
      </c>
      <c r="M330" s="925">
        <v>0</v>
      </c>
      <c r="N330" s="925">
        <v>0</v>
      </c>
      <c r="O330" s="925">
        <v>0</v>
      </c>
      <c r="P330" s="925">
        <v>0</v>
      </c>
      <c r="Q330" s="925">
        <v>0</v>
      </c>
      <c r="R330" s="925">
        <v>0</v>
      </c>
      <c r="S330" s="925">
        <v>0</v>
      </c>
      <c r="T330" s="925">
        <v>0</v>
      </c>
      <c r="U330" s="925">
        <v>941.96</v>
      </c>
      <c r="V330" s="925">
        <v>329686</v>
      </c>
      <c r="W330" s="925">
        <v>0</v>
      </c>
      <c r="X330" s="925">
        <v>0</v>
      </c>
      <c r="Y330" s="925">
        <v>0</v>
      </c>
      <c r="Z330" s="925">
        <v>0</v>
      </c>
      <c r="AA330" s="925">
        <v>0</v>
      </c>
    </row>
    <row r="331" spans="1:27" s="867" customFormat="1" ht="93" customHeight="1">
      <c r="A331" s="927">
        <v>124</v>
      </c>
      <c r="B331" s="863" t="s">
        <v>2125</v>
      </c>
      <c r="C331" s="925">
        <f t="shared" si="82"/>
        <v>1125000</v>
      </c>
      <c r="D331" s="925">
        <f t="shared" si="83"/>
        <v>0</v>
      </c>
      <c r="E331" s="925">
        <v>0</v>
      </c>
      <c r="F331" s="925">
        <v>0</v>
      </c>
      <c r="G331" s="925">
        <v>0</v>
      </c>
      <c r="H331" s="925">
        <v>0</v>
      </c>
      <c r="I331" s="925">
        <v>0</v>
      </c>
      <c r="J331" s="925">
        <v>0</v>
      </c>
      <c r="K331" s="861">
        <v>0</v>
      </c>
      <c r="L331" s="925">
        <v>0</v>
      </c>
      <c r="M331" s="925">
        <v>0</v>
      </c>
      <c r="N331" s="925">
        <v>0</v>
      </c>
      <c r="O331" s="925">
        <v>750</v>
      </c>
      <c r="P331" s="925">
        <v>1125000</v>
      </c>
      <c r="Q331" s="925">
        <v>0</v>
      </c>
      <c r="R331" s="925">
        <v>0</v>
      </c>
      <c r="S331" s="925">
        <v>0</v>
      </c>
      <c r="T331" s="925">
        <v>0</v>
      </c>
      <c r="U331" s="925">
        <v>0</v>
      </c>
      <c r="V331" s="925">
        <v>0</v>
      </c>
      <c r="W331" s="925">
        <v>0</v>
      </c>
      <c r="X331" s="925">
        <v>0</v>
      </c>
      <c r="Y331" s="925">
        <v>0</v>
      </c>
      <c r="Z331" s="925">
        <v>0</v>
      </c>
      <c r="AA331" s="925">
        <v>0</v>
      </c>
    </row>
    <row r="332" spans="1:27" s="867" customFormat="1" ht="98.25" customHeight="1">
      <c r="A332" s="927">
        <v>125</v>
      </c>
      <c r="B332" s="863" t="s">
        <v>2067</v>
      </c>
      <c r="C332" s="925">
        <f t="shared" si="82"/>
        <v>675000</v>
      </c>
      <c r="D332" s="925">
        <f t="shared" si="83"/>
        <v>0</v>
      </c>
      <c r="E332" s="925">
        <v>0</v>
      </c>
      <c r="F332" s="925">
        <v>0</v>
      </c>
      <c r="G332" s="925">
        <v>0</v>
      </c>
      <c r="H332" s="925">
        <v>0</v>
      </c>
      <c r="I332" s="925">
        <v>0</v>
      </c>
      <c r="J332" s="925">
        <v>0</v>
      </c>
      <c r="K332" s="861">
        <v>0</v>
      </c>
      <c r="L332" s="925">
        <v>0</v>
      </c>
      <c r="M332" s="925">
        <v>0</v>
      </c>
      <c r="N332" s="925">
        <v>0</v>
      </c>
      <c r="O332" s="925">
        <v>450</v>
      </c>
      <c r="P332" s="925">
        <v>675000</v>
      </c>
      <c r="Q332" s="925">
        <v>0</v>
      </c>
      <c r="R332" s="925">
        <v>0</v>
      </c>
      <c r="S332" s="925">
        <v>0</v>
      </c>
      <c r="T332" s="925">
        <v>0</v>
      </c>
      <c r="U332" s="925">
        <v>0</v>
      </c>
      <c r="V332" s="925">
        <v>0</v>
      </c>
      <c r="W332" s="925">
        <v>0</v>
      </c>
      <c r="X332" s="925">
        <v>0</v>
      </c>
      <c r="Y332" s="925">
        <v>0</v>
      </c>
      <c r="Z332" s="925">
        <v>0</v>
      </c>
      <c r="AA332" s="925">
        <v>0</v>
      </c>
    </row>
    <row r="333" spans="1:27" s="867" customFormat="1" ht="90.75" customHeight="1">
      <c r="A333" s="927">
        <v>126</v>
      </c>
      <c r="B333" s="863" t="s">
        <v>2068</v>
      </c>
      <c r="C333" s="925">
        <f t="shared" si="82"/>
        <v>393580</v>
      </c>
      <c r="D333" s="925">
        <f t="shared" si="83"/>
        <v>393580</v>
      </c>
      <c r="E333" s="925">
        <v>0</v>
      </c>
      <c r="F333" s="925">
        <v>0</v>
      </c>
      <c r="G333" s="925">
        <v>0</v>
      </c>
      <c r="H333" s="925">
        <v>214680</v>
      </c>
      <c r="I333" s="925">
        <v>0</v>
      </c>
      <c r="J333" s="925">
        <v>178900</v>
      </c>
      <c r="K333" s="861">
        <v>0</v>
      </c>
      <c r="L333" s="925">
        <v>0</v>
      </c>
      <c r="M333" s="925">
        <v>0</v>
      </c>
      <c r="N333" s="925">
        <v>0</v>
      </c>
      <c r="O333" s="925">
        <v>0</v>
      </c>
      <c r="P333" s="925">
        <v>0</v>
      </c>
      <c r="Q333" s="925">
        <v>0</v>
      </c>
      <c r="R333" s="925">
        <v>0</v>
      </c>
      <c r="S333" s="925">
        <v>0</v>
      </c>
      <c r="T333" s="925">
        <v>0</v>
      </c>
      <c r="U333" s="925">
        <v>0</v>
      </c>
      <c r="V333" s="925">
        <v>0</v>
      </c>
      <c r="W333" s="925">
        <v>0</v>
      </c>
      <c r="X333" s="925">
        <v>0</v>
      </c>
      <c r="Y333" s="925">
        <v>0</v>
      </c>
      <c r="Z333" s="925">
        <v>0</v>
      </c>
      <c r="AA333" s="925">
        <v>0</v>
      </c>
    </row>
    <row r="334" spans="1:27" s="867" customFormat="1" ht="90.75" customHeight="1">
      <c r="A334" s="927">
        <v>127</v>
      </c>
      <c r="B334" s="914" t="s">
        <v>2107</v>
      </c>
      <c r="C334" s="920">
        <f t="shared" si="82"/>
        <v>700000</v>
      </c>
      <c r="D334" s="908">
        <f t="shared" si="83"/>
        <v>0</v>
      </c>
      <c r="E334" s="909">
        <v>0</v>
      </c>
      <c r="F334" s="909">
        <v>0</v>
      </c>
      <c r="G334" s="909">
        <v>0</v>
      </c>
      <c r="H334" s="909">
        <v>0</v>
      </c>
      <c r="I334" s="909">
        <v>0</v>
      </c>
      <c r="J334" s="909">
        <v>0</v>
      </c>
      <c r="K334" s="915">
        <v>0</v>
      </c>
      <c r="L334" s="909">
        <v>0</v>
      </c>
      <c r="M334" s="915">
        <v>0</v>
      </c>
      <c r="N334" s="916">
        <v>0</v>
      </c>
      <c r="O334" s="916">
        <v>0</v>
      </c>
      <c r="P334" s="909">
        <v>0</v>
      </c>
      <c r="Q334" s="917">
        <v>0</v>
      </c>
      <c r="R334" s="918">
        <v>0</v>
      </c>
      <c r="S334" s="918">
        <v>43</v>
      </c>
      <c r="T334" s="918">
        <v>700000</v>
      </c>
      <c r="U334" s="919">
        <v>0</v>
      </c>
      <c r="V334" s="919">
        <v>0</v>
      </c>
      <c r="W334" s="918">
        <v>0</v>
      </c>
      <c r="X334" s="918">
        <v>0</v>
      </c>
      <c r="Y334" s="917">
        <v>0</v>
      </c>
      <c r="Z334" s="918">
        <v>0</v>
      </c>
      <c r="AA334" s="917">
        <v>0</v>
      </c>
    </row>
    <row r="335" spans="1:27" s="867" customFormat="1" ht="90.75" customHeight="1">
      <c r="A335" s="927">
        <v>128</v>
      </c>
      <c r="B335" s="914" t="s">
        <v>2118</v>
      </c>
      <c r="C335" s="920">
        <f t="shared" si="82"/>
        <v>132000</v>
      </c>
      <c r="D335" s="908">
        <f t="shared" si="83"/>
        <v>0</v>
      </c>
      <c r="E335" s="909">
        <v>0</v>
      </c>
      <c r="F335" s="909">
        <v>0</v>
      </c>
      <c r="G335" s="909">
        <v>0</v>
      </c>
      <c r="H335" s="909">
        <v>0</v>
      </c>
      <c r="I335" s="909">
        <v>0</v>
      </c>
      <c r="J335" s="909">
        <v>0</v>
      </c>
      <c r="K335" s="915">
        <v>0</v>
      </c>
      <c r="L335" s="909">
        <v>0</v>
      </c>
      <c r="M335" s="915">
        <v>0</v>
      </c>
      <c r="N335" s="916">
        <v>0</v>
      </c>
      <c r="O335" s="916">
        <v>0</v>
      </c>
      <c r="P335" s="909">
        <v>0</v>
      </c>
      <c r="Q335" s="917">
        <v>0</v>
      </c>
      <c r="R335" s="918">
        <v>0</v>
      </c>
      <c r="S335" s="918">
        <v>0</v>
      </c>
      <c r="T335" s="918">
        <v>0</v>
      </c>
      <c r="U335" s="919">
        <v>0</v>
      </c>
      <c r="V335" s="919">
        <v>0</v>
      </c>
      <c r="W335" s="918">
        <v>15.5</v>
      </c>
      <c r="X335" s="918">
        <v>132000</v>
      </c>
      <c r="Y335" s="917">
        <v>0</v>
      </c>
      <c r="Z335" s="918">
        <v>0</v>
      </c>
      <c r="AA335" s="917">
        <v>0</v>
      </c>
    </row>
    <row r="336" spans="1:27" s="867" customFormat="1" ht="93.6" customHeight="1">
      <c r="A336" s="927">
        <v>129</v>
      </c>
      <c r="B336" s="863" t="s">
        <v>2069</v>
      </c>
      <c r="C336" s="925">
        <f t="shared" si="82"/>
        <v>388300</v>
      </c>
      <c r="D336" s="925">
        <f t="shared" si="83"/>
        <v>388300</v>
      </c>
      <c r="E336" s="925">
        <v>0</v>
      </c>
      <c r="F336" s="925">
        <v>0</v>
      </c>
      <c r="G336" s="925">
        <v>0</v>
      </c>
      <c r="H336" s="925">
        <v>211800</v>
      </c>
      <c r="I336" s="925">
        <v>0</v>
      </c>
      <c r="J336" s="925">
        <v>176500</v>
      </c>
      <c r="K336" s="861">
        <v>0</v>
      </c>
      <c r="L336" s="925">
        <v>0</v>
      </c>
      <c r="M336" s="925">
        <v>0</v>
      </c>
      <c r="N336" s="925">
        <v>0</v>
      </c>
      <c r="O336" s="925">
        <v>0</v>
      </c>
      <c r="P336" s="925">
        <v>0</v>
      </c>
      <c r="Q336" s="925">
        <v>0</v>
      </c>
      <c r="R336" s="925">
        <v>0</v>
      </c>
      <c r="S336" s="925">
        <v>0</v>
      </c>
      <c r="T336" s="925">
        <v>0</v>
      </c>
      <c r="U336" s="925">
        <v>0</v>
      </c>
      <c r="V336" s="925">
        <v>0</v>
      </c>
      <c r="W336" s="925">
        <v>0</v>
      </c>
      <c r="X336" s="925">
        <v>0</v>
      </c>
      <c r="Y336" s="925">
        <v>0</v>
      </c>
      <c r="Z336" s="925">
        <v>0</v>
      </c>
      <c r="AA336" s="925">
        <v>0</v>
      </c>
    </row>
    <row r="337" spans="1:27" s="867" customFormat="1" ht="87.6" customHeight="1">
      <c r="A337" s="927">
        <v>130</v>
      </c>
      <c r="B337" s="863" t="s">
        <v>2071</v>
      </c>
      <c r="C337" s="925">
        <f t="shared" si="82"/>
        <v>160950</v>
      </c>
      <c r="D337" s="925">
        <f t="shared" si="83"/>
        <v>0</v>
      </c>
      <c r="E337" s="925">
        <v>0</v>
      </c>
      <c r="F337" s="925">
        <v>0</v>
      </c>
      <c r="G337" s="925">
        <v>0</v>
      </c>
      <c r="H337" s="925">
        <v>0</v>
      </c>
      <c r="I337" s="925">
        <v>0</v>
      </c>
      <c r="J337" s="925">
        <v>0</v>
      </c>
      <c r="K337" s="861">
        <v>0</v>
      </c>
      <c r="L337" s="925">
        <v>0</v>
      </c>
      <c r="M337" s="925">
        <v>0</v>
      </c>
      <c r="N337" s="925">
        <v>0</v>
      </c>
      <c r="O337" s="925">
        <v>0</v>
      </c>
      <c r="P337" s="925">
        <v>0</v>
      </c>
      <c r="Q337" s="925">
        <v>0</v>
      </c>
      <c r="R337" s="925">
        <v>0</v>
      </c>
      <c r="S337" s="925">
        <v>0</v>
      </c>
      <c r="T337" s="925">
        <v>0</v>
      </c>
      <c r="U337" s="925">
        <v>0</v>
      </c>
      <c r="V337" s="925">
        <v>0</v>
      </c>
      <c r="W337" s="925">
        <v>111</v>
      </c>
      <c r="X337" s="925">
        <v>160950</v>
      </c>
      <c r="Y337" s="925">
        <v>0</v>
      </c>
      <c r="Z337" s="925">
        <v>0</v>
      </c>
      <c r="AA337" s="925">
        <v>0</v>
      </c>
    </row>
    <row r="338" spans="1:27" s="867" customFormat="1" ht="127.9" customHeight="1">
      <c r="A338" s="1198" t="s">
        <v>1250</v>
      </c>
      <c r="B338" s="1199"/>
      <c r="C338" s="925">
        <f t="shared" ref="C338:T338" si="84">SUM(C339:C342)</f>
        <v>32177893.100000001</v>
      </c>
      <c r="D338" s="925">
        <f t="shared" si="84"/>
        <v>4054901.62</v>
      </c>
      <c r="E338" s="925">
        <f t="shared" si="84"/>
        <v>0</v>
      </c>
      <c r="F338" s="925">
        <f t="shared" si="84"/>
        <v>0</v>
      </c>
      <c r="G338" s="925">
        <f t="shared" si="84"/>
        <v>0</v>
      </c>
      <c r="H338" s="925">
        <f t="shared" si="84"/>
        <v>0</v>
      </c>
      <c r="I338" s="925">
        <f t="shared" si="84"/>
        <v>0</v>
      </c>
      <c r="J338" s="925">
        <f t="shared" si="84"/>
        <v>4054901.62</v>
      </c>
      <c r="K338" s="861">
        <f t="shared" si="84"/>
        <v>0</v>
      </c>
      <c r="L338" s="925">
        <f t="shared" si="84"/>
        <v>0</v>
      </c>
      <c r="M338" s="925">
        <f t="shared" si="84"/>
        <v>0</v>
      </c>
      <c r="N338" s="925">
        <f t="shared" si="84"/>
        <v>0</v>
      </c>
      <c r="O338" s="925">
        <f t="shared" si="84"/>
        <v>4220.8</v>
      </c>
      <c r="P338" s="925">
        <f t="shared" si="84"/>
        <v>25785755.740000002</v>
      </c>
      <c r="Q338" s="925">
        <f t="shared" si="84"/>
        <v>0</v>
      </c>
      <c r="R338" s="925">
        <f t="shared" si="84"/>
        <v>0</v>
      </c>
      <c r="S338" s="925">
        <f t="shared" si="84"/>
        <v>0</v>
      </c>
      <c r="T338" s="925">
        <f t="shared" si="84"/>
        <v>0</v>
      </c>
      <c r="U338" s="925">
        <v>0</v>
      </c>
      <c r="V338" s="925">
        <v>0</v>
      </c>
      <c r="W338" s="925">
        <f>SUM(W339:W342)</f>
        <v>0</v>
      </c>
      <c r="X338" s="925">
        <f>SUM(X339:X342)</f>
        <v>0</v>
      </c>
      <c r="Y338" s="925">
        <v>0</v>
      </c>
      <c r="Z338" s="921">
        <f>SUM(Z339:Z342)</f>
        <v>2337235.7400000002</v>
      </c>
      <c r="AA338" s="925">
        <f>SUM(AA339:AA342)</f>
        <v>0</v>
      </c>
    </row>
    <row r="339" spans="1:27" s="867" customFormat="1" ht="100.9" customHeight="1">
      <c r="A339" s="927">
        <v>131</v>
      </c>
      <c r="B339" s="868" t="s">
        <v>1286</v>
      </c>
      <c r="C339" s="925">
        <f>D339+N339+P339+R339+T339+X339+Z339+L339</f>
        <v>10116799.560000001</v>
      </c>
      <c r="D339" s="925">
        <f>SUM(E339:J339)</f>
        <v>0</v>
      </c>
      <c r="E339" s="925">
        <v>0</v>
      </c>
      <c r="F339" s="925">
        <v>0</v>
      </c>
      <c r="G339" s="925">
        <v>0</v>
      </c>
      <c r="H339" s="925">
        <v>0</v>
      </c>
      <c r="I339" s="925">
        <v>0</v>
      </c>
      <c r="J339" s="925">
        <v>0</v>
      </c>
      <c r="K339" s="861">
        <v>0</v>
      </c>
      <c r="L339" s="925">
        <v>0</v>
      </c>
      <c r="M339" s="925">
        <v>0</v>
      </c>
      <c r="N339" s="925">
        <v>0</v>
      </c>
      <c r="O339" s="925">
        <v>1050</v>
      </c>
      <c r="P339" s="925">
        <v>9381967.5600000005</v>
      </c>
      <c r="Q339" s="925">
        <v>0</v>
      </c>
      <c r="R339" s="925">
        <v>0</v>
      </c>
      <c r="S339" s="925">
        <v>0</v>
      </c>
      <c r="T339" s="925">
        <v>0</v>
      </c>
      <c r="U339" s="925">
        <v>0</v>
      </c>
      <c r="V339" s="925">
        <v>0</v>
      </c>
      <c r="W339" s="925">
        <v>0</v>
      </c>
      <c r="X339" s="925">
        <v>0</v>
      </c>
      <c r="Y339" s="925">
        <v>0</v>
      </c>
      <c r="Z339" s="921">
        <v>734832</v>
      </c>
      <c r="AA339" s="925">
        <v>0</v>
      </c>
    </row>
    <row r="340" spans="1:27" s="867" customFormat="1" ht="86.45" customHeight="1">
      <c r="A340" s="927">
        <v>132</v>
      </c>
      <c r="B340" s="868" t="s">
        <v>1287</v>
      </c>
      <c r="C340" s="925">
        <f>D340+N340+P340+R340+T340+X340+Z340+L340</f>
        <v>10157498.49</v>
      </c>
      <c r="D340" s="925">
        <f>SUM(E340:J340)</f>
        <v>0</v>
      </c>
      <c r="E340" s="925">
        <v>0</v>
      </c>
      <c r="F340" s="925">
        <v>0</v>
      </c>
      <c r="G340" s="925">
        <v>0</v>
      </c>
      <c r="H340" s="925">
        <v>0</v>
      </c>
      <c r="I340" s="925">
        <v>0</v>
      </c>
      <c r="J340" s="925">
        <v>0</v>
      </c>
      <c r="K340" s="861">
        <v>0</v>
      </c>
      <c r="L340" s="925">
        <v>0</v>
      </c>
      <c r="M340" s="925">
        <v>0</v>
      </c>
      <c r="N340" s="925">
        <v>0</v>
      </c>
      <c r="O340" s="925">
        <v>1820.8</v>
      </c>
      <c r="P340" s="925">
        <v>9419710.3300000001</v>
      </c>
      <c r="Q340" s="925">
        <v>0</v>
      </c>
      <c r="R340" s="925">
        <v>0</v>
      </c>
      <c r="S340" s="925">
        <v>0</v>
      </c>
      <c r="T340" s="925">
        <v>0</v>
      </c>
      <c r="U340" s="925">
        <v>0</v>
      </c>
      <c r="V340" s="925">
        <v>0</v>
      </c>
      <c r="W340" s="925">
        <v>0</v>
      </c>
      <c r="X340" s="925">
        <v>0</v>
      </c>
      <c r="Y340" s="925">
        <v>0</v>
      </c>
      <c r="Z340" s="921">
        <v>737788.16</v>
      </c>
      <c r="AA340" s="925">
        <v>0</v>
      </c>
    </row>
    <row r="341" spans="1:27" s="867" customFormat="1" ht="91.15" customHeight="1">
      <c r="A341" s="927">
        <v>133</v>
      </c>
      <c r="B341" s="868" t="s">
        <v>1288</v>
      </c>
      <c r="C341" s="925">
        <f>D341+N341+P341+R341+T341+X341+Z341+L341</f>
        <v>4372497.2</v>
      </c>
      <c r="D341" s="925">
        <f>SUM(E341:J341)</f>
        <v>4054901.62</v>
      </c>
      <c r="E341" s="925">
        <v>0</v>
      </c>
      <c r="F341" s="925">
        <v>0</v>
      </c>
      <c r="G341" s="925">
        <v>0</v>
      </c>
      <c r="H341" s="925">
        <v>0</v>
      </c>
      <c r="I341" s="925">
        <v>0</v>
      </c>
      <c r="J341" s="925">
        <v>4054901.62</v>
      </c>
      <c r="K341" s="861">
        <v>0</v>
      </c>
      <c r="L341" s="925">
        <v>0</v>
      </c>
      <c r="M341" s="925">
        <v>0</v>
      </c>
      <c r="N341" s="925">
        <v>0</v>
      </c>
      <c r="O341" s="925">
        <v>0</v>
      </c>
      <c r="P341" s="925">
        <v>0</v>
      </c>
      <c r="Q341" s="925">
        <v>0</v>
      </c>
      <c r="R341" s="925">
        <v>0</v>
      </c>
      <c r="S341" s="925">
        <v>0</v>
      </c>
      <c r="T341" s="925">
        <v>0</v>
      </c>
      <c r="U341" s="925">
        <v>0</v>
      </c>
      <c r="V341" s="925">
        <v>0</v>
      </c>
      <c r="W341" s="925">
        <v>0</v>
      </c>
      <c r="X341" s="925">
        <v>0</v>
      </c>
      <c r="Y341" s="925">
        <v>0</v>
      </c>
      <c r="Z341" s="921">
        <v>317595.58</v>
      </c>
      <c r="AA341" s="925">
        <v>0</v>
      </c>
    </row>
    <row r="342" spans="1:27" s="867" customFormat="1" ht="90" customHeight="1">
      <c r="A342" s="927">
        <v>134</v>
      </c>
      <c r="B342" s="868" t="s">
        <v>1289</v>
      </c>
      <c r="C342" s="925">
        <f>D342+N342+P342+R342+T342+X342+Z342+L342</f>
        <v>7531097.8499999996</v>
      </c>
      <c r="D342" s="925">
        <f>SUM(E342:J342)</f>
        <v>0</v>
      </c>
      <c r="E342" s="925">
        <v>0</v>
      </c>
      <c r="F342" s="925">
        <v>0</v>
      </c>
      <c r="G342" s="925">
        <v>0</v>
      </c>
      <c r="H342" s="925">
        <v>0</v>
      </c>
      <c r="I342" s="925">
        <v>0</v>
      </c>
      <c r="J342" s="925">
        <v>0</v>
      </c>
      <c r="K342" s="861">
        <v>0</v>
      </c>
      <c r="L342" s="925">
        <v>0</v>
      </c>
      <c r="M342" s="925">
        <v>0</v>
      </c>
      <c r="N342" s="925">
        <v>0</v>
      </c>
      <c r="O342" s="925">
        <v>1350</v>
      </c>
      <c r="P342" s="925">
        <v>6984077.8499999996</v>
      </c>
      <c r="Q342" s="925">
        <v>0</v>
      </c>
      <c r="R342" s="925">
        <v>0</v>
      </c>
      <c r="S342" s="925">
        <v>0</v>
      </c>
      <c r="T342" s="925">
        <v>0</v>
      </c>
      <c r="U342" s="925">
        <v>0</v>
      </c>
      <c r="V342" s="925">
        <v>0</v>
      </c>
      <c r="W342" s="925">
        <v>0</v>
      </c>
      <c r="X342" s="925">
        <v>0</v>
      </c>
      <c r="Y342" s="925">
        <v>0</v>
      </c>
      <c r="Z342" s="921">
        <v>547020</v>
      </c>
      <c r="AA342" s="925">
        <v>0</v>
      </c>
    </row>
    <row r="343" spans="1:27" s="867" customFormat="1" ht="90" customHeight="1">
      <c r="A343" s="1198" t="s">
        <v>1817</v>
      </c>
      <c r="B343" s="1199"/>
      <c r="C343" s="925">
        <f>C344</f>
        <v>4752718.9899999993</v>
      </c>
      <c r="D343" s="925">
        <f t="shared" ref="D343:AA343" si="85">D344</f>
        <v>0</v>
      </c>
      <c r="E343" s="925">
        <f t="shared" si="85"/>
        <v>0</v>
      </c>
      <c r="F343" s="925">
        <f t="shared" si="85"/>
        <v>0</v>
      </c>
      <c r="G343" s="925">
        <f t="shared" si="85"/>
        <v>0</v>
      </c>
      <c r="H343" s="925">
        <f t="shared" si="85"/>
        <v>0</v>
      </c>
      <c r="I343" s="925">
        <f t="shared" si="85"/>
        <v>0</v>
      </c>
      <c r="J343" s="925">
        <f t="shared" si="85"/>
        <v>0</v>
      </c>
      <c r="K343" s="861">
        <f t="shared" si="85"/>
        <v>0</v>
      </c>
      <c r="L343" s="925">
        <f t="shared" si="85"/>
        <v>0</v>
      </c>
      <c r="M343" s="925">
        <f t="shared" si="85"/>
        <v>0</v>
      </c>
      <c r="N343" s="925">
        <f t="shared" si="85"/>
        <v>0</v>
      </c>
      <c r="O343" s="925">
        <f t="shared" si="85"/>
        <v>523</v>
      </c>
      <c r="P343" s="925">
        <f t="shared" si="85"/>
        <v>4407506.0599999996</v>
      </c>
      <c r="Q343" s="925">
        <f t="shared" si="85"/>
        <v>0</v>
      </c>
      <c r="R343" s="925">
        <f t="shared" si="85"/>
        <v>0</v>
      </c>
      <c r="S343" s="925">
        <f t="shared" si="85"/>
        <v>0</v>
      </c>
      <c r="T343" s="925">
        <f t="shared" si="85"/>
        <v>0</v>
      </c>
      <c r="U343" s="925">
        <f t="shared" si="85"/>
        <v>0</v>
      </c>
      <c r="V343" s="925">
        <f t="shared" si="85"/>
        <v>0</v>
      </c>
      <c r="W343" s="925">
        <f t="shared" si="85"/>
        <v>0</v>
      </c>
      <c r="X343" s="925">
        <f t="shared" si="85"/>
        <v>0</v>
      </c>
      <c r="Y343" s="925">
        <f t="shared" si="85"/>
        <v>0</v>
      </c>
      <c r="Z343" s="921">
        <f t="shared" si="85"/>
        <v>345212.93</v>
      </c>
      <c r="AA343" s="925">
        <f t="shared" si="85"/>
        <v>0</v>
      </c>
    </row>
    <row r="344" spans="1:27" s="867" customFormat="1" ht="90" customHeight="1">
      <c r="A344" s="927">
        <v>135</v>
      </c>
      <c r="B344" s="868" t="s">
        <v>1962</v>
      </c>
      <c r="C344" s="925">
        <f>D344+N344+P344+R344+T344+X344+Z344+L344</f>
        <v>4752718.9899999993</v>
      </c>
      <c r="D344" s="925">
        <f>SUM(E344:J344)</f>
        <v>0</v>
      </c>
      <c r="E344" s="925">
        <v>0</v>
      </c>
      <c r="F344" s="925">
        <v>0</v>
      </c>
      <c r="G344" s="925">
        <v>0</v>
      </c>
      <c r="H344" s="925">
        <v>0</v>
      </c>
      <c r="I344" s="925">
        <v>0</v>
      </c>
      <c r="J344" s="925">
        <v>0</v>
      </c>
      <c r="K344" s="861">
        <v>0</v>
      </c>
      <c r="L344" s="925">
        <v>0</v>
      </c>
      <c r="M344" s="925">
        <v>0</v>
      </c>
      <c r="N344" s="925">
        <v>0</v>
      </c>
      <c r="O344" s="925">
        <v>523</v>
      </c>
      <c r="P344" s="925">
        <v>4407506.0599999996</v>
      </c>
      <c r="Q344" s="925">
        <v>0</v>
      </c>
      <c r="R344" s="925">
        <v>0</v>
      </c>
      <c r="S344" s="925">
        <v>0</v>
      </c>
      <c r="T344" s="925">
        <v>0</v>
      </c>
      <c r="U344" s="925">
        <v>0</v>
      </c>
      <c r="V344" s="925">
        <v>0</v>
      </c>
      <c r="W344" s="925">
        <v>0</v>
      </c>
      <c r="X344" s="925">
        <v>0</v>
      </c>
      <c r="Y344" s="925">
        <v>0</v>
      </c>
      <c r="Z344" s="921">
        <v>345212.93</v>
      </c>
      <c r="AA344" s="925">
        <v>0</v>
      </c>
    </row>
    <row r="345" spans="1:27" s="870" customFormat="1" ht="123" customHeight="1">
      <c r="A345" s="1198" t="s">
        <v>1058</v>
      </c>
      <c r="B345" s="1199"/>
      <c r="C345" s="925">
        <f>C346</f>
        <v>4982764.66</v>
      </c>
      <c r="D345" s="925">
        <f t="shared" ref="D345:AA345" si="86">D346</f>
        <v>0</v>
      </c>
      <c r="E345" s="925">
        <f t="shared" si="86"/>
        <v>0</v>
      </c>
      <c r="F345" s="925">
        <f t="shared" si="86"/>
        <v>0</v>
      </c>
      <c r="G345" s="925">
        <f t="shared" si="86"/>
        <v>0</v>
      </c>
      <c r="H345" s="925">
        <f t="shared" si="86"/>
        <v>0</v>
      </c>
      <c r="I345" s="925">
        <f t="shared" si="86"/>
        <v>0</v>
      </c>
      <c r="J345" s="925">
        <f t="shared" si="86"/>
        <v>0</v>
      </c>
      <c r="K345" s="861">
        <f t="shared" si="86"/>
        <v>0</v>
      </c>
      <c r="L345" s="925">
        <f t="shared" si="86"/>
        <v>0</v>
      </c>
      <c r="M345" s="925">
        <f t="shared" si="86"/>
        <v>0</v>
      </c>
      <c r="N345" s="925">
        <f t="shared" si="86"/>
        <v>0</v>
      </c>
      <c r="O345" s="925">
        <f t="shared" si="86"/>
        <v>517.15</v>
      </c>
      <c r="P345" s="925">
        <f t="shared" si="86"/>
        <v>4620842.4000000004</v>
      </c>
      <c r="Q345" s="925">
        <f t="shared" si="86"/>
        <v>0</v>
      </c>
      <c r="R345" s="925">
        <f t="shared" si="86"/>
        <v>0</v>
      </c>
      <c r="S345" s="925">
        <f t="shared" si="86"/>
        <v>0</v>
      </c>
      <c r="T345" s="925">
        <f t="shared" si="86"/>
        <v>0</v>
      </c>
      <c r="U345" s="925">
        <f t="shared" si="86"/>
        <v>0</v>
      </c>
      <c r="V345" s="925">
        <f t="shared" si="86"/>
        <v>0</v>
      </c>
      <c r="W345" s="925">
        <f t="shared" si="86"/>
        <v>0</v>
      </c>
      <c r="X345" s="925">
        <f t="shared" si="86"/>
        <v>0</v>
      </c>
      <c r="Y345" s="925">
        <f t="shared" si="86"/>
        <v>0</v>
      </c>
      <c r="Z345" s="921">
        <f t="shared" si="86"/>
        <v>361922.26</v>
      </c>
      <c r="AA345" s="925">
        <f t="shared" si="86"/>
        <v>0</v>
      </c>
    </row>
    <row r="346" spans="1:27" s="870" customFormat="1" ht="121.15" customHeight="1">
      <c r="A346" s="927">
        <v>136</v>
      </c>
      <c r="B346" s="863" t="s">
        <v>1576</v>
      </c>
      <c r="C346" s="925">
        <f>P346+Z346</f>
        <v>4982764.66</v>
      </c>
      <c r="D346" s="925">
        <v>0</v>
      </c>
      <c r="E346" s="925">
        <v>0</v>
      </c>
      <c r="F346" s="925">
        <v>0</v>
      </c>
      <c r="G346" s="925">
        <v>0</v>
      </c>
      <c r="H346" s="925">
        <v>0</v>
      </c>
      <c r="I346" s="925">
        <v>0</v>
      </c>
      <c r="J346" s="925">
        <v>0</v>
      </c>
      <c r="K346" s="861">
        <v>0</v>
      </c>
      <c r="L346" s="925">
        <v>0</v>
      </c>
      <c r="M346" s="925">
        <v>0</v>
      </c>
      <c r="N346" s="925">
        <v>0</v>
      </c>
      <c r="O346" s="925">
        <v>517.15</v>
      </c>
      <c r="P346" s="925">
        <v>4620842.4000000004</v>
      </c>
      <c r="Q346" s="925">
        <v>0</v>
      </c>
      <c r="R346" s="925">
        <v>0</v>
      </c>
      <c r="S346" s="925">
        <v>0</v>
      </c>
      <c r="T346" s="925">
        <v>0</v>
      </c>
      <c r="U346" s="925">
        <v>0</v>
      </c>
      <c r="V346" s="925">
        <v>0</v>
      </c>
      <c r="W346" s="925">
        <v>0</v>
      </c>
      <c r="X346" s="925">
        <v>0</v>
      </c>
      <c r="Y346" s="925">
        <v>0</v>
      </c>
      <c r="Z346" s="921">
        <v>361922.26</v>
      </c>
      <c r="AA346" s="925">
        <v>0</v>
      </c>
    </row>
    <row r="347" spans="1:27" s="870" customFormat="1" ht="121.15" customHeight="1">
      <c r="A347" s="1198" t="s">
        <v>1176</v>
      </c>
      <c r="B347" s="1199"/>
      <c r="C347" s="925">
        <f>SUM(C348)</f>
        <v>4733225.05</v>
      </c>
      <c r="D347" s="925">
        <f t="shared" ref="D347:Z347" si="87">SUM(D348)</f>
        <v>0</v>
      </c>
      <c r="E347" s="925">
        <f t="shared" si="87"/>
        <v>0</v>
      </c>
      <c r="F347" s="925">
        <f t="shared" si="87"/>
        <v>0</v>
      </c>
      <c r="G347" s="925">
        <f t="shared" si="87"/>
        <v>0</v>
      </c>
      <c r="H347" s="925">
        <f t="shared" si="87"/>
        <v>0</v>
      </c>
      <c r="I347" s="925">
        <f t="shared" si="87"/>
        <v>0</v>
      </c>
      <c r="J347" s="925">
        <f t="shared" si="87"/>
        <v>0</v>
      </c>
      <c r="K347" s="861">
        <f t="shared" si="87"/>
        <v>0</v>
      </c>
      <c r="L347" s="925">
        <f t="shared" si="87"/>
        <v>0</v>
      </c>
      <c r="M347" s="925">
        <f t="shared" si="87"/>
        <v>0</v>
      </c>
      <c r="N347" s="925">
        <f t="shared" si="87"/>
        <v>0</v>
      </c>
      <c r="O347" s="925">
        <f t="shared" si="87"/>
        <v>564.49</v>
      </c>
      <c r="P347" s="925">
        <f t="shared" si="87"/>
        <v>4389428.0599999996</v>
      </c>
      <c r="Q347" s="925">
        <f t="shared" si="87"/>
        <v>0</v>
      </c>
      <c r="R347" s="925">
        <f t="shared" si="87"/>
        <v>0</v>
      </c>
      <c r="S347" s="925">
        <f t="shared" si="87"/>
        <v>0</v>
      </c>
      <c r="T347" s="925">
        <f t="shared" si="87"/>
        <v>0</v>
      </c>
      <c r="U347" s="925">
        <f t="shared" si="87"/>
        <v>0</v>
      </c>
      <c r="V347" s="925">
        <f t="shared" si="87"/>
        <v>0</v>
      </c>
      <c r="W347" s="925">
        <f t="shared" si="87"/>
        <v>0</v>
      </c>
      <c r="X347" s="925">
        <f t="shared" si="87"/>
        <v>0</v>
      </c>
      <c r="Y347" s="925">
        <f t="shared" si="87"/>
        <v>0</v>
      </c>
      <c r="Z347" s="925">
        <f t="shared" si="87"/>
        <v>343796.99</v>
      </c>
      <c r="AA347" s="925">
        <f>SUM(AA348)</f>
        <v>0</v>
      </c>
    </row>
    <row r="348" spans="1:27" s="870" customFormat="1" ht="121.15" customHeight="1">
      <c r="A348" s="927">
        <v>137</v>
      </c>
      <c r="B348" s="863" t="s">
        <v>2119</v>
      </c>
      <c r="C348" s="925">
        <f t="shared" ref="C348" si="88">P348+Z348</f>
        <v>4733225.05</v>
      </c>
      <c r="D348" s="925">
        <v>0</v>
      </c>
      <c r="E348" s="925">
        <v>0</v>
      </c>
      <c r="F348" s="925">
        <v>0</v>
      </c>
      <c r="G348" s="925">
        <v>0</v>
      </c>
      <c r="H348" s="925">
        <v>0</v>
      </c>
      <c r="I348" s="925">
        <v>0</v>
      </c>
      <c r="J348" s="925">
        <v>0</v>
      </c>
      <c r="K348" s="861">
        <v>0</v>
      </c>
      <c r="L348" s="925">
        <v>0</v>
      </c>
      <c r="M348" s="925">
        <v>0</v>
      </c>
      <c r="N348" s="925">
        <v>0</v>
      </c>
      <c r="O348" s="925">
        <v>564.49</v>
      </c>
      <c r="P348" s="925">
        <v>4389428.0599999996</v>
      </c>
      <c r="Q348" s="925">
        <v>0</v>
      </c>
      <c r="R348" s="925">
        <v>0</v>
      </c>
      <c r="S348" s="925">
        <v>0</v>
      </c>
      <c r="T348" s="925">
        <v>0</v>
      </c>
      <c r="U348" s="925">
        <v>0</v>
      </c>
      <c r="V348" s="925">
        <v>0</v>
      </c>
      <c r="W348" s="925">
        <v>0</v>
      </c>
      <c r="X348" s="925">
        <v>0</v>
      </c>
      <c r="Y348" s="925">
        <v>0</v>
      </c>
      <c r="Z348" s="921">
        <v>343796.99</v>
      </c>
      <c r="AA348" s="925">
        <v>0</v>
      </c>
    </row>
    <row r="349" spans="1:27" s="870" customFormat="1" ht="100.15" customHeight="1">
      <c r="A349" s="1198" t="s">
        <v>1068</v>
      </c>
      <c r="B349" s="1199"/>
      <c r="C349" s="925">
        <f>SUM(C350:C351)</f>
        <v>5141625.8599999994</v>
      </c>
      <c r="D349" s="925">
        <f t="shared" ref="D349:AA349" si="89">SUM(D350:D351)</f>
        <v>0</v>
      </c>
      <c r="E349" s="925">
        <f t="shared" si="89"/>
        <v>0</v>
      </c>
      <c r="F349" s="925">
        <f t="shared" si="89"/>
        <v>0</v>
      </c>
      <c r="G349" s="925">
        <f t="shared" si="89"/>
        <v>0</v>
      </c>
      <c r="H349" s="925">
        <f t="shared" si="89"/>
        <v>0</v>
      </c>
      <c r="I349" s="925">
        <f t="shared" si="89"/>
        <v>0</v>
      </c>
      <c r="J349" s="925">
        <f t="shared" si="89"/>
        <v>0</v>
      </c>
      <c r="K349" s="861">
        <f t="shared" si="89"/>
        <v>0</v>
      </c>
      <c r="L349" s="925">
        <f t="shared" si="89"/>
        <v>0</v>
      </c>
      <c r="M349" s="925">
        <f t="shared" si="89"/>
        <v>0</v>
      </c>
      <c r="N349" s="925">
        <f t="shared" si="89"/>
        <v>0</v>
      </c>
      <c r="O349" s="925">
        <f t="shared" si="89"/>
        <v>906.3</v>
      </c>
      <c r="P349" s="925">
        <f t="shared" si="89"/>
        <v>4768164.75</v>
      </c>
      <c r="Q349" s="925">
        <f t="shared" si="89"/>
        <v>0</v>
      </c>
      <c r="R349" s="925">
        <f t="shared" si="89"/>
        <v>0</v>
      </c>
      <c r="S349" s="925">
        <f t="shared" si="89"/>
        <v>0</v>
      </c>
      <c r="T349" s="925">
        <f t="shared" si="89"/>
        <v>0</v>
      </c>
      <c r="U349" s="925">
        <f t="shared" si="89"/>
        <v>0</v>
      </c>
      <c r="V349" s="925">
        <f t="shared" si="89"/>
        <v>0</v>
      </c>
      <c r="W349" s="925">
        <f t="shared" si="89"/>
        <v>0</v>
      </c>
      <c r="X349" s="925">
        <f t="shared" si="89"/>
        <v>0</v>
      </c>
      <c r="Y349" s="925">
        <f t="shared" si="89"/>
        <v>0</v>
      </c>
      <c r="Z349" s="925">
        <f t="shared" si="89"/>
        <v>373461.11</v>
      </c>
      <c r="AA349" s="925">
        <f t="shared" si="89"/>
        <v>0</v>
      </c>
    </row>
    <row r="350" spans="1:27" s="870" customFormat="1" ht="100.15" customHeight="1">
      <c r="A350" s="927">
        <v>138</v>
      </c>
      <c r="B350" s="863" t="s">
        <v>1277</v>
      </c>
      <c r="C350" s="925">
        <f>D350+N350+P350+R350+T350+X350+Z350+L350</f>
        <v>2173815.4500000002</v>
      </c>
      <c r="D350" s="925">
        <f>SUM(E350:J350)</f>
        <v>0</v>
      </c>
      <c r="E350" s="925">
        <v>0</v>
      </c>
      <c r="F350" s="925">
        <v>0</v>
      </c>
      <c r="G350" s="925">
        <v>0</v>
      </c>
      <c r="H350" s="925">
        <v>0</v>
      </c>
      <c r="I350" s="925">
        <v>0</v>
      </c>
      <c r="J350" s="925">
        <v>0</v>
      </c>
      <c r="K350" s="861">
        <v>0</v>
      </c>
      <c r="L350" s="925">
        <v>0</v>
      </c>
      <c r="M350" s="925">
        <v>0</v>
      </c>
      <c r="N350" s="925">
        <v>0</v>
      </c>
      <c r="O350" s="925">
        <v>374.3</v>
      </c>
      <c r="P350" s="925">
        <v>2015920.74</v>
      </c>
      <c r="Q350" s="925">
        <v>0</v>
      </c>
      <c r="R350" s="925">
        <v>0</v>
      </c>
      <c r="S350" s="925">
        <v>0</v>
      </c>
      <c r="T350" s="925">
        <v>0</v>
      </c>
      <c r="U350" s="925">
        <v>0</v>
      </c>
      <c r="V350" s="925">
        <v>0</v>
      </c>
      <c r="W350" s="925">
        <v>0</v>
      </c>
      <c r="X350" s="925">
        <v>0</v>
      </c>
      <c r="Y350" s="925">
        <v>0</v>
      </c>
      <c r="Z350" s="921">
        <v>157894.71</v>
      </c>
      <c r="AA350" s="925">
        <v>0</v>
      </c>
    </row>
    <row r="351" spans="1:27" s="875" customFormat="1" ht="94.9" customHeight="1">
      <c r="A351" s="927">
        <v>139</v>
      </c>
      <c r="B351" s="863" t="s">
        <v>1971</v>
      </c>
      <c r="C351" s="925">
        <f>D351+N351+P351+R351+T351+X351+Z351</f>
        <v>2967810.4099999997</v>
      </c>
      <c r="D351" s="925">
        <f>SUM(E351:J351)</f>
        <v>0</v>
      </c>
      <c r="E351" s="925">
        <v>0</v>
      </c>
      <c r="F351" s="925">
        <v>0</v>
      </c>
      <c r="G351" s="925">
        <v>0</v>
      </c>
      <c r="H351" s="925">
        <v>0</v>
      </c>
      <c r="I351" s="925">
        <v>0</v>
      </c>
      <c r="J351" s="925">
        <v>0</v>
      </c>
      <c r="K351" s="861">
        <v>0</v>
      </c>
      <c r="L351" s="925">
        <v>0</v>
      </c>
      <c r="M351" s="925">
        <v>0</v>
      </c>
      <c r="N351" s="925">
        <v>0</v>
      </c>
      <c r="O351" s="925">
        <v>532</v>
      </c>
      <c r="P351" s="925">
        <v>2752244.01</v>
      </c>
      <c r="Q351" s="925">
        <v>0</v>
      </c>
      <c r="R351" s="925">
        <v>0</v>
      </c>
      <c r="S351" s="925">
        <v>0</v>
      </c>
      <c r="T351" s="925">
        <v>0</v>
      </c>
      <c r="U351" s="925">
        <v>0</v>
      </c>
      <c r="V351" s="925">
        <v>0</v>
      </c>
      <c r="W351" s="925">
        <v>0</v>
      </c>
      <c r="X351" s="925">
        <v>0</v>
      </c>
      <c r="Y351" s="925">
        <v>0</v>
      </c>
      <c r="Z351" s="921">
        <v>215566.4</v>
      </c>
      <c r="AA351" s="925">
        <v>0</v>
      </c>
    </row>
    <row r="352" spans="1:27" s="875" customFormat="1" ht="111" customHeight="1">
      <c r="A352" s="1198" t="s">
        <v>1187</v>
      </c>
      <c r="B352" s="1199"/>
      <c r="C352" s="925">
        <f>C353+C354+C355</f>
        <v>9225287.8499999996</v>
      </c>
      <c r="D352" s="925">
        <f t="shared" ref="D352:AA352" si="90">D353+D354+D355</f>
        <v>0</v>
      </c>
      <c r="E352" s="925">
        <f t="shared" si="90"/>
        <v>0</v>
      </c>
      <c r="F352" s="925">
        <f t="shared" si="90"/>
        <v>0</v>
      </c>
      <c r="G352" s="925">
        <f t="shared" si="90"/>
        <v>0</v>
      </c>
      <c r="H352" s="925">
        <f t="shared" si="90"/>
        <v>0</v>
      </c>
      <c r="I352" s="925">
        <f t="shared" si="90"/>
        <v>0</v>
      </c>
      <c r="J352" s="925">
        <f t="shared" si="90"/>
        <v>0</v>
      </c>
      <c r="K352" s="861">
        <f t="shared" si="90"/>
        <v>0</v>
      </c>
      <c r="L352" s="925">
        <f t="shared" si="90"/>
        <v>0</v>
      </c>
      <c r="M352" s="925">
        <f t="shared" si="90"/>
        <v>0</v>
      </c>
      <c r="N352" s="925">
        <f t="shared" si="90"/>
        <v>0</v>
      </c>
      <c r="O352" s="925">
        <f t="shared" si="90"/>
        <v>955</v>
      </c>
      <c r="P352" s="925">
        <f t="shared" si="90"/>
        <v>4940588.41</v>
      </c>
      <c r="Q352" s="925">
        <f t="shared" si="90"/>
        <v>0</v>
      </c>
      <c r="R352" s="925">
        <f t="shared" si="90"/>
        <v>0</v>
      </c>
      <c r="S352" s="925">
        <f t="shared" si="90"/>
        <v>405</v>
      </c>
      <c r="T352" s="925">
        <f t="shared" si="90"/>
        <v>1680315.35</v>
      </c>
      <c r="U352" s="925">
        <f t="shared" si="90"/>
        <v>405</v>
      </c>
      <c r="V352" s="925">
        <f t="shared" si="90"/>
        <v>1934306.89</v>
      </c>
      <c r="W352" s="925">
        <f t="shared" si="90"/>
        <v>0</v>
      </c>
      <c r="X352" s="925">
        <f t="shared" si="90"/>
        <v>0</v>
      </c>
      <c r="Y352" s="925">
        <f t="shared" si="90"/>
        <v>0</v>
      </c>
      <c r="Z352" s="921">
        <f t="shared" si="90"/>
        <v>670077.19999999995</v>
      </c>
      <c r="AA352" s="925">
        <f t="shared" si="90"/>
        <v>0</v>
      </c>
    </row>
    <row r="353" spans="1:27" s="867" customFormat="1" ht="78" customHeight="1">
      <c r="A353" s="927">
        <v>140</v>
      </c>
      <c r="B353" s="868" t="s">
        <v>1406</v>
      </c>
      <c r="C353" s="925">
        <f>D353+N353+P353+R353+T353+X353+Z353+V353</f>
        <v>2900867.32</v>
      </c>
      <c r="D353" s="925">
        <f>SUM(E353:J353)</f>
        <v>0</v>
      </c>
      <c r="E353" s="925">
        <v>0</v>
      </c>
      <c r="F353" s="925">
        <v>0</v>
      </c>
      <c r="G353" s="925">
        <v>0</v>
      </c>
      <c r="H353" s="925">
        <v>0</v>
      </c>
      <c r="I353" s="925">
        <v>0</v>
      </c>
      <c r="J353" s="925">
        <v>0</v>
      </c>
      <c r="K353" s="861">
        <v>0</v>
      </c>
      <c r="L353" s="925">
        <v>0</v>
      </c>
      <c r="M353" s="925">
        <v>0</v>
      </c>
      <c r="N353" s="925">
        <v>0</v>
      </c>
      <c r="O353" s="925">
        <v>520</v>
      </c>
      <c r="P353" s="925">
        <v>2690163.32</v>
      </c>
      <c r="Q353" s="925">
        <v>0</v>
      </c>
      <c r="R353" s="925">
        <v>0</v>
      </c>
      <c r="S353" s="925">
        <v>0</v>
      </c>
      <c r="T353" s="925">
        <v>0</v>
      </c>
      <c r="U353" s="925">
        <v>0</v>
      </c>
      <c r="V353" s="925">
        <v>0</v>
      </c>
      <c r="W353" s="925">
        <v>0</v>
      </c>
      <c r="X353" s="925">
        <v>0</v>
      </c>
      <c r="Y353" s="925">
        <v>0</v>
      </c>
      <c r="Z353" s="921">
        <v>210704</v>
      </c>
      <c r="AA353" s="925">
        <v>0</v>
      </c>
    </row>
    <row r="354" spans="1:27" s="867" customFormat="1" ht="91.5" customHeight="1">
      <c r="A354" s="927">
        <v>141</v>
      </c>
      <c r="B354" s="868" t="s">
        <v>1241</v>
      </c>
      <c r="C354" s="925">
        <f>D354+N354+P354+R354+T354+X354+Z354+V354</f>
        <v>3897733.44</v>
      </c>
      <c r="D354" s="925">
        <f>SUM(E354:J354)</f>
        <v>0</v>
      </c>
      <c r="E354" s="925">
        <v>0</v>
      </c>
      <c r="F354" s="925">
        <v>0</v>
      </c>
      <c r="G354" s="925">
        <v>0</v>
      </c>
      <c r="H354" s="925">
        <v>0</v>
      </c>
      <c r="I354" s="925">
        <v>0</v>
      </c>
      <c r="J354" s="925">
        <v>0</v>
      </c>
      <c r="K354" s="861">
        <v>0</v>
      </c>
      <c r="L354" s="925">
        <v>0</v>
      </c>
      <c r="M354" s="925">
        <v>0</v>
      </c>
      <c r="N354" s="925">
        <v>0</v>
      </c>
      <c r="O354" s="925">
        <v>0</v>
      </c>
      <c r="P354" s="925">
        <v>0</v>
      </c>
      <c r="Q354" s="925">
        <v>0</v>
      </c>
      <c r="R354" s="925">
        <v>0</v>
      </c>
      <c r="S354" s="925">
        <v>405</v>
      </c>
      <c r="T354" s="925">
        <v>1680315.35</v>
      </c>
      <c r="U354" s="925">
        <v>405</v>
      </c>
      <c r="V354" s="925">
        <v>1934306.89</v>
      </c>
      <c r="W354" s="925">
        <v>0</v>
      </c>
      <c r="X354" s="925">
        <v>0</v>
      </c>
      <c r="Y354" s="925">
        <v>0</v>
      </c>
      <c r="Z354" s="921">
        <v>283111.2</v>
      </c>
      <c r="AA354" s="925">
        <v>0</v>
      </c>
    </row>
    <row r="355" spans="1:27" s="867" customFormat="1" ht="99.75" customHeight="1">
      <c r="A355" s="927">
        <v>142</v>
      </c>
      <c r="B355" s="868" t="s">
        <v>1412</v>
      </c>
      <c r="C355" s="925">
        <f>D355+N355+P355+R355+T355+X355+Z355+V355</f>
        <v>2426687.09</v>
      </c>
      <c r="D355" s="925">
        <f>SUM(E355:J355)</f>
        <v>0</v>
      </c>
      <c r="E355" s="925">
        <v>0</v>
      </c>
      <c r="F355" s="925">
        <v>0</v>
      </c>
      <c r="G355" s="925">
        <v>0</v>
      </c>
      <c r="H355" s="925">
        <v>0</v>
      </c>
      <c r="I355" s="925">
        <v>0</v>
      </c>
      <c r="J355" s="925">
        <v>0</v>
      </c>
      <c r="K355" s="861">
        <v>0</v>
      </c>
      <c r="L355" s="925">
        <v>0</v>
      </c>
      <c r="M355" s="925">
        <v>0</v>
      </c>
      <c r="N355" s="925">
        <v>0</v>
      </c>
      <c r="O355" s="925">
        <v>435</v>
      </c>
      <c r="P355" s="925">
        <v>2250425.09</v>
      </c>
      <c r="Q355" s="925">
        <v>0</v>
      </c>
      <c r="R355" s="925">
        <v>0</v>
      </c>
      <c r="S355" s="925">
        <v>0</v>
      </c>
      <c r="T355" s="925">
        <v>0</v>
      </c>
      <c r="U355" s="925">
        <v>0</v>
      </c>
      <c r="V355" s="925">
        <v>0</v>
      </c>
      <c r="W355" s="925">
        <v>0</v>
      </c>
      <c r="X355" s="925">
        <v>0</v>
      </c>
      <c r="Y355" s="925">
        <v>0</v>
      </c>
      <c r="Z355" s="921">
        <v>176262</v>
      </c>
      <c r="AA355" s="925">
        <v>0</v>
      </c>
    </row>
    <row r="356" spans="1:27" s="867" customFormat="1" ht="99.75" customHeight="1">
      <c r="A356" s="1198" t="s">
        <v>2273</v>
      </c>
      <c r="B356" s="1199"/>
      <c r="C356" s="925">
        <v>223706</v>
      </c>
      <c r="D356" s="925">
        <v>0</v>
      </c>
      <c r="E356" s="925">
        <v>0</v>
      </c>
      <c r="F356" s="925">
        <v>0</v>
      </c>
      <c r="G356" s="925">
        <v>0</v>
      </c>
      <c r="H356" s="925">
        <v>0</v>
      </c>
      <c r="I356" s="925">
        <v>0</v>
      </c>
      <c r="J356" s="925">
        <v>0</v>
      </c>
      <c r="K356" s="861">
        <v>0</v>
      </c>
      <c r="L356" s="925">
        <v>0</v>
      </c>
      <c r="M356" s="925">
        <v>0</v>
      </c>
      <c r="N356" s="925">
        <v>0</v>
      </c>
      <c r="O356" s="925">
        <v>0</v>
      </c>
      <c r="P356" s="925">
        <v>0</v>
      </c>
      <c r="Q356" s="925">
        <v>0</v>
      </c>
      <c r="R356" s="925">
        <v>0</v>
      </c>
      <c r="S356" s="925">
        <v>0</v>
      </c>
      <c r="T356" s="925">
        <v>0</v>
      </c>
      <c r="U356" s="925">
        <v>0</v>
      </c>
      <c r="V356" s="925">
        <v>0</v>
      </c>
      <c r="W356" s="925">
        <v>0</v>
      </c>
      <c r="X356" s="925">
        <v>0</v>
      </c>
      <c r="Y356" s="925">
        <v>0</v>
      </c>
      <c r="Z356" s="921">
        <v>0</v>
      </c>
      <c r="AA356" s="925">
        <v>223706</v>
      </c>
    </row>
    <row r="357" spans="1:27" s="867" customFormat="1" ht="99.75" customHeight="1">
      <c r="A357" s="927">
        <v>143</v>
      </c>
      <c r="B357" s="863" t="s">
        <v>1994</v>
      </c>
      <c r="C357" s="925">
        <f>D357+N357+P357+R357+T357+X357+AA357</f>
        <v>223706</v>
      </c>
      <c r="D357" s="925">
        <v>0</v>
      </c>
      <c r="E357" s="925">
        <v>0</v>
      </c>
      <c r="F357" s="925">
        <v>0</v>
      </c>
      <c r="G357" s="925">
        <v>0</v>
      </c>
      <c r="H357" s="925">
        <v>0</v>
      </c>
      <c r="I357" s="925">
        <v>0</v>
      </c>
      <c r="J357" s="925">
        <v>0</v>
      </c>
      <c r="K357" s="861">
        <v>0</v>
      </c>
      <c r="L357" s="925">
        <v>0</v>
      </c>
      <c r="M357" s="925">
        <v>0</v>
      </c>
      <c r="N357" s="925">
        <v>0</v>
      </c>
      <c r="O357" s="925">
        <v>0</v>
      </c>
      <c r="P357" s="925">
        <v>0</v>
      </c>
      <c r="Q357" s="925">
        <v>0</v>
      </c>
      <c r="R357" s="925">
        <v>0</v>
      </c>
      <c r="S357" s="925">
        <v>0</v>
      </c>
      <c r="T357" s="925">
        <v>0</v>
      </c>
      <c r="U357" s="925">
        <v>0</v>
      </c>
      <c r="V357" s="925">
        <v>0</v>
      </c>
      <c r="W357" s="925">
        <v>0</v>
      </c>
      <c r="X357" s="925">
        <v>0</v>
      </c>
      <c r="Y357" s="925">
        <v>0</v>
      </c>
      <c r="Z357" s="921">
        <v>0</v>
      </c>
      <c r="AA357" s="925">
        <v>223706</v>
      </c>
    </row>
    <row r="358" spans="1:27" s="867" customFormat="1" ht="90" customHeight="1">
      <c r="A358" s="1198" t="s">
        <v>207</v>
      </c>
      <c r="B358" s="1199"/>
      <c r="C358" s="925">
        <f>C359+C360+C361+C362+C363</f>
        <v>26488505.43</v>
      </c>
      <c r="D358" s="925">
        <f t="shared" ref="D358:AA358" si="91">D359+D360+D361+D362+D363</f>
        <v>0</v>
      </c>
      <c r="E358" s="925">
        <f t="shared" si="91"/>
        <v>0</v>
      </c>
      <c r="F358" s="925">
        <f t="shared" si="91"/>
        <v>0</v>
      </c>
      <c r="G358" s="925">
        <f t="shared" si="91"/>
        <v>0</v>
      </c>
      <c r="H358" s="925">
        <f t="shared" si="91"/>
        <v>0</v>
      </c>
      <c r="I358" s="925">
        <f t="shared" si="91"/>
        <v>0</v>
      </c>
      <c r="J358" s="925">
        <f t="shared" si="91"/>
        <v>0</v>
      </c>
      <c r="K358" s="861">
        <f t="shared" si="91"/>
        <v>0</v>
      </c>
      <c r="L358" s="925">
        <f t="shared" si="91"/>
        <v>0</v>
      </c>
      <c r="M358" s="925">
        <f t="shared" si="91"/>
        <v>3</v>
      </c>
      <c r="N358" s="925">
        <f t="shared" si="91"/>
        <v>8948383.2599999998</v>
      </c>
      <c r="O358" s="925">
        <f t="shared" si="91"/>
        <v>2860.06</v>
      </c>
      <c r="P358" s="925">
        <f t="shared" si="91"/>
        <v>15616134.120000001</v>
      </c>
      <c r="Q358" s="925">
        <f t="shared" si="91"/>
        <v>0</v>
      </c>
      <c r="R358" s="925">
        <f t="shared" si="91"/>
        <v>0</v>
      </c>
      <c r="S358" s="925">
        <f t="shared" si="91"/>
        <v>0</v>
      </c>
      <c r="T358" s="925">
        <f t="shared" si="91"/>
        <v>0</v>
      </c>
      <c r="U358" s="925">
        <f t="shared" si="91"/>
        <v>0</v>
      </c>
      <c r="V358" s="925">
        <f t="shared" si="91"/>
        <v>0</v>
      </c>
      <c r="W358" s="925">
        <f t="shared" si="91"/>
        <v>0</v>
      </c>
      <c r="X358" s="925">
        <f t="shared" si="91"/>
        <v>0</v>
      </c>
      <c r="Y358" s="925">
        <f t="shared" si="91"/>
        <v>0</v>
      </c>
      <c r="Z358" s="921">
        <f t="shared" si="91"/>
        <v>1923988.05</v>
      </c>
      <c r="AA358" s="925">
        <f t="shared" si="91"/>
        <v>0</v>
      </c>
    </row>
    <row r="359" spans="1:27" s="867" customFormat="1" ht="93.6" customHeight="1">
      <c r="A359" s="927">
        <v>144</v>
      </c>
      <c r="B359" s="863" t="s">
        <v>1562</v>
      </c>
      <c r="C359" s="925">
        <f>D359+N359+P359+R359+T359+X359+Z359</f>
        <v>5645534.0900000008</v>
      </c>
      <c r="D359" s="925">
        <f>SUM(E359:J359)</f>
        <v>0</v>
      </c>
      <c r="E359" s="925">
        <v>0</v>
      </c>
      <c r="F359" s="925">
        <v>0</v>
      </c>
      <c r="G359" s="925">
        <v>0</v>
      </c>
      <c r="H359" s="925">
        <v>0</v>
      </c>
      <c r="I359" s="925">
        <v>0</v>
      </c>
      <c r="J359" s="925">
        <v>0</v>
      </c>
      <c r="K359" s="861">
        <v>0</v>
      </c>
      <c r="L359" s="925">
        <v>0</v>
      </c>
      <c r="M359" s="925">
        <v>0</v>
      </c>
      <c r="N359" s="925">
        <v>0</v>
      </c>
      <c r="O359" s="925">
        <v>1012</v>
      </c>
      <c r="P359" s="925">
        <v>5235471.6900000004</v>
      </c>
      <c r="Q359" s="925">
        <v>0</v>
      </c>
      <c r="R359" s="925">
        <v>0</v>
      </c>
      <c r="S359" s="925">
        <v>0</v>
      </c>
      <c r="T359" s="925">
        <v>0</v>
      </c>
      <c r="U359" s="925">
        <v>0</v>
      </c>
      <c r="V359" s="925">
        <v>0</v>
      </c>
      <c r="W359" s="925">
        <v>0</v>
      </c>
      <c r="X359" s="925">
        <v>0</v>
      </c>
      <c r="Y359" s="925">
        <v>0</v>
      </c>
      <c r="Z359" s="921">
        <v>410062.4</v>
      </c>
      <c r="AA359" s="925">
        <v>0</v>
      </c>
    </row>
    <row r="360" spans="1:27" s="867" customFormat="1" ht="99.6" customHeight="1">
      <c r="A360" s="927">
        <v>145</v>
      </c>
      <c r="B360" s="863" t="s">
        <v>1563</v>
      </c>
      <c r="C360" s="925">
        <f>D360+N360+P360+R360+T360+X360+Z360</f>
        <v>5645534.0900000008</v>
      </c>
      <c r="D360" s="925">
        <f>SUM(E360:J360)</f>
        <v>0</v>
      </c>
      <c r="E360" s="925">
        <v>0</v>
      </c>
      <c r="F360" s="925">
        <v>0</v>
      </c>
      <c r="G360" s="925">
        <v>0</v>
      </c>
      <c r="H360" s="925">
        <v>0</v>
      </c>
      <c r="I360" s="925">
        <v>0</v>
      </c>
      <c r="J360" s="925">
        <v>0</v>
      </c>
      <c r="K360" s="861">
        <v>0</v>
      </c>
      <c r="L360" s="925">
        <v>0</v>
      </c>
      <c r="M360" s="925">
        <v>0</v>
      </c>
      <c r="N360" s="925">
        <v>0</v>
      </c>
      <c r="O360" s="925">
        <v>1012</v>
      </c>
      <c r="P360" s="925">
        <v>5235471.6900000004</v>
      </c>
      <c r="Q360" s="925">
        <v>0</v>
      </c>
      <c r="R360" s="925">
        <v>0</v>
      </c>
      <c r="S360" s="925">
        <v>0</v>
      </c>
      <c r="T360" s="925">
        <v>0</v>
      </c>
      <c r="U360" s="925">
        <v>0</v>
      </c>
      <c r="V360" s="925">
        <v>0</v>
      </c>
      <c r="W360" s="925">
        <v>0</v>
      </c>
      <c r="X360" s="925">
        <v>0</v>
      </c>
      <c r="Y360" s="925">
        <v>0</v>
      </c>
      <c r="Z360" s="921">
        <v>410062.4</v>
      </c>
      <c r="AA360" s="925">
        <v>0</v>
      </c>
    </row>
    <row r="361" spans="1:27" s="867" customFormat="1" ht="102" customHeight="1">
      <c r="A361" s="927">
        <v>146</v>
      </c>
      <c r="B361" s="863" t="s">
        <v>1564</v>
      </c>
      <c r="C361" s="925">
        <f>D361+N361+P361+R361+T361+X361+Z361</f>
        <v>2100054.89</v>
      </c>
      <c r="D361" s="925">
        <f>SUM(E361:J361)</f>
        <v>0</v>
      </c>
      <c r="E361" s="925">
        <v>0</v>
      </c>
      <c r="F361" s="925">
        <v>0</v>
      </c>
      <c r="G361" s="925">
        <v>0</v>
      </c>
      <c r="H361" s="925">
        <v>0</v>
      </c>
      <c r="I361" s="925">
        <v>0</v>
      </c>
      <c r="J361" s="925">
        <v>0</v>
      </c>
      <c r="K361" s="861">
        <v>0</v>
      </c>
      <c r="L361" s="925">
        <v>0</v>
      </c>
      <c r="M361" s="925">
        <v>0</v>
      </c>
      <c r="N361" s="925">
        <v>0</v>
      </c>
      <c r="O361" s="925">
        <v>217.96</v>
      </c>
      <c r="P361" s="925">
        <v>1947517.76</v>
      </c>
      <c r="Q361" s="925">
        <v>0</v>
      </c>
      <c r="R361" s="925">
        <v>0</v>
      </c>
      <c r="S361" s="925">
        <v>0</v>
      </c>
      <c r="T361" s="925">
        <v>0</v>
      </c>
      <c r="U361" s="925">
        <v>0</v>
      </c>
      <c r="V361" s="925">
        <v>0</v>
      </c>
      <c r="W361" s="925">
        <v>0</v>
      </c>
      <c r="X361" s="925">
        <v>0</v>
      </c>
      <c r="Y361" s="925">
        <v>0</v>
      </c>
      <c r="Z361" s="921">
        <v>152537.13</v>
      </c>
      <c r="AA361" s="925">
        <v>0</v>
      </c>
    </row>
    <row r="362" spans="1:27" s="867" customFormat="1" ht="102" customHeight="1">
      <c r="A362" s="927">
        <v>147</v>
      </c>
      <c r="B362" s="863" t="s">
        <v>1571</v>
      </c>
      <c r="C362" s="925">
        <f>D362+N362+P362+R362+T362+X362+Z362</f>
        <v>9880963.9399999995</v>
      </c>
      <c r="D362" s="925">
        <f>SUM(E362:J362)</f>
        <v>0</v>
      </c>
      <c r="E362" s="925"/>
      <c r="F362" s="925"/>
      <c r="G362" s="925"/>
      <c r="H362" s="925"/>
      <c r="I362" s="925"/>
      <c r="J362" s="925"/>
      <c r="K362" s="861"/>
      <c r="L362" s="925"/>
      <c r="M362" s="925">
        <v>2</v>
      </c>
      <c r="N362" s="925">
        <v>5965588.8399999999</v>
      </c>
      <c r="O362" s="925">
        <v>618.1</v>
      </c>
      <c r="P362" s="925">
        <v>3197672.98</v>
      </c>
      <c r="Q362" s="925"/>
      <c r="R362" s="925"/>
      <c r="S362" s="925"/>
      <c r="T362" s="925"/>
      <c r="U362" s="925"/>
      <c r="V362" s="925"/>
      <c r="W362" s="925"/>
      <c r="X362" s="925"/>
      <c r="Y362" s="925"/>
      <c r="Z362" s="921">
        <v>717702.12</v>
      </c>
      <c r="AA362" s="925"/>
    </row>
    <row r="363" spans="1:27" s="867" customFormat="1" ht="86.45" customHeight="1">
      <c r="A363" s="927">
        <v>148</v>
      </c>
      <c r="B363" s="863" t="s">
        <v>508</v>
      </c>
      <c r="C363" s="925">
        <f>D363+N363+P363+R363+T363+X363+Z363</f>
        <v>3216418.42</v>
      </c>
      <c r="D363" s="925">
        <f>SUM(E363:J363)</f>
        <v>0</v>
      </c>
      <c r="E363" s="925">
        <v>0</v>
      </c>
      <c r="F363" s="925">
        <v>0</v>
      </c>
      <c r="G363" s="925">
        <v>0</v>
      </c>
      <c r="H363" s="925">
        <v>0</v>
      </c>
      <c r="I363" s="925">
        <v>0</v>
      </c>
      <c r="J363" s="925">
        <v>0</v>
      </c>
      <c r="K363" s="861">
        <v>0</v>
      </c>
      <c r="L363" s="925">
        <v>0</v>
      </c>
      <c r="M363" s="925">
        <v>1</v>
      </c>
      <c r="N363" s="925">
        <v>2982794.42</v>
      </c>
      <c r="O363" s="925">
        <v>0</v>
      </c>
      <c r="P363" s="925">
        <v>0</v>
      </c>
      <c r="Q363" s="925">
        <v>0</v>
      </c>
      <c r="R363" s="925">
        <v>0</v>
      </c>
      <c r="S363" s="925">
        <v>0</v>
      </c>
      <c r="T363" s="925">
        <v>0</v>
      </c>
      <c r="U363" s="925">
        <v>0</v>
      </c>
      <c r="V363" s="925">
        <v>0</v>
      </c>
      <c r="W363" s="925">
        <v>0</v>
      </c>
      <c r="X363" s="925">
        <v>0</v>
      </c>
      <c r="Y363" s="925">
        <v>0</v>
      </c>
      <c r="Z363" s="921">
        <v>233624</v>
      </c>
      <c r="AA363" s="925">
        <v>0</v>
      </c>
    </row>
    <row r="364" spans="1:27" s="867" customFormat="1" ht="73.900000000000006" customHeight="1">
      <c r="A364" s="1205" t="s">
        <v>1258</v>
      </c>
      <c r="B364" s="1205"/>
      <c r="C364" s="1205"/>
      <c r="D364" s="1205"/>
      <c r="E364" s="1205"/>
      <c r="F364" s="1205"/>
      <c r="G364" s="1205"/>
      <c r="H364" s="1205"/>
      <c r="I364" s="1205"/>
      <c r="J364" s="1205"/>
      <c r="K364" s="1205"/>
      <c r="L364" s="1205"/>
      <c r="M364" s="1205"/>
      <c r="N364" s="1205"/>
      <c r="O364" s="1205"/>
      <c r="P364" s="1205"/>
      <c r="Q364" s="1205"/>
      <c r="R364" s="1205"/>
      <c r="S364" s="1205"/>
      <c r="T364" s="1205"/>
      <c r="U364" s="1205"/>
      <c r="V364" s="1205"/>
      <c r="W364" s="1205"/>
      <c r="X364" s="1205"/>
      <c r="Y364" s="1205"/>
      <c r="Z364" s="1205"/>
      <c r="AA364" s="1205"/>
    </row>
    <row r="365" spans="1:27" s="867" customFormat="1" ht="88.9" customHeight="1">
      <c r="A365" s="1196" t="s">
        <v>205</v>
      </c>
      <c r="B365" s="1197"/>
      <c r="C365" s="925">
        <f t="shared" ref="C365:AA365" si="92">C366+C384+C397+C402+C404+C406+C409+C412+C414+C418+C420+C422+C424+C432+C435+C440+C445+C458+C460+C467+C470+C472+C478+C482+C484+C486+C488+C494+C390+C456+C480+C464</f>
        <v>685779244.22000003</v>
      </c>
      <c r="D365" s="925">
        <f t="shared" si="92"/>
        <v>108784310.06</v>
      </c>
      <c r="E365" s="925">
        <f t="shared" si="92"/>
        <v>19790008.949999996</v>
      </c>
      <c r="F365" s="925">
        <f t="shared" si="92"/>
        <v>46303476.849999994</v>
      </c>
      <c r="G365" s="925">
        <f t="shared" si="92"/>
        <v>3212358.67</v>
      </c>
      <c r="H365" s="925">
        <f t="shared" si="92"/>
        <v>14465576.879999999</v>
      </c>
      <c r="I365" s="925">
        <f t="shared" si="92"/>
        <v>15342438.359999999</v>
      </c>
      <c r="J365" s="925">
        <f t="shared" si="92"/>
        <v>9670450.3499999996</v>
      </c>
      <c r="K365" s="861">
        <f t="shared" si="92"/>
        <v>3</v>
      </c>
      <c r="L365" s="925">
        <f t="shared" si="92"/>
        <v>673929</v>
      </c>
      <c r="M365" s="925">
        <f t="shared" si="92"/>
        <v>4</v>
      </c>
      <c r="N365" s="925">
        <f t="shared" si="92"/>
        <v>12420354.74</v>
      </c>
      <c r="O365" s="925">
        <f t="shared" si="92"/>
        <v>54213.520000000004</v>
      </c>
      <c r="P365" s="925">
        <f t="shared" si="92"/>
        <v>415301808.60000008</v>
      </c>
      <c r="Q365" s="925">
        <f t="shared" si="92"/>
        <v>0</v>
      </c>
      <c r="R365" s="925">
        <f t="shared" si="92"/>
        <v>0</v>
      </c>
      <c r="S365" s="925">
        <f t="shared" si="92"/>
        <v>18936.93</v>
      </c>
      <c r="T365" s="925">
        <f t="shared" si="92"/>
        <v>80355478.63000001</v>
      </c>
      <c r="U365" s="925">
        <f t="shared" si="92"/>
        <v>3718</v>
      </c>
      <c r="V365" s="925">
        <f t="shared" si="92"/>
        <v>18482749.84</v>
      </c>
      <c r="W365" s="925">
        <f t="shared" si="92"/>
        <v>0</v>
      </c>
      <c r="X365" s="925">
        <f t="shared" si="92"/>
        <v>0</v>
      </c>
      <c r="Y365" s="925">
        <f t="shared" si="92"/>
        <v>0</v>
      </c>
      <c r="Z365" s="921">
        <f t="shared" si="92"/>
        <v>49760613.350000009</v>
      </c>
      <c r="AA365" s="925">
        <f t="shared" si="92"/>
        <v>0</v>
      </c>
    </row>
    <row r="366" spans="1:27" s="867" customFormat="1" ht="85.9" customHeight="1">
      <c r="A366" s="1198" t="s">
        <v>2271</v>
      </c>
      <c r="B366" s="1199"/>
      <c r="C366" s="925">
        <f t="shared" ref="C366:AA366" si="93">SUM(C367:C383)</f>
        <v>166554860.20000002</v>
      </c>
      <c r="D366" s="925">
        <f t="shared" si="93"/>
        <v>105302611.59</v>
      </c>
      <c r="E366" s="925">
        <f t="shared" si="93"/>
        <v>16308310.479999999</v>
      </c>
      <c r="F366" s="925">
        <f t="shared" si="93"/>
        <v>46303476.849999994</v>
      </c>
      <c r="G366" s="925">
        <f t="shared" si="93"/>
        <v>3212358.67</v>
      </c>
      <c r="H366" s="925">
        <f t="shared" si="93"/>
        <v>14465576.879999999</v>
      </c>
      <c r="I366" s="925">
        <f t="shared" si="93"/>
        <v>15342438.359999999</v>
      </c>
      <c r="J366" s="925">
        <f t="shared" si="93"/>
        <v>9670450.3499999996</v>
      </c>
      <c r="K366" s="861">
        <f t="shared" si="93"/>
        <v>3</v>
      </c>
      <c r="L366" s="925">
        <f t="shared" si="93"/>
        <v>673929</v>
      </c>
      <c r="M366" s="925">
        <f t="shared" si="93"/>
        <v>0</v>
      </c>
      <c r="N366" s="925">
        <f t="shared" si="93"/>
        <v>0</v>
      </c>
      <c r="O366" s="925">
        <f t="shared" si="93"/>
        <v>495.6</v>
      </c>
      <c r="P366" s="925">
        <f t="shared" si="93"/>
        <v>4610016.58</v>
      </c>
      <c r="Q366" s="925">
        <f t="shared" si="93"/>
        <v>0</v>
      </c>
      <c r="R366" s="925">
        <f t="shared" si="93"/>
        <v>0</v>
      </c>
      <c r="S366" s="925">
        <f t="shared" si="93"/>
        <v>8542.8999999999978</v>
      </c>
      <c r="T366" s="925">
        <f t="shared" si="93"/>
        <v>36901061.68</v>
      </c>
      <c r="U366" s="925">
        <f t="shared" si="93"/>
        <v>1402</v>
      </c>
      <c r="V366" s="925">
        <f t="shared" si="93"/>
        <v>6969557.6299999999</v>
      </c>
      <c r="W366" s="925">
        <f t="shared" si="93"/>
        <v>0</v>
      </c>
      <c r="X366" s="925">
        <f t="shared" si="93"/>
        <v>0</v>
      </c>
      <c r="Y366" s="925">
        <f t="shared" si="93"/>
        <v>0</v>
      </c>
      <c r="Z366" s="921">
        <f t="shared" si="93"/>
        <v>12097683.720000001</v>
      </c>
      <c r="AA366" s="925">
        <f t="shared" si="93"/>
        <v>0</v>
      </c>
    </row>
    <row r="367" spans="1:27" s="883" customFormat="1" ht="127.5" customHeight="1">
      <c r="A367" s="927">
        <v>1</v>
      </c>
      <c r="B367" s="868" t="s">
        <v>2179</v>
      </c>
      <c r="C367" s="925">
        <f>D367+L367+N367+P367+R367+T367+V367+X367+Z367</f>
        <v>14045704.829999998</v>
      </c>
      <c r="D367" s="925">
        <f>SUM(E367:J367)</f>
        <v>0</v>
      </c>
      <c r="E367" s="929">
        <v>0</v>
      </c>
      <c r="F367" s="929">
        <v>0</v>
      </c>
      <c r="G367" s="929">
        <v>0</v>
      </c>
      <c r="H367" s="929">
        <v>0</v>
      </c>
      <c r="I367" s="929">
        <v>0</v>
      </c>
      <c r="J367" s="929">
        <v>0</v>
      </c>
      <c r="K367" s="862">
        <v>0</v>
      </c>
      <c r="L367" s="929">
        <v>0</v>
      </c>
      <c r="M367" s="929">
        <v>0</v>
      </c>
      <c r="N367" s="929">
        <v>0</v>
      </c>
      <c r="O367" s="929">
        <v>0</v>
      </c>
      <c r="P367" s="929">
        <v>0</v>
      </c>
      <c r="Q367" s="929">
        <v>0</v>
      </c>
      <c r="R367" s="929">
        <v>0</v>
      </c>
      <c r="S367" s="882">
        <v>1402</v>
      </c>
      <c r="T367" s="882">
        <v>6055939.8399999999</v>
      </c>
      <c r="U367" s="882">
        <v>1402</v>
      </c>
      <c r="V367" s="929">
        <v>6969557.6299999999</v>
      </c>
      <c r="W367" s="929">
        <v>0</v>
      </c>
      <c r="X367" s="929">
        <v>0</v>
      </c>
      <c r="Y367" s="929">
        <v>0</v>
      </c>
      <c r="Z367" s="864">
        <v>1020207.36</v>
      </c>
      <c r="AA367" s="925">
        <v>0</v>
      </c>
    </row>
    <row r="368" spans="1:27" s="883" customFormat="1" ht="127.5" customHeight="1">
      <c r="A368" s="927">
        <v>2</v>
      </c>
      <c r="B368" s="868" t="s">
        <v>1923</v>
      </c>
      <c r="C368" s="925">
        <f t="shared" ref="C368:C383" si="94">D368+N368+P368+R368+T368+X368+Z368+L368</f>
        <v>16559001.150000002</v>
      </c>
      <c r="D368" s="925">
        <f t="shared" ref="D368:D383" si="95">SUM(E368:J368)</f>
        <v>15356240.950000001</v>
      </c>
      <c r="E368" s="929">
        <v>2029398.93</v>
      </c>
      <c r="F368" s="929">
        <v>5400662.2000000002</v>
      </c>
      <c r="G368" s="929">
        <v>0</v>
      </c>
      <c r="H368" s="929">
        <v>3254069.88</v>
      </c>
      <c r="I368" s="929">
        <v>3254069.88</v>
      </c>
      <c r="J368" s="929">
        <v>1418040.06</v>
      </c>
      <c r="K368" s="862">
        <v>0</v>
      </c>
      <c r="L368" s="929">
        <v>0</v>
      </c>
      <c r="M368" s="929">
        <v>0</v>
      </c>
      <c r="N368" s="929">
        <v>0</v>
      </c>
      <c r="O368" s="929">
        <v>0</v>
      </c>
      <c r="P368" s="929">
        <v>0</v>
      </c>
      <c r="Q368" s="929">
        <v>0</v>
      </c>
      <c r="R368" s="929">
        <v>0</v>
      </c>
      <c r="S368" s="929">
        <v>0</v>
      </c>
      <c r="T368" s="929">
        <v>0</v>
      </c>
      <c r="U368" s="929">
        <v>0</v>
      </c>
      <c r="V368" s="929">
        <v>0</v>
      </c>
      <c r="W368" s="929">
        <v>0</v>
      </c>
      <c r="X368" s="929">
        <v>0</v>
      </c>
      <c r="Y368" s="929">
        <v>0</v>
      </c>
      <c r="Z368" s="864">
        <v>1202760.2000000002</v>
      </c>
      <c r="AA368" s="925">
        <v>0</v>
      </c>
    </row>
    <row r="369" spans="1:27" s="883" customFormat="1" ht="127.5" customHeight="1">
      <c r="A369" s="927">
        <v>3</v>
      </c>
      <c r="B369" s="868" t="s">
        <v>2011</v>
      </c>
      <c r="C369" s="925">
        <f t="shared" si="94"/>
        <v>27373618.790000003</v>
      </c>
      <c r="D369" s="925">
        <f t="shared" si="95"/>
        <v>25385340.690000001</v>
      </c>
      <c r="E369" s="929">
        <v>0</v>
      </c>
      <c r="F369" s="929">
        <v>20106120.600000001</v>
      </c>
      <c r="G369" s="929">
        <v>0</v>
      </c>
      <c r="H369" s="929">
        <v>0</v>
      </c>
      <c r="I369" s="929">
        <v>0</v>
      </c>
      <c r="J369" s="929">
        <v>5279220.09</v>
      </c>
      <c r="K369" s="862">
        <v>0</v>
      </c>
      <c r="L369" s="929">
        <v>0</v>
      </c>
      <c r="M369" s="929">
        <v>0</v>
      </c>
      <c r="N369" s="929">
        <v>0</v>
      </c>
      <c r="O369" s="929">
        <v>0</v>
      </c>
      <c r="P369" s="929">
        <v>0</v>
      </c>
      <c r="Q369" s="929">
        <v>0</v>
      </c>
      <c r="R369" s="929">
        <v>0</v>
      </c>
      <c r="S369" s="929">
        <v>0</v>
      </c>
      <c r="T369" s="929">
        <v>0</v>
      </c>
      <c r="U369" s="929">
        <v>0</v>
      </c>
      <c r="V369" s="929">
        <v>0</v>
      </c>
      <c r="W369" s="929">
        <v>0</v>
      </c>
      <c r="X369" s="929">
        <v>0</v>
      </c>
      <c r="Y369" s="929">
        <v>0</v>
      </c>
      <c r="Z369" s="864">
        <v>1988278.1</v>
      </c>
      <c r="AA369" s="925">
        <v>0</v>
      </c>
    </row>
    <row r="370" spans="1:27" s="883" customFormat="1" ht="127.5" customHeight="1">
      <c r="A370" s="927">
        <v>4</v>
      </c>
      <c r="B370" s="868" t="s">
        <v>2012</v>
      </c>
      <c r="C370" s="925">
        <f t="shared" si="94"/>
        <v>4706272.7299999995</v>
      </c>
      <c r="D370" s="925">
        <f t="shared" si="95"/>
        <v>4364433.42</v>
      </c>
      <c r="E370" s="929">
        <v>4364433.42</v>
      </c>
      <c r="F370" s="929">
        <v>0</v>
      </c>
      <c r="G370" s="929">
        <v>0</v>
      </c>
      <c r="H370" s="929">
        <v>0</v>
      </c>
      <c r="I370" s="929">
        <v>0</v>
      </c>
      <c r="J370" s="929">
        <v>0</v>
      </c>
      <c r="K370" s="862">
        <v>0</v>
      </c>
      <c r="L370" s="929">
        <v>0</v>
      </c>
      <c r="M370" s="929">
        <v>0</v>
      </c>
      <c r="N370" s="929">
        <v>0</v>
      </c>
      <c r="O370" s="929">
        <v>0</v>
      </c>
      <c r="P370" s="929">
        <v>0</v>
      </c>
      <c r="Q370" s="929">
        <v>0</v>
      </c>
      <c r="R370" s="929">
        <v>0</v>
      </c>
      <c r="S370" s="929">
        <v>0</v>
      </c>
      <c r="T370" s="929">
        <v>0</v>
      </c>
      <c r="U370" s="929">
        <v>0</v>
      </c>
      <c r="V370" s="929">
        <v>0</v>
      </c>
      <c r="W370" s="929">
        <v>0</v>
      </c>
      <c r="X370" s="929">
        <v>0</v>
      </c>
      <c r="Y370" s="929">
        <v>0</v>
      </c>
      <c r="Z370" s="864">
        <v>341839.31</v>
      </c>
      <c r="AA370" s="925">
        <v>0</v>
      </c>
    </row>
    <row r="371" spans="1:27" s="883" customFormat="1" ht="127.5" customHeight="1">
      <c r="A371" s="927">
        <v>5</v>
      </c>
      <c r="B371" s="868" t="s">
        <v>1638</v>
      </c>
      <c r="C371" s="925">
        <f t="shared" si="94"/>
        <v>6506317.5099999998</v>
      </c>
      <c r="D371" s="925">
        <f t="shared" si="95"/>
        <v>1423715.67</v>
      </c>
      <c r="E371" s="929">
        <v>546854.18999999994</v>
      </c>
      <c r="F371" s="929">
        <v>0</v>
      </c>
      <c r="G371" s="929">
        <v>0</v>
      </c>
      <c r="H371" s="929">
        <v>0</v>
      </c>
      <c r="I371" s="929">
        <v>876861.48</v>
      </c>
      <c r="J371" s="929">
        <v>0</v>
      </c>
      <c r="K371" s="862">
        <v>0</v>
      </c>
      <c r="L371" s="929">
        <v>0</v>
      </c>
      <c r="M371" s="929">
        <v>0</v>
      </c>
      <c r="N371" s="929">
        <v>0</v>
      </c>
      <c r="O371" s="929">
        <v>495.6</v>
      </c>
      <c r="P371" s="929">
        <v>4610016.58</v>
      </c>
      <c r="Q371" s="929">
        <v>0</v>
      </c>
      <c r="R371" s="929">
        <v>0</v>
      </c>
      <c r="S371" s="929">
        <v>0</v>
      </c>
      <c r="T371" s="929">
        <v>0</v>
      </c>
      <c r="U371" s="929">
        <v>0</v>
      </c>
      <c r="V371" s="929">
        <v>0</v>
      </c>
      <c r="W371" s="929">
        <v>0</v>
      </c>
      <c r="X371" s="929">
        <v>0</v>
      </c>
      <c r="Y371" s="929">
        <v>0</v>
      </c>
      <c r="Z371" s="864">
        <v>472585.26</v>
      </c>
      <c r="AA371" s="925">
        <v>0</v>
      </c>
    </row>
    <row r="372" spans="1:27" s="883" customFormat="1" ht="127.5" customHeight="1">
      <c r="A372" s="927">
        <v>6</v>
      </c>
      <c r="B372" s="868" t="s">
        <v>2180</v>
      </c>
      <c r="C372" s="925">
        <f t="shared" si="94"/>
        <v>14877184.949999999</v>
      </c>
      <c r="D372" s="925">
        <f t="shared" si="95"/>
        <v>3431077.59</v>
      </c>
      <c r="E372" s="929">
        <v>3431077.59</v>
      </c>
      <c r="F372" s="929">
        <v>0</v>
      </c>
      <c r="G372" s="929">
        <v>0</v>
      </c>
      <c r="H372" s="929">
        <v>0</v>
      </c>
      <c r="I372" s="929">
        <v>0</v>
      </c>
      <c r="J372" s="929">
        <v>0</v>
      </c>
      <c r="K372" s="862">
        <v>0</v>
      </c>
      <c r="L372" s="929">
        <v>0</v>
      </c>
      <c r="M372" s="929">
        <v>0</v>
      </c>
      <c r="N372" s="929">
        <v>0</v>
      </c>
      <c r="O372" s="929">
        <v>0</v>
      </c>
      <c r="P372" s="929">
        <v>0</v>
      </c>
      <c r="Q372" s="929">
        <v>0</v>
      </c>
      <c r="R372" s="929">
        <v>0</v>
      </c>
      <c r="S372" s="929">
        <v>2399.6999999999998</v>
      </c>
      <c r="T372" s="929">
        <v>10365505.59</v>
      </c>
      <c r="U372" s="929">
        <v>0</v>
      </c>
      <c r="V372" s="929">
        <v>0</v>
      </c>
      <c r="W372" s="929">
        <v>0</v>
      </c>
      <c r="X372" s="929">
        <v>0</v>
      </c>
      <c r="Y372" s="929">
        <v>0</v>
      </c>
      <c r="Z372" s="864">
        <v>1080601.77</v>
      </c>
      <c r="AA372" s="925">
        <v>0</v>
      </c>
    </row>
    <row r="373" spans="1:27" s="883" customFormat="1" ht="127.5" customHeight="1">
      <c r="A373" s="927">
        <v>7</v>
      </c>
      <c r="B373" s="868" t="s">
        <v>1639</v>
      </c>
      <c r="C373" s="925">
        <f t="shared" si="94"/>
        <v>424555.56</v>
      </c>
      <c r="D373" s="925">
        <f t="shared" si="95"/>
        <v>393718.04</v>
      </c>
      <c r="E373" s="929">
        <v>393718.04</v>
      </c>
      <c r="F373" s="929">
        <v>0</v>
      </c>
      <c r="G373" s="929">
        <v>0</v>
      </c>
      <c r="H373" s="929">
        <v>0</v>
      </c>
      <c r="I373" s="929">
        <v>0</v>
      </c>
      <c r="J373" s="929">
        <v>0</v>
      </c>
      <c r="K373" s="862">
        <v>0</v>
      </c>
      <c r="L373" s="929">
        <v>0</v>
      </c>
      <c r="M373" s="929">
        <v>0</v>
      </c>
      <c r="N373" s="929">
        <v>0</v>
      </c>
      <c r="O373" s="929">
        <v>0</v>
      </c>
      <c r="P373" s="929">
        <v>0</v>
      </c>
      <c r="Q373" s="929">
        <v>0</v>
      </c>
      <c r="R373" s="929">
        <v>0</v>
      </c>
      <c r="S373" s="929">
        <v>0</v>
      </c>
      <c r="T373" s="929">
        <v>0</v>
      </c>
      <c r="U373" s="929">
        <v>0</v>
      </c>
      <c r="V373" s="929">
        <v>0</v>
      </c>
      <c r="W373" s="929">
        <v>0</v>
      </c>
      <c r="X373" s="929">
        <v>0</v>
      </c>
      <c r="Y373" s="929">
        <v>0</v>
      </c>
      <c r="Z373" s="864">
        <v>30837.52</v>
      </c>
      <c r="AA373" s="925">
        <v>0</v>
      </c>
    </row>
    <row r="374" spans="1:27" s="883" customFormat="1" ht="127.5" customHeight="1">
      <c r="A374" s="927">
        <v>8</v>
      </c>
      <c r="B374" s="868" t="s">
        <v>2013</v>
      </c>
      <c r="C374" s="925">
        <f t="shared" si="94"/>
        <v>8740866.1400000006</v>
      </c>
      <c r="D374" s="925">
        <f t="shared" si="95"/>
        <v>0</v>
      </c>
      <c r="E374" s="929">
        <v>0</v>
      </c>
      <c r="F374" s="929">
        <v>0</v>
      </c>
      <c r="G374" s="929">
        <v>0</v>
      </c>
      <c r="H374" s="929">
        <v>0</v>
      </c>
      <c r="I374" s="929">
        <v>0</v>
      </c>
      <c r="J374" s="929">
        <v>0</v>
      </c>
      <c r="K374" s="862">
        <v>0</v>
      </c>
      <c r="L374" s="929">
        <v>0</v>
      </c>
      <c r="M374" s="929">
        <v>0</v>
      </c>
      <c r="N374" s="929">
        <v>0</v>
      </c>
      <c r="O374" s="929">
        <v>0</v>
      </c>
      <c r="P374" s="929">
        <v>0</v>
      </c>
      <c r="Q374" s="929">
        <v>0</v>
      </c>
      <c r="R374" s="929">
        <v>0</v>
      </c>
      <c r="S374" s="929">
        <v>1876.6</v>
      </c>
      <c r="T374" s="929">
        <v>8105974.8300000001</v>
      </c>
      <c r="U374" s="929">
        <v>0</v>
      </c>
      <c r="V374" s="929">
        <v>0</v>
      </c>
      <c r="W374" s="929">
        <v>0</v>
      </c>
      <c r="X374" s="929">
        <v>0</v>
      </c>
      <c r="Y374" s="929">
        <v>0</v>
      </c>
      <c r="Z374" s="864">
        <v>634891.31000000006</v>
      </c>
      <c r="AA374" s="925">
        <v>0</v>
      </c>
    </row>
    <row r="375" spans="1:27" s="883" customFormat="1" ht="127.5" customHeight="1">
      <c r="A375" s="927">
        <v>9</v>
      </c>
      <c r="B375" s="868" t="s">
        <v>2026</v>
      </c>
      <c r="C375" s="925">
        <f t="shared" si="94"/>
        <v>2066589.97</v>
      </c>
      <c r="D375" s="925">
        <f t="shared" si="95"/>
        <v>1916483.56</v>
      </c>
      <c r="E375" s="929">
        <v>1916483.56</v>
      </c>
      <c r="F375" s="929">
        <v>0</v>
      </c>
      <c r="G375" s="929">
        <v>0</v>
      </c>
      <c r="H375" s="929">
        <v>0</v>
      </c>
      <c r="I375" s="929">
        <v>0</v>
      </c>
      <c r="J375" s="929">
        <v>0</v>
      </c>
      <c r="K375" s="862">
        <v>0</v>
      </c>
      <c r="L375" s="929">
        <v>0</v>
      </c>
      <c r="M375" s="929">
        <v>0</v>
      </c>
      <c r="N375" s="929">
        <v>0</v>
      </c>
      <c r="O375" s="929">
        <v>0</v>
      </c>
      <c r="P375" s="929">
        <v>0</v>
      </c>
      <c r="Q375" s="929">
        <v>0</v>
      </c>
      <c r="R375" s="929">
        <v>0</v>
      </c>
      <c r="S375" s="929">
        <v>0</v>
      </c>
      <c r="T375" s="929">
        <v>0</v>
      </c>
      <c r="U375" s="929">
        <v>0</v>
      </c>
      <c r="V375" s="929">
        <v>0</v>
      </c>
      <c r="W375" s="929">
        <v>0</v>
      </c>
      <c r="X375" s="929">
        <v>0</v>
      </c>
      <c r="Y375" s="929">
        <v>0</v>
      </c>
      <c r="Z375" s="864">
        <v>150106.41</v>
      </c>
      <c r="AA375" s="925">
        <v>0</v>
      </c>
    </row>
    <row r="376" spans="1:27" s="883" customFormat="1" ht="127.5" customHeight="1">
      <c r="A376" s="927">
        <v>10</v>
      </c>
      <c r="B376" s="868" t="s">
        <v>2181</v>
      </c>
      <c r="C376" s="925">
        <f t="shared" si="94"/>
        <v>1371051.24</v>
      </c>
      <c r="D376" s="925">
        <f t="shared" si="95"/>
        <v>1271465.17</v>
      </c>
      <c r="E376" s="929">
        <v>1271465.17</v>
      </c>
      <c r="F376" s="929">
        <v>0</v>
      </c>
      <c r="G376" s="929">
        <v>0</v>
      </c>
      <c r="H376" s="929">
        <v>0</v>
      </c>
      <c r="I376" s="929">
        <v>0</v>
      </c>
      <c r="J376" s="929">
        <v>0</v>
      </c>
      <c r="K376" s="862">
        <v>0</v>
      </c>
      <c r="L376" s="929">
        <v>0</v>
      </c>
      <c r="M376" s="929">
        <v>0</v>
      </c>
      <c r="N376" s="929">
        <v>0</v>
      </c>
      <c r="O376" s="929">
        <v>0</v>
      </c>
      <c r="P376" s="929">
        <v>0</v>
      </c>
      <c r="Q376" s="929">
        <v>0</v>
      </c>
      <c r="R376" s="929">
        <v>0</v>
      </c>
      <c r="S376" s="929">
        <v>0</v>
      </c>
      <c r="T376" s="929">
        <v>0</v>
      </c>
      <c r="U376" s="929">
        <v>0</v>
      </c>
      <c r="V376" s="929">
        <v>0</v>
      </c>
      <c r="W376" s="929">
        <v>0</v>
      </c>
      <c r="X376" s="929">
        <v>0</v>
      </c>
      <c r="Y376" s="929">
        <v>0</v>
      </c>
      <c r="Z376" s="864">
        <v>99586.07</v>
      </c>
      <c r="AA376" s="925">
        <v>0</v>
      </c>
    </row>
    <row r="377" spans="1:27" s="883" customFormat="1" ht="127.5" customHeight="1">
      <c r="A377" s="927">
        <v>11</v>
      </c>
      <c r="B377" s="868" t="s">
        <v>2016</v>
      </c>
      <c r="C377" s="925">
        <f t="shared" si="94"/>
        <v>2978210.49</v>
      </c>
      <c r="D377" s="925">
        <f t="shared" si="95"/>
        <v>0</v>
      </c>
      <c r="E377" s="929">
        <v>0</v>
      </c>
      <c r="F377" s="929">
        <v>0</v>
      </c>
      <c r="G377" s="929">
        <v>0</v>
      </c>
      <c r="H377" s="929">
        <v>0</v>
      </c>
      <c r="I377" s="929">
        <v>0</v>
      </c>
      <c r="J377" s="929">
        <v>0</v>
      </c>
      <c r="K377" s="862">
        <v>0</v>
      </c>
      <c r="L377" s="929">
        <v>0</v>
      </c>
      <c r="M377" s="929">
        <v>0</v>
      </c>
      <c r="N377" s="929">
        <v>0</v>
      </c>
      <c r="O377" s="929">
        <v>0</v>
      </c>
      <c r="P377" s="929">
        <v>0</v>
      </c>
      <c r="Q377" s="929">
        <v>0</v>
      </c>
      <c r="R377" s="929">
        <v>0</v>
      </c>
      <c r="S377" s="929">
        <v>639.4</v>
      </c>
      <c r="T377" s="929">
        <v>2761888.68</v>
      </c>
      <c r="U377" s="929">
        <v>0</v>
      </c>
      <c r="V377" s="929">
        <v>0</v>
      </c>
      <c r="W377" s="929">
        <v>0</v>
      </c>
      <c r="X377" s="929">
        <v>0</v>
      </c>
      <c r="Y377" s="929">
        <v>0</v>
      </c>
      <c r="Z377" s="864">
        <v>216321.81</v>
      </c>
      <c r="AA377" s="925">
        <v>0</v>
      </c>
    </row>
    <row r="378" spans="1:27" s="883" customFormat="1" ht="127.5" customHeight="1">
      <c r="A378" s="927">
        <v>12</v>
      </c>
      <c r="B378" s="868" t="s">
        <v>2017</v>
      </c>
      <c r="C378" s="925">
        <f t="shared" si="94"/>
        <v>3139828.39</v>
      </c>
      <c r="D378" s="925">
        <f t="shared" si="95"/>
        <v>2911767.49</v>
      </c>
      <c r="E378" s="929">
        <v>384803.67</v>
      </c>
      <c r="F378" s="929">
        <v>1024044.4</v>
      </c>
      <c r="G378" s="929">
        <v>0</v>
      </c>
      <c r="H378" s="929">
        <v>617019.16</v>
      </c>
      <c r="I378" s="929">
        <v>617019.16</v>
      </c>
      <c r="J378" s="929">
        <v>268881.09999999998</v>
      </c>
      <c r="K378" s="862">
        <v>0</v>
      </c>
      <c r="L378" s="929">
        <v>0</v>
      </c>
      <c r="M378" s="929">
        <v>0</v>
      </c>
      <c r="N378" s="929">
        <v>0</v>
      </c>
      <c r="O378" s="929">
        <v>0</v>
      </c>
      <c r="P378" s="929">
        <v>0</v>
      </c>
      <c r="Q378" s="929">
        <v>0</v>
      </c>
      <c r="R378" s="929">
        <v>0</v>
      </c>
      <c r="S378" s="929">
        <v>0</v>
      </c>
      <c r="T378" s="929">
        <v>0</v>
      </c>
      <c r="U378" s="929">
        <v>0</v>
      </c>
      <c r="V378" s="929">
        <v>0</v>
      </c>
      <c r="W378" s="929">
        <v>0</v>
      </c>
      <c r="X378" s="929">
        <v>0</v>
      </c>
      <c r="Y378" s="929">
        <v>0</v>
      </c>
      <c r="Z378" s="864">
        <v>228060.9</v>
      </c>
      <c r="AA378" s="925">
        <v>0</v>
      </c>
    </row>
    <row r="379" spans="1:27" s="883" customFormat="1" ht="127.5" customHeight="1">
      <c r="A379" s="927">
        <v>13</v>
      </c>
      <c r="B379" s="868" t="s">
        <v>2029</v>
      </c>
      <c r="C379" s="925">
        <f t="shared" si="94"/>
        <v>2124379.88</v>
      </c>
      <c r="D379" s="925">
        <f t="shared" si="95"/>
        <v>1970075.91</v>
      </c>
      <c r="E379" s="929">
        <v>1970075.91</v>
      </c>
      <c r="F379" s="929">
        <v>0</v>
      </c>
      <c r="G379" s="929">
        <v>0</v>
      </c>
      <c r="H379" s="929">
        <v>0</v>
      </c>
      <c r="I379" s="929">
        <v>0</v>
      </c>
      <c r="J379" s="929">
        <v>0</v>
      </c>
      <c r="K379" s="862">
        <v>0</v>
      </c>
      <c r="L379" s="929">
        <v>0</v>
      </c>
      <c r="M379" s="929">
        <v>0</v>
      </c>
      <c r="N379" s="929">
        <v>0</v>
      </c>
      <c r="O379" s="929">
        <v>0</v>
      </c>
      <c r="P379" s="929">
        <v>0</v>
      </c>
      <c r="Q379" s="929">
        <v>0</v>
      </c>
      <c r="R379" s="929">
        <v>0</v>
      </c>
      <c r="S379" s="929">
        <v>0</v>
      </c>
      <c r="T379" s="929">
        <v>0</v>
      </c>
      <c r="U379" s="929">
        <v>0</v>
      </c>
      <c r="V379" s="929">
        <v>0</v>
      </c>
      <c r="W379" s="929">
        <v>0</v>
      </c>
      <c r="X379" s="929">
        <v>0</v>
      </c>
      <c r="Y379" s="929">
        <v>0</v>
      </c>
      <c r="Z379" s="864">
        <v>154303.97</v>
      </c>
      <c r="AA379" s="925">
        <v>0</v>
      </c>
    </row>
    <row r="380" spans="1:27" s="883" customFormat="1" ht="127.5" customHeight="1">
      <c r="A380" s="927">
        <v>14</v>
      </c>
      <c r="B380" s="868" t="s">
        <v>2018</v>
      </c>
      <c r="C380" s="925">
        <f t="shared" si="94"/>
        <v>17319264.649999999</v>
      </c>
      <c r="D380" s="925">
        <f t="shared" si="95"/>
        <v>16061282.829999998</v>
      </c>
      <c r="E380" s="929">
        <v>0</v>
      </c>
      <c r="F380" s="929">
        <v>7283819.4299999997</v>
      </c>
      <c r="G380" s="929">
        <v>0</v>
      </c>
      <c r="H380" s="929">
        <v>4388731.7</v>
      </c>
      <c r="I380" s="929">
        <v>4388731.7</v>
      </c>
      <c r="J380" s="929">
        <v>0</v>
      </c>
      <c r="K380" s="862">
        <v>0</v>
      </c>
      <c r="L380" s="929">
        <v>0</v>
      </c>
      <c r="M380" s="929">
        <v>0</v>
      </c>
      <c r="N380" s="929">
        <v>0</v>
      </c>
      <c r="O380" s="929">
        <v>0</v>
      </c>
      <c r="P380" s="929">
        <v>0</v>
      </c>
      <c r="Q380" s="929">
        <v>0</v>
      </c>
      <c r="R380" s="929">
        <v>0</v>
      </c>
      <c r="S380" s="929">
        <v>0</v>
      </c>
      <c r="T380" s="929">
        <v>0</v>
      </c>
      <c r="U380" s="929">
        <v>0</v>
      </c>
      <c r="V380" s="929">
        <v>0</v>
      </c>
      <c r="W380" s="929">
        <v>0</v>
      </c>
      <c r="X380" s="929">
        <v>0</v>
      </c>
      <c r="Y380" s="929">
        <v>0</v>
      </c>
      <c r="Z380" s="864">
        <v>1257981.82</v>
      </c>
      <c r="AA380" s="925">
        <v>0</v>
      </c>
    </row>
    <row r="381" spans="1:27" s="883" customFormat="1" ht="127.5" customHeight="1">
      <c r="A381" s="927">
        <v>15</v>
      </c>
      <c r="B381" s="868" t="s">
        <v>1640</v>
      </c>
      <c r="C381" s="925">
        <f t="shared" si="94"/>
        <v>10364582.4</v>
      </c>
      <c r="D381" s="925">
        <f t="shared" si="95"/>
        <v>0</v>
      </c>
      <c r="E381" s="929">
        <v>0</v>
      </c>
      <c r="F381" s="929">
        <v>0</v>
      </c>
      <c r="G381" s="929">
        <v>0</v>
      </c>
      <c r="H381" s="929">
        <v>0</v>
      </c>
      <c r="I381" s="929">
        <v>0</v>
      </c>
      <c r="J381" s="929">
        <v>0</v>
      </c>
      <c r="K381" s="862">
        <v>0</v>
      </c>
      <c r="L381" s="929">
        <v>0</v>
      </c>
      <c r="M381" s="929">
        <v>0</v>
      </c>
      <c r="N381" s="929">
        <v>0</v>
      </c>
      <c r="O381" s="929">
        <v>0</v>
      </c>
      <c r="P381" s="929">
        <v>0</v>
      </c>
      <c r="Q381" s="929">
        <v>0</v>
      </c>
      <c r="R381" s="929">
        <v>0</v>
      </c>
      <c r="S381" s="929">
        <v>2225.1999999999998</v>
      </c>
      <c r="T381" s="929">
        <v>9611752.7400000002</v>
      </c>
      <c r="U381" s="929">
        <v>0</v>
      </c>
      <c r="V381" s="929">
        <v>0</v>
      </c>
      <c r="W381" s="929">
        <v>0</v>
      </c>
      <c r="X381" s="929">
        <v>0</v>
      </c>
      <c r="Y381" s="929">
        <v>0</v>
      </c>
      <c r="Z381" s="864">
        <v>752829.66</v>
      </c>
      <c r="AA381" s="925">
        <v>0</v>
      </c>
    </row>
    <row r="382" spans="1:27" s="883" customFormat="1" ht="127.5" customHeight="1">
      <c r="A382" s="927">
        <v>16</v>
      </c>
      <c r="B382" s="868" t="s">
        <v>1641</v>
      </c>
      <c r="C382" s="925">
        <f t="shared" si="94"/>
        <v>3463963.03</v>
      </c>
      <c r="D382" s="925">
        <f t="shared" si="95"/>
        <v>3212358.67</v>
      </c>
      <c r="E382" s="929">
        <v>0</v>
      </c>
      <c r="F382" s="929">
        <v>0</v>
      </c>
      <c r="G382" s="929">
        <v>3212358.67</v>
      </c>
      <c r="H382" s="929">
        <v>0</v>
      </c>
      <c r="I382" s="929">
        <v>0</v>
      </c>
      <c r="J382" s="929">
        <v>0</v>
      </c>
      <c r="K382" s="862">
        <v>0</v>
      </c>
      <c r="L382" s="929">
        <v>0</v>
      </c>
      <c r="M382" s="929">
        <v>0</v>
      </c>
      <c r="N382" s="929">
        <v>0</v>
      </c>
      <c r="O382" s="929">
        <v>0</v>
      </c>
      <c r="P382" s="929">
        <v>0</v>
      </c>
      <c r="Q382" s="929">
        <v>0</v>
      </c>
      <c r="R382" s="929">
        <v>0</v>
      </c>
      <c r="S382" s="929">
        <v>0</v>
      </c>
      <c r="T382" s="929">
        <v>0</v>
      </c>
      <c r="U382" s="929">
        <v>0</v>
      </c>
      <c r="V382" s="929">
        <v>0</v>
      </c>
      <c r="W382" s="929">
        <v>0</v>
      </c>
      <c r="X382" s="929">
        <v>0</v>
      </c>
      <c r="Y382" s="929">
        <v>0</v>
      </c>
      <c r="Z382" s="864">
        <v>251604.36</v>
      </c>
      <c r="AA382" s="925">
        <v>0</v>
      </c>
    </row>
    <row r="383" spans="1:27" s="883" customFormat="1" ht="127.5" customHeight="1">
      <c r="A383" s="927">
        <v>17</v>
      </c>
      <c r="B383" s="868" t="s">
        <v>2019</v>
      </c>
      <c r="C383" s="925">
        <f t="shared" si="94"/>
        <v>30493468.490000002</v>
      </c>
      <c r="D383" s="925">
        <f t="shared" si="95"/>
        <v>27604651.600000001</v>
      </c>
      <c r="E383" s="929">
        <v>0</v>
      </c>
      <c r="F383" s="929">
        <v>12488830.220000001</v>
      </c>
      <c r="G383" s="929">
        <v>0</v>
      </c>
      <c r="H383" s="929">
        <v>6205756.1399999997</v>
      </c>
      <c r="I383" s="929">
        <v>6205756.1399999997</v>
      </c>
      <c r="J383" s="929">
        <v>2704309.1</v>
      </c>
      <c r="K383" s="862">
        <v>3</v>
      </c>
      <c r="L383" s="929">
        <v>673929</v>
      </c>
      <c r="M383" s="929">
        <v>0</v>
      </c>
      <c r="N383" s="929">
        <v>0</v>
      </c>
      <c r="O383" s="929">
        <v>0</v>
      </c>
      <c r="P383" s="929">
        <v>0</v>
      </c>
      <c r="Q383" s="929">
        <v>0</v>
      </c>
      <c r="R383" s="929">
        <v>0</v>
      </c>
      <c r="S383" s="929">
        <v>0</v>
      </c>
      <c r="T383" s="929">
        <v>0</v>
      </c>
      <c r="U383" s="929">
        <v>0</v>
      </c>
      <c r="V383" s="929">
        <v>0</v>
      </c>
      <c r="W383" s="929">
        <v>0</v>
      </c>
      <c r="X383" s="929">
        <v>0</v>
      </c>
      <c r="Y383" s="929">
        <v>0</v>
      </c>
      <c r="Z383" s="864">
        <v>2214887.89</v>
      </c>
      <c r="AA383" s="925">
        <v>0</v>
      </c>
    </row>
    <row r="384" spans="1:27" s="867" customFormat="1" ht="98.25" customHeight="1">
      <c r="A384" s="1198" t="s">
        <v>2053</v>
      </c>
      <c r="B384" s="1199"/>
      <c r="C384" s="925">
        <f>SUM(C385:C389)</f>
        <v>38996940.149999999</v>
      </c>
      <c r="D384" s="925">
        <f t="shared" ref="D384:Z384" si="96">SUM(D385:D389)</f>
        <v>0</v>
      </c>
      <c r="E384" s="925">
        <f t="shared" si="96"/>
        <v>0</v>
      </c>
      <c r="F384" s="925">
        <f t="shared" si="96"/>
        <v>0</v>
      </c>
      <c r="G384" s="925">
        <f t="shared" si="96"/>
        <v>0</v>
      </c>
      <c r="H384" s="925">
        <f t="shared" si="96"/>
        <v>0</v>
      </c>
      <c r="I384" s="925">
        <f t="shared" si="96"/>
        <v>0</v>
      </c>
      <c r="J384" s="925">
        <f t="shared" si="96"/>
        <v>0</v>
      </c>
      <c r="K384" s="861">
        <f t="shared" si="96"/>
        <v>0</v>
      </c>
      <c r="L384" s="925">
        <f t="shared" si="96"/>
        <v>0</v>
      </c>
      <c r="M384" s="925">
        <f t="shared" si="96"/>
        <v>0</v>
      </c>
      <c r="N384" s="925">
        <f t="shared" si="96"/>
        <v>0</v>
      </c>
      <c r="O384" s="925">
        <f t="shared" si="96"/>
        <v>3951.58</v>
      </c>
      <c r="P384" s="925">
        <f t="shared" si="96"/>
        <v>36164404.089999996</v>
      </c>
      <c r="Q384" s="925">
        <f t="shared" si="96"/>
        <v>0</v>
      </c>
      <c r="R384" s="925">
        <f t="shared" si="96"/>
        <v>0</v>
      </c>
      <c r="S384" s="925">
        <f t="shared" si="96"/>
        <v>0</v>
      </c>
      <c r="T384" s="925">
        <f t="shared" si="96"/>
        <v>0</v>
      </c>
      <c r="U384" s="925">
        <f t="shared" si="96"/>
        <v>0</v>
      </c>
      <c r="V384" s="925">
        <f t="shared" si="96"/>
        <v>0</v>
      </c>
      <c r="W384" s="925">
        <f t="shared" si="96"/>
        <v>0</v>
      </c>
      <c r="X384" s="925">
        <f t="shared" si="96"/>
        <v>0</v>
      </c>
      <c r="Y384" s="925">
        <f t="shared" si="96"/>
        <v>0</v>
      </c>
      <c r="Z384" s="921">
        <f t="shared" si="96"/>
        <v>2832536.06</v>
      </c>
      <c r="AA384" s="925">
        <f>AA385+AA386+AA387+AA388+AA389</f>
        <v>0</v>
      </c>
    </row>
    <row r="385" spans="1:27" s="867" customFormat="1" ht="96" customHeight="1">
      <c r="A385" s="927">
        <v>18</v>
      </c>
      <c r="B385" s="868" t="s">
        <v>2182</v>
      </c>
      <c r="C385" s="925">
        <f>D385+N385+P385+R385+T385+X385+Z385</f>
        <v>8192871.4000000004</v>
      </c>
      <c r="D385" s="925">
        <f>SUM(E385:J385)</f>
        <v>0</v>
      </c>
      <c r="E385" s="925">
        <v>0</v>
      </c>
      <c r="F385" s="925">
        <v>0</v>
      </c>
      <c r="G385" s="925">
        <v>0</v>
      </c>
      <c r="H385" s="925">
        <v>0</v>
      </c>
      <c r="I385" s="925">
        <v>0</v>
      </c>
      <c r="J385" s="925">
        <v>0</v>
      </c>
      <c r="K385" s="861">
        <v>0</v>
      </c>
      <c r="L385" s="925">
        <v>0</v>
      </c>
      <c r="M385" s="925">
        <v>0</v>
      </c>
      <c r="N385" s="925">
        <v>0</v>
      </c>
      <c r="O385" s="925">
        <v>816.8</v>
      </c>
      <c r="P385" s="925">
        <v>7597783.5899999999</v>
      </c>
      <c r="Q385" s="925">
        <v>0</v>
      </c>
      <c r="R385" s="925">
        <v>0</v>
      </c>
      <c r="S385" s="925">
        <v>0</v>
      </c>
      <c r="T385" s="925">
        <v>0</v>
      </c>
      <c r="U385" s="925">
        <v>0</v>
      </c>
      <c r="V385" s="925">
        <v>0</v>
      </c>
      <c r="W385" s="925">
        <v>0</v>
      </c>
      <c r="X385" s="925">
        <v>0</v>
      </c>
      <c r="Y385" s="925">
        <v>0</v>
      </c>
      <c r="Z385" s="921">
        <v>595087.81000000006</v>
      </c>
      <c r="AA385" s="925">
        <v>0</v>
      </c>
    </row>
    <row r="386" spans="1:27" s="867" customFormat="1" ht="99" customHeight="1">
      <c r="A386" s="927">
        <v>19</v>
      </c>
      <c r="B386" s="868" t="s">
        <v>1608</v>
      </c>
      <c r="C386" s="925">
        <f>D386+N386+P386+R386+T386+X386+Z386</f>
        <v>4285565.57</v>
      </c>
      <c r="D386" s="925">
        <f>SUM(E386:J386)</f>
        <v>0</v>
      </c>
      <c r="E386" s="925">
        <v>0</v>
      </c>
      <c r="F386" s="925">
        <v>0</v>
      </c>
      <c r="G386" s="925">
        <v>0</v>
      </c>
      <c r="H386" s="925">
        <v>0</v>
      </c>
      <c r="I386" s="925">
        <v>0</v>
      </c>
      <c r="J386" s="925">
        <v>0</v>
      </c>
      <c r="K386" s="861">
        <v>0</v>
      </c>
      <c r="L386" s="925">
        <v>0</v>
      </c>
      <c r="M386" s="925">
        <v>0</v>
      </c>
      <c r="N386" s="925">
        <v>0</v>
      </c>
      <c r="O386" s="925">
        <v>490.98</v>
      </c>
      <c r="P386" s="925">
        <v>3974284.25</v>
      </c>
      <c r="Q386" s="925">
        <v>0</v>
      </c>
      <c r="R386" s="925">
        <v>0</v>
      </c>
      <c r="S386" s="925">
        <v>0</v>
      </c>
      <c r="T386" s="925">
        <v>0</v>
      </c>
      <c r="U386" s="925">
        <v>0</v>
      </c>
      <c r="V386" s="925">
        <v>0</v>
      </c>
      <c r="W386" s="925">
        <v>0</v>
      </c>
      <c r="X386" s="925">
        <v>0</v>
      </c>
      <c r="Y386" s="925">
        <v>0</v>
      </c>
      <c r="Z386" s="921">
        <v>311281.32</v>
      </c>
      <c r="AA386" s="925">
        <v>0</v>
      </c>
    </row>
    <row r="387" spans="1:27" s="867" customFormat="1" ht="101.25" customHeight="1">
      <c r="A387" s="927">
        <v>20</v>
      </c>
      <c r="B387" s="868" t="s">
        <v>2183</v>
      </c>
      <c r="C387" s="925">
        <f>D387+N387+P387+R387+T387+X387+Z387</f>
        <v>9478775.0599999987</v>
      </c>
      <c r="D387" s="925">
        <f>SUM(E387:J387)</f>
        <v>0</v>
      </c>
      <c r="E387" s="925">
        <v>0</v>
      </c>
      <c r="F387" s="925">
        <v>0</v>
      </c>
      <c r="G387" s="925">
        <v>0</v>
      </c>
      <c r="H387" s="925">
        <v>0</v>
      </c>
      <c r="I387" s="925">
        <v>0</v>
      </c>
      <c r="J387" s="925">
        <v>0</v>
      </c>
      <c r="K387" s="861">
        <v>0</v>
      </c>
      <c r="L387" s="925">
        <v>0</v>
      </c>
      <c r="M387" s="925">
        <v>0</v>
      </c>
      <c r="N387" s="925">
        <v>0</v>
      </c>
      <c r="O387" s="925">
        <v>945</v>
      </c>
      <c r="P387" s="925">
        <v>8790285.8599999994</v>
      </c>
      <c r="Q387" s="925">
        <v>0</v>
      </c>
      <c r="R387" s="925">
        <v>0</v>
      </c>
      <c r="S387" s="925">
        <v>0</v>
      </c>
      <c r="T387" s="925">
        <v>0</v>
      </c>
      <c r="U387" s="925">
        <v>0</v>
      </c>
      <c r="V387" s="925">
        <v>0</v>
      </c>
      <c r="W387" s="925">
        <v>0</v>
      </c>
      <c r="X387" s="925">
        <v>0</v>
      </c>
      <c r="Y387" s="925">
        <v>0</v>
      </c>
      <c r="Z387" s="921">
        <v>688489.2</v>
      </c>
      <c r="AA387" s="925">
        <v>0</v>
      </c>
    </row>
    <row r="388" spans="1:27" s="867" customFormat="1" ht="106.5" customHeight="1">
      <c r="A388" s="927">
        <v>21</v>
      </c>
      <c r="B388" s="868" t="s">
        <v>1610</v>
      </c>
      <c r="C388" s="925">
        <f>D388+N388+P388+R388+T388+X388+Z388</f>
        <v>5003188.3599999994</v>
      </c>
      <c r="D388" s="925">
        <f>SUM(E388:J388)</f>
        <v>0</v>
      </c>
      <c r="E388" s="925">
        <v>0</v>
      </c>
      <c r="F388" s="925">
        <v>0</v>
      </c>
      <c r="G388" s="925">
        <v>0</v>
      </c>
      <c r="H388" s="925">
        <v>0</v>
      </c>
      <c r="I388" s="925">
        <v>0</v>
      </c>
      <c r="J388" s="925">
        <v>0</v>
      </c>
      <c r="K388" s="861">
        <v>0</v>
      </c>
      <c r="L388" s="925">
        <v>0</v>
      </c>
      <c r="M388" s="925">
        <v>0</v>
      </c>
      <c r="N388" s="925">
        <v>0</v>
      </c>
      <c r="O388" s="925">
        <v>498.8</v>
      </c>
      <c r="P388" s="925">
        <v>4639782.63</v>
      </c>
      <c r="Q388" s="925">
        <v>0</v>
      </c>
      <c r="R388" s="925">
        <v>0</v>
      </c>
      <c r="S388" s="925">
        <v>0</v>
      </c>
      <c r="T388" s="925">
        <v>0</v>
      </c>
      <c r="U388" s="925">
        <v>0</v>
      </c>
      <c r="V388" s="925">
        <v>0</v>
      </c>
      <c r="W388" s="925">
        <v>0</v>
      </c>
      <c r="X388" s="925">
        <v>0</v>
      </c>
      <c r="Y388" s="925">
        <v>0</v>
      </c>
      <c r="Z388" s="921">
        <v>363405.73</v>
      </c>
      <c r="AA388" s="925">
        <v>0</v>
      </c>
    </row>
    <row r="389" spans="1:27" s="867" customFormat="1" ht="133.9" customHeight="1">
      <c r="A389" s="927">
        <v>22</v>
      </c>
      <c r="B389" s="924" t="s">
        <v>1611</v>
      </c>
      <c r="C389" s="925">
        <f>D389+N389+P389+R389+T389+X389+Z389</f>
        <v>12036539.76</v>
      </c>
      <c r="D389" s="925">
        <f>SUM(E389:J389)</f>
        <v>0</v>
      </c>
      <c r="E389" s="925">
        <v>0</v>
      </c>
      <c r="F389" s="925">
        <v>0</v>
      </c>
      <c r="G389" s="925">
        <v>0</v>
      </c>
      <c r="H389" s="925">
        <v>0</v>
      </c>
      <c r="I389" s="925">
        <v>0</v>
      </c>
      <c r="J389" s="925">
        <v>0</v>
      </c>
      <c r="K389" s="861">
        <v>0</v>
      </c>
      <c r="L389" s="925">
        <v>0</v>
      </c>
      <c r="M389" s="925">
        <v>0</v>
      </c>
      <c r="N389" s="925">
        <v>0</v>
      </c>
      <c r="O389" s="925">
        <v>1200</v>
      </c>
      <c r="P389" s="925">
        <v>11162267.76</v>
      </c>
      <c r="Q389" s="925">
        <v>0</v>
      </c>
      <c r="R389" s="925">
        <v>0</v>
      </c>
      <c r="S389" s="925">
        <v>0</v>
      </c>
      <c r="T389" s="925">
        <v>0</v>
      </c>
      <c r="U389" s="925">
        <v>0</v>
      </c>
      <c r="V389" s="925">
        <v>0</v>
      </c>
      <c r="W389" s="925">
        <v>0</v>
      </c>
      <c r="X389" s="925">
        <v>0</v>
      </c>
      <c r="Y389" s="925">
        <v>0</v>
      </c>
      <c r="Z389" s="921">
        <v>874272</v>
      </c>
      <c r="AA389" s="925">
        <v>0</v>
      </c>
    </row>
    <row r="390" spans="1:27" s="867" customFormat="1" ht="103.5" customHeight="1">
      <c r="A390" s="1198" t="s">
        <v>1186</v>
      </c>
      <c r="B390" s="1199"/>
      <c r="C390" s="925">
        <f>SUM(C391:C396)</f>
        <v>50076551.32</v>
      </c>
      <c r="D390" s="925">
        <f t="shared" ref="D390:AA390" si="97">SUM(D391:D396)</f>
        <v>0</v>
      </c>
      <c r="E390" s="925">
        <f t="shared" si="97"/>
        <v>0</v>
      </c>
      <c r="F390" s="925">
        <f t="shared" si="97"/>
        <v>0</v>
      </c>
      <c r="G390" s="925">
        <f t="shared" si="97"/>
        <v>0</v>
      </c>
      <c r="H390" s="925">
        <f t="shared" si="97"/>
        <v>0</v>
      </c>
      <c r="I390" s="925">
        <f t="shared" si="97"/>
        <v>0</v>
      </c>
      <c r="J390" s="925">
        <f t="shared" si="97"/>
        <v>0</v>
      </c>
      <c r="K390" s="861">
        <f t="shared" si="97"/>
        <v>0</v>
      </c>
      <c r="L390" s="925">
        <f t="shared" si="97"/>
        <v>0</v>
      </c>
      <c r="M390" s="925">
        <f t="shared" si="97"/>
        <v>0</v>
      </c>
      <c r="N390" s="925">
        <f t="shared" si="97"/>
        <v>0</v>
      </c>
      <c r="O390" s="925">
        <f t="shared" si="97"/>
        <v>6070.2</v>
      </c>
      <c r="P390" s="925">
        <f t="shared" si="97"/>
        <v>46439249.609999999</v>
      </c>
      <c r="Q390" s="925">
        <f t="shared" si="97"/>
        <v>0</v>
      </c>
      <c r="R390" s="925">
        <f t="shared" si="97"/>
        <v>0</v>
      </c>
      <c r="S390" s="925">
        <f t="shared" si="97"/>
        <v>0</v>
      </c>
      <c r="T390" s="925">
        <f t="shared" si="97"/>
        <v>0</v>
      </c>
      <c r="U390" s="925">
        <f t="shared" si="97"/>
        <v>0</v>
      </c>
      <c r="V390" s="925">
        <f t="shared" si="97"/>
        <v>0</v>
      </c>
      <c r="W390" s="925">
        <f t="shared" si="97"/>
        <v>0</v>
      </c>
      <c r="X390" s="925">
        <f t="shared" si="97"/>
        <v>0</v>
      </c>
      <c r="Y390" s="925">
        <f t="shared" si="97"/>
        <v>0</v>
      </c>
      <c r="Z390" s="921">
        <f t="shared" si="97"/>
        <v>3637301.71</v>
      </c>
      <c r="AA390" s="925">
        <f t="shared" si="97"/>
        <v>0</v>
      </c>
    </row>
    <row r="391" spans="1:27" s="867" customFormat="1" ht="108.75" customHeight="1">
      <c r="A391" s="927">
        <v>23</v>
      </c>
      <c r="B391" s="868" t="s">
        <v>1925</v>
      </c>
      <c r="C391" s="925">
        <f t="shared" ref="C391:C396" si="98">D391+N391+P391+R391+T391+X391+Z391</f>
        <v>5687265.0399999991</v>
      </c>
      <c r="D391" s="925">
        <f t="shared" ref="D391:D396" si="99">SUM(E391:J391)</f>
        <v>0</v>
      </c>
      <c r="E391" s="925">
        <v>0</v>
      </c>
      <c r="F391" s="925">
        <v>0</v>
      </c>
      <c r="G391" s="925">
        <v>0</v>
      </c>
      <c r="H391" s="925">
        <v>0</v>
      </c>
      <c r="I391" s="925">
        <v>0</v>
      </c>
      <c r="J391" s="925">
        <v>0</v>
      </c>
      <c r="K391" s="861">
        <v>0</v>
      </c>
      <c r="L391" s="925">
        <v>0</v>
      </c>
      <c r="M391" s="925">
        <v>0</v>
      </c>
      <c r="N391" s="925">
        <v>0</v>
      </c>
      <c r="O391" s="925">
        <v>567</v>
      </c>
      <c r="P391" s="925">
        <v>5274171.5199999996</v>
      </c>
      <c r="Q391" s="925">
        <v>0</v>
      </c>
      <c r="R391" s="922">
        <v>0</v>
      </c>
      <c r="S391" s="879">
        <v>0</v>
      </c>
      <c r="T391" s="879">
        <v>0</v>
      </c>
      <c r="U391" s="879">
        <v>0</v>
      </c>
      <c r="V391" s="879">
        <v>0</v>
      </c>
      <c r="W391" s="879">
        <v>0</v>
      </c>
      <c r="X391" s="879">
        <v>0</v>
      </c>
      <c r="Y391" s="879">
        <v>0</v>
      </c>
      <c r="Z391" s="871">
        <v>413093.52</v>
      </c>
      <c r="AA391" s="925">
        <v>0</v>
      </c>
    </row>
    <row r="392" spans="1:27" s="867" customFormat="1" ht="108.75" customHeight="1">
      <c r="A392" s="927">
        <v>24</v>
      </c>
      <c r="B392" s="868" t="s">
        <v>1926</v>
      </c>
      <c r="C392" s="925">
        <f t="shared" si="98"/>
        <v>5168837.1599999992</v>
      </c>
      <c r="D392" s="925">
        <f t="shared" si="99"/>
        <v>0</v>
      </c>
      <c r="E392" s="925">
        <v>0</v>
      </c>
      <c r="F392" s="925">
        <v>0</v>
      </c>
      <c r="G392" s="925">
        <v>0</v>
      </c>
      <c r="H392" s="925">
        <v>0</v>
      </c>
      <c r="I392" s="925">
        <v>0</v>
      </c>
      <c r="J392" s="925">
        <v>0</v>
      </c>
      <c r="K392" s="861">
        <v>0</v>
      </c>
      <c r="L392" s="925">
        <v>0</v>
      </c>
      <c r="M392" s="925">
        <v>0</v>
      </c>
      <c r="N392" s="925">
        <v>0</v>
      </c>
      <c r="O392" s="925">
        <v>890</v>
      </c>
      <c r="P392" s="925">
        <v>4793399.5599999996</v>
      </c>
      <c r="Q392" s="925">
        <v>0</v>
      </c>
      <c r="R392" s="922">
        <v>0</v>
      </c>
      <c r="S392" s="879">
        <v>0</v>
      </c>
      <c r="T392" s="879">
        <v>0</v>
      </c>
      <c r="U392" s="879">
        <v>0</v>
      </c>
      <c r="V392" s="879">
        <v>0</v>
      </c>
      <c r="W392" s="879">
        <v>0</v>
      </c>
      <c r="X392" s="879">
        <v>0</v>
      </c>
      <c r="Y392" s="879">
        <v>0</v>
      </c>
      <c r="Z392" s="871">
        <v>375437.6</v>
      </c>
      <c r="AA392" s="925">
        <v>0</v>
      </c>
    </row>
    <row r="393" spans="1:27" s="867" customFormat="1" ht="108.75" customHeight="1">
      <c r="A393" s="927">
        <v>25</v>
      </c>
      <c r="B393" s="868" t="s">
        <v>2184</v>
      </c>
      <c r="C393" s="925">
        <f t="shared" si="98"/>
        <v>10983342.529999999</v>
      </c>
      <c r="D393" s="925">
        <f t="shared" si="99"/>
        <v>0</v>
      </c>
      <c r="E393" s="925">
        <v>0</v>
      </c>
      <c r="F393" s="925">
        <v>0</v>
      </c>
      <c r="G393" s="925">
        <v>0</v>
      </c>
      <c r="H393" s="925">
        <v>0</v>
      </c>
      <c r="I393" s="925">
        <v>0</v>
      </c>
      <c r="J393" s="925">
        <v>0</v>
      </c>
      <c r="K393" s="861">
        <v>0</v>
      </c>
      <c r="L393" s="925">
        <v>0</v>
      </c>
      <c r="M393" s="925">
        <v>0</v>
      </c>
      <c r="N393" s="925">
        <v>0</v>
      </c>
      <c r="O393" s="925">
        <v>1095</v>
      </c>
      <c r="P393" s="925">
        <v>10185569.33</v>
      </c>
      <c r="Q393" s="925">
        <v>0</v>
      </c>
      <c r="R393" s="922">
        <v>0</v>
      </c>
      <c r="S393" s="879">
        <v>0</v>
      </c>
      <c r="T393" s="879">
        <v>0</v>
      </c>
      <c r="U393" s="879">
        <v>0</v>
      </c>
      <c r="V393" s="879">
        <v>0</v>
      </c>
      <c r="W393" s="879">
        <v>0</v>
      </c>
      <c r="X393" s="879">
        <v>0</v>
      </c>
      <c r="Y393" s="879">
        <v>0</v>
      </c>
      <c r="Z393" s="871">
        <v>797773.2</v>
      </c>
      <c r="AA393" s="925">
        <v>0</v>
      </c>
    </row>
    <row r="394" spans="1:27" s="867" customFormat="1" ht="108.75" customHeight="1">
      <c r="A394" s="927">
        <v>26</v>
      </c>
      <c r="B394" s="868" t="s">
        <v>1928</v>
      </c>
      <c r="C394" s="925">
        <f t="shared" si="98"/>
        <v>9698829.2700000014</v>
      </c>
      <c r="D394" s="925">
        <f t="shared" si="99"/>
        <v>0</v>
      </c>
      <c r="E394" s="925">
        <v>0</v>
      </c>
      <c r="F394" s="925">
        <v>0</v>
      </c>
      <c r="G394" s="925">
        <v>0</v>
      </c>
      <c r="H394" s="925">
        <v>0</v>
      </c>
      <c r="I394" s="925">
        <v>0</v>
      </c>
      <c r="J394" s="925">
        <v>0</v>
      </c>
      <c r="K394" s="861">
        <v>0</v>
      </c>
      <c r="L394" s="925">
        <v>0</v>
      </c>
      <c r="M394" s="925">
        <v>0</v>
      </c>
      <c r="N394" s="925">
        <v>0</v>
      </c>
      <c r="O394" s="925">
        <v>1670</v>
      </c>
      <c r="P394" s="925">
        <v>8994356.4700000007</v>
      </c>
      <c r="Q394" s="925">
        <v>0</v>
      </c>
      <c r="R394" s="922">
        <v>0</v>
      </c>
      <c r="S394" s="879">
        <v>0</v>
      </c>
      <c r="T394" s="879">
        <v>0</v>
      </c>
      <c r="U394" s="879">
        <v>0</v>
      </c>
      <c r="V394" s="879">
        <v>0</v>
      </c>
      <c r="W394" s="879">
        <v>0</v>
      </c>
      <c r="X394" s="879">
        <v>0</v>
      </c>
      <c r="Y394" s="879">
        <v>0</v>
      </c>
      <c r="Z394" s="871">
        <v>704472.8</v>
      </c>
      <c r="AA394" s="925">
        <v>0</v>
      </c>
    </row>
    <row r="395" spans="1:27" s="867" customFormat="1" ht="108.75" customHeight="1">
      <c r="A395" s="927">
        <v>27</v>
      </c>
      <c r="B395" s="868" t="s">
        <v>1929</v>
      </c>
      <c r="C395" s="925">
        <f t="shared" si="98"/>
        <v>5598997.0800000001</v>
      </c>
      <c r="D395" s="925">
        <f t="shared" si="99"/>
        <v>0</v>
      </c>
      <c r="E395" s="925">
        <v>0</v>
      </c>
      <c r="F395" s="925">
        <v>0</v>
      </c>
      <c r="G395" s="925">
        <v>0</v>
      </c>
      <c r="H395" s="925">
        <v>0</v>
      </c>
      <c r="I395" s="925">
        <v>0</v>
      </c>
      <c r="J395" s="925">
        <v>0</v>
      </c>
      <c r="K395" s="861">
        <v>0</v>
      </c>
      <c r="L395" s="925">
        <v>0</v>
      </c>
      <c r="M395" s="925">
        <v>0</v>
      </c>
      <c r="N395" s="925">
        <v>0</v>
      </c>
      <c r="O395" s="925">
        <v>558.20000000000005</v>
      </c>
      <c r="P395" s="925">
        <v>5192314.8899999997</v>
      </c>
      <c r="Q395" s="925">
        <v>0</v>
      </c>
      <c r="R395" s="922">
        <v>0</v>
      </c>
      <c r="S395" s="879">
        <v>0</v>
      </c>
      <c r="T395" s="879">
        <v>0</v>
      </c>
      <c r="U395" s="879">
        <v>0</v>
      </c>
      <c r="V395" s="879">
        <v>0</v>
      </c>
      <c r="W395" s="879">
        <v>0</v>
      </c>
      <c r="X395" s="879">
        <v>0</v>
      </c>
      <c r="Y395" s="879">
        <v>0</v>
      </c>
      <c r="Z395" s="871">
        <v>406682.19</v>
      </c>
      <c r="AA395" s="925">
        <v>0</v>
      </c>
    </row>
    <row r="396" spans="1:27" s="867" customFormat="1" ht="108.75" customHeight="1">
      <c r="A396" s="927">
        <v>28</v>
      </c>
      <c r="B396" s="868" t="s">
        <v>1930</v>
      </c>
      <c r="C396" s="925">
        <f t="shared" si="98"/>
        <v>12939280.24</v>
      </c>
      <c r="D396" s="925">
        <f t="shared" si="99"/>
        <v>0</v>
      </c>
      <c r="E396" s="925">
        <v>0</v>
      </c>
      <c r="F396" s="925">
        <v>0</v>
      </c>
      <c r="G396" s="925">
        <v>0</v>
      </c>
      <c r="H396" s="925">
        <v>0</v>
      </c>
      <c r="I396" s="925">
        <v>0</v>
      </c>
      <c r="J396" s="925">
        <v>0</v>
      </c>
      <c r="K396" s="861">
        <v>0</v>
      </c>
      <c r="L396" s="925">
        <v>0</v>
      </c>
      <c r="M396" s="925">
        <v>0</v>
      </c>
      <c r="N396" s="925">
        <v>0</v>
      </c>
      <c r="O396" s="925">
        <v>1290</v>
      </c>
      <c r="P396" s="925">
        <v>11999437.84</v>
      </c>
      <c r="Q396" s="925">
        <v>0</v>
      </c>
      <c r="R396" s="922">
        <v>0</v>
      </c>
      <c r="S396" s="879">
        <v>0</v>
      </c>
      <c r="T396" s="879">
        <v>0</v>
      </c>
      <c r="U396" s="879">
        <v>0</v>
      </c>
      <c r="V396" s="879">
        <v>0</v>
      </c>
      <c r="W396" s="879">
        <v>0</v>
      </c>
      <c r="X396" s="879">
        <v>0</v>
      </c>
      <c r="Y396" s="879">
        <v>0</v>
      </c>
      <c r="Z396" s="871">
        <v>939842.4</v>
      </c>
      <c r="AA396" s="925">
        <v>0</v>
      </c>
    </row>
    <row r="397" spans="1:27" s="867" customFormat="1" ht="88.9" customHeight="1">
      <c r="A397" s="1198" t="s">
        <v>2272</v>
      </c>
      <c r="B397" s="1199"/>
      <c r="C397" s="925">
        <f>SUM(C398:C401)</f>
        <v>17209242.719999999</v>
      </c>
      <c r="D397" s="925">
        <f t="shared" ref="D397:T397" si="100">SUM(D398:D401)</f>
        <v>0</v>
      </c>
      <c r="E397" s="925">
        <f t="shared" si="100"/>
        <v>0</v>
      </c>
      <c r="F397" s="925">
        <f t="shared" si="100"/>
        <v>0</v>
      </c>
      <c r="G397" s="925">
        <f t="shared" si="100"/>
        <v>0</v>
      </c>
      <c r="H397" s="925">
        <f t="shared" si="100"/>
        <v>0</v>
      </c>
      <c r="I397" s="925">
        <f t="shared" si="100"/>
        <v>0</v>
      </c>
      <c r="J397" s="925">
        <f t="shared" si="100"/>
        <v>0</v>
      </c>
      <c r="K397" s="861">
        <f t="shared" si="100"/>
        <v>0</v>
      </c>
      <c r="L397" s="925">
        <f t="shared" si="100"/>
        <v>0</v>
      </c>
      <c r="M397" s="925">
        <f t="shared" si="100"/>
        <v>0</v>
      </c>
      <c r="N397" s="925">
        <f t="shared" si="100"/>
        <v>0</v>
      </c>
      <c r="O397" s="925">
        <f t="shared" si="100"/>
        <v>1715.7</v>
      </c>
      <c r="P397" s="925">
        <f t="shared" si="100"/>
        <v>15959252.33</v>
      </c>
      <c r="Q397" s="925">
        <f t="shared" si="100"/>
        <v>0</v>
      </c>
      <c r="R397" s="925">
        <f t="shared" si="100"/>
        <v>0</v>
      </c>
      <c r="S397" s="925">
        <f t="shared" si="100"/>
        <v>0</v>
      </c>
      <c r="T397" s="925">
        <f t="shared" si="100"/>
        <v>0</v>
      </c>
      <c r="U397" s="925">
        <v>0</v>
      </c>
      <c r="V397" s="925">
        <v>0</v>
      </c>
      <c r="W397" s="925">
        <f>SUM(W398:W401)</f>
        <v>0</v>
      </c>
      <c r="X397" s="925">
        <f>SUM(X398:X401)</f>
        <v>0</v>
      </c>
      <c r="Y397" s="925">
        <f>SUM(Y398:Y401)</f>
        <v>0</v>
      </c>
      <c r="Z397" s="921">
        <f>SUM(Z398:Z401)</f>
        <v>1249990.3900000001</v>
      </c>
      <c r="AA397" s="925">
        <f>SUM(AA398:AA401)</f>
        <v>0</v>
      </c>
    </row>
    <row r="398" spans="1:27" s="867" customFormat="1" ht="90.75" customHeight="1">
      <c r="A398" s="927">
        <v>29</v>
      </c>
      <c r="B398" s="868" t="s">
        <v>1881</v>
      </c>
      <c r="C398" s="925">
        <f>D398+N398+P398+R398+T398+X398+Z398</f>
        <v>4445495.3499999996</v>
      </c>
      <c r="D398" s="925">
        <f>SUM(E398:J398)</f>
        <v>0</v>
      </c>
      <c r="E398" s="925">
        <v>0</v>
      </c>
      <c r="F398" s="925">
        <v>0</v>
      </c>
      <c r="G398" s="925">
        <v>0</v>
      </c>
      <c r="H398" s="925">
        <v>0</v>
      </c>
      <c r="I398" s="925">
        <v>0</v>
      </c>
      <c r="J398" s="925">
        <v>0</v>
      </c>
      <c r="K398" s="861">
        <v>0</v>
      </c>
      <c r="L398" s="925">
        <v>0</v>
      </c>
      <c r="M398" s="925">
        <v>0</v>
      </c>
      <c r="N398" s="925">
        <v>0</v>
      </c>
      <c r="O398" s="925">
        <v>443.2</v>
      </c>
      <c r="P398" s="925">
        <v>4122597.56</v>
      </c>
      <c r="Q398" s="925">
        <v>0</v>
      </c>
      <c r="R398" s="925">
        <v>0</v>
      </c>
      <c r="S398" s="925">
        <v>0</v>
      </c>
      <c r="T398" s="925">
        <v>0</v>
      </c>
      <c r="U398" s="925">
        <v>0</v>
      </c>
      <c r="V398" s="925">
        <v>0</v>
      </c>
      <c r="W398" s="925">
        <v>0</v>
      </c>
      <c r="X398" s="925">
        <v>0</v>
      </c>
      <c r="Y398" s="925">
        <v>0</v>
      </c>
      <c r="Z398" s="921">
        <v>322897.78999999998</v>
      </c>
      <c r="AA398" s="925">
        <v>0</v>
      </c>
    </row>
    <row r="399" spans="1:27" s="867" customFormat="1" ht="87.75" customHeight="1">
      <c r="A399" s="927">
        <v>30</v>
      </c>
      <c r="B399" s="868" t="s">
        <v>2185</v>
      </c>
      <c r="C399" s="925">
        <f>D399+N399+P399+R399+T399+X399+Z399</f>
        <v>6018269.8799999999</v>
      </c>
      <c r="D399" s="925">
        <f>SUM(E399:J399)</f>
        <v>0</v>
      </c>
      <c r="E399" s="925">
        <v>0</v>
      </c>
      <c r="F399" s="925">
        <v>0</v>
      </c>
      <c r="G399" s="925">
        <v>0</v>
      </c>
      <c r="H399" s="925">
        <v>0</v>
      </c>
      <c r="I399" s="925">
        <v>0</v>
      </c>
      <c r="J399" s="925">
        <v>0</v>
      </c>
      <c r="K399" s="861">
        <v>0</v>
      </c>
      <c r="L399" s="925">
        <v>0</v>
      </c>
      <c r="M399" s="925">
        <v>0</v>
      </c>
      <c r="N399" s="925">
        <v>0</v>
      </c>
      <c r="O399" s="925">
        <v>600</v>
      </c>
      <c r="P399" s="925">
        <v>5581133.8799999999</v>
      </c>
      <c r="Q399" s="925">
        <v>0</v>
      </c>
      <c r="R399" s="925">
        <v>0</v>
      </c>
      <c r="S399" s="925">
        <v>0</v>
      </c>
      <c r="T399" s="925">
        <v>0</v>
      </c>
      <c r="U399" s="925">
        <v>0</v>
      </c>
      <c r="V399" s="925">
        <v>0</v>
      </c>
      <c r="W399" s="925">
        <v>0</v>
      </c>
      <c r="X399" s="925">
        <v>0</v>
      </c>
      <c r="Y399" s="925">
        <v>0</v>
      </c>
      <c r="Z399" s="921">
        <v>437136</v>
      </c>
      <c r="AA399" s="925">
        <v>0</v>
      </c>
    </row>
    <row r="400" spans="1:27" s="867" customFormat="1" ht="110.25" customHeight="1">
      <c r="A400" s="927">
        <v>31</v>
      </c>
      <c r="B400" s="868" t="s">
        <v>1314</v>
      </c>
      <c r="C400" s="925">
        <f>D400+N400+P400+R400+T400+X400+Z400</f>
        <v>4012179.92</v>
      </c>
      <c r="D400" s="925">
        <f>SUM(E400:J400)</f>
        <v>0</v>
      </c>
      <c r="E400" s="925">
        <v>0</v>
      </c>
      <c r="F400" s="925">
        <v>0</v>
      </c>
      <c r="G400" s="925">
        <v>0</v>
      </c>
      <c r="H400" s="925">
        <v>0</v>
      </c>
      <c r="I400" s="925">
        <v>0</v>
      </c>
      <c r="J400" s="925">
        <v>0</v>
      </c>
      <c r="K400" s="861">
        <v>0</v>
      </c>
      <c r="L400" s="925">
        <v>0</v>
      </c>
      <c r="M400" s="925">
        <v>0</v>
      </c>
      <c r="N400" s="925">
        <v>0</v>
      </c>
      <c r="O400" s="925">
        <v>400</v>
      </c>
      <c r="P400" s="925">
        <v>3720755.92</v>
      </c>
      <c r="Q400" s="925">
        <v>0</v>
      </c>
      <c r="R400" s="925">
        <v>0</v>
      </c>
      <c r="S400" s="925">
        <v>0</v>
      </c>
      <c r="T400" s="925">
        <v>0</v>
      </c>
      <c r="U400" s="925">
        <v>0</v>
      </c>
      <c r="V400" s="925">
        <v>0</v>
      </c>
      <c r="W400" s="925">
        <v>0</v>
      </c>
      <c r="X400" s="925">
        <v>0</v>
      </c>
      <c r="Y400" s="925">
        <v>0</v>
      </c>
      <c r="Z400" s="921">
        <v>291424</v>
      </c>
      <c r="AA400" s="925">
        <v>0</v>
      </c>
    </row>
    <row r="401" spans="1:27" s="867" customFormat="1" ht="102" customHeight="1">
      <c r="A401" s="927">
        <v>32</v>
      </c>
      <c r="B401" s="868" t="s">
        <v>1315</v>
      </c>
      <c r="C401" s="925">
        <f>D401+N401+P401+R401+T401+X401+Z401</f>
        <v>2733297.5700000003</v>
      </c>
      <c r="D401" s="925">
        <f>SUM(E401:J401)</f>
        <v>0</v>
      </c>
      <c r="E401" s="925">
        <v>0</v>
      </c>
      <c r="F401" s="925">
        <v>0</v>
      </c>
      <c r="G401" s="925">
        <v>0</v>
      </c>
      <c r="H401" s="925">
        <v>0</v>
      </c>
      <c r="I401" s="925">
        <v>0</v>
      </c>
      <c r="J401" s="925">
        <v>0</v>
      </c>
      <c r="K401" s="861">
        <v>0</v>
      </c>
      <c r="L401" s="925">
        <v>0</v>
      </c>
      <c r="M401" s="925">
        <v>0</v>
      </c>
      <c r="N401" s="925">
        <v>0</v>
      </c>
      <c r="O401" s="925">
        <v>272.5</v>
      </c>
      <c r="P401" s="925">
        <v>2534764.9700000002</v>
      </c>
      <c r="Q401" s="925">
        <v>0</v>
      </c>
      <c r="R401" s="925">
        <v>0</v>
      </c>
      <c r="S401" s="925">
        <v>0</v>
      </c>
      <c r="T401" s="925">
        <v>0</v>
      </c>
      <c r="U401" s="925">
        <v>0</v>
      </c>
      <c r="V401" s="925">
        <v>0</v>
      </c>
      <c r="W401" s="925">
        <v>0</v>
      </c>
      <c r="X401" s="925">
        <v>0</v>
      </c>
      <c r="Y401" s="925">
        <v>0</v>
      </c>
      <c r="Z401" s="921">
        <v>198532.6</v>
      </c>
      <c r="AA401" s="925">
        <v>0</v>
      </c>
    </row>
    <row r="402" spans="1:27" s="867" customFormat="1" ht="97.15" customHeight="1">
      <c r="A402" s="1198" t="s">
        <v>2054</v>
      </c>
      <c r="B402" s="1199"/>
      <c r="C402" s="925">
        <f>C403</f>
        <v>14152964.67</v>
      </c>
      <c r="D402" s="925">
        <f t="shared" ref="D402:AA402" si="101">D403</f>
        <v>0</v>
      </c>
      <c r="E402" s="925">
        <f t="shared" si="101"/>
        <v>0</v>
      </c>
      <c r="F402" s="925">
        <f t="shared" si="101"/>
        <v>0</v>
      </c>
      <c r="G402" s="925">
        <f t="shared" si="101"/>
        <v>0</v>
      </c>
      <c r="H402" s="925">
        <f t="shared" si="101"/>
        <v>0</v>
      </c>
      <c r="I402" s="925">
        <f t="shared" si="101"/>
        <v>0</v>
      </c>
      <c r="J402" s="925">
        <f t="shared" si="101"/>
        <v>0</v>
      </c>
      <c r="K402" s="861">
        <f t="shared" si="101"/>
        <v>0</v>
      </c>
      <c r="L402" s="925">
        <f t="shared" si="101"/>
        <v>0</v>
      </c>
      <c r="M402" s="925">
        <f t="shared" si="101"/>
        <v>0</v>
      </c>
      <c r="N402" s="925">
        <f t="shared" si="101"/>
        <v>0</v>
      </c>
      <c r="O402" s="925">
        <f t="shared" si="101"/>
        <v>1411</v>
      </c>
      <c r="P402" s="925">
        <f t="shared" si="101"/>
        <v>13124966.51</v>
      </c>
      <c r="Q402" s="925">
        <f t="shared" si="101"/>
        <v>0</v>
      </c>
      <c r="R402" s="925">
        <f t="shared" si="101"/>
        <v>0</v>
      </c>
      <c r="S402" s="925">
        <f t="shared" si="101"/>
        <v>0</v>
      </c>
      <c r="T402" s="925">
        <f t="shared" si="101"/>
        <v>0</v>
      </c>
      <c r="U402" s="925">
        <f t="shared" si="101"/>
        <v>0</v>
      </c>
      <c r="V402" s="925">
        <f t="shared" si="101"/>
        <v>0</v>
      </c>
      <c r="W402" s="925">
        <f t="shared" si="101"/>
        <v>0</v>
      </c>
      <c r="X402" s="925">
        <f t="shared" si="101"/>
        <v>0</v>
      </c>
      <c r="Y402" s="925">
        <f t="shared" si="101"/>
        <v>0</v>
      </c>
      <c r="Z402" s="921">
        <f t="shared" si="101"/>
        <v>1027998.16</v>
      </c>
      <c r="AA402" s="925">
        <f t="shared" si="101"/>
        <v>0</v>
      </c>
    </row>
    <row r="403" spans="1:27" s="867" customFormat="1" ht="104.25" customHeight="1">
      <c r="A403" s="927">
        <v>33</v>
      </c>
      <c r="B403" s="863" t="s">
        <v>1460</v>
      </c>
      <c r="C403" s="925">
        <f>D403+N403+P403+R403+T403+X403+Z403+L403</f>
        <v>14152964.67</v>
      </c>
      <c r="D403" s="925">
        <f>SUM(E403:J403)</f>
        <v>0</v>
      </c>
      <c r="E403" s="925">
        <v>0</v>
      </c>
      <c r="F403" s="925">
        <v>0</v>
      </c>
      <c r="G403" s="925">
        <v>0</v>
      </c>
      <c r="H403" s="925">
        <v>0</v>
      </c>
      <c r="I403" s="925">
        <v>0</v>
      </c>
      <c r="J403" s="925">
        <v>0</v>
      </c>
      <c r="K403" s="861">
        <v>0</v>
      </c>
      <c r="L403" s="925">
        <v>0</v>
      </c>
      <c r="M403" s="925">
        <v>0</v>
      </c>
      <c r="N403" s="925">
        <v>0</v>
      </c>
      <c r="O403" s="925">
        <v>1411</v>
      </c>
      <c r="P403" s="925">
        <v>13124966.51</v>
      </c>
      <c r="Q403" s="925">
        <v>0</v>
      </c>
      <c r="R403" s="925">
        <v>0</v>
      </c>
      <c r="S403" s="925">
        <v>0</v>
      </c>
      <c r="T403" s="925">
        <v>0</v>
      </c>
      <c r="U403" s="925">
        <v>0</v>
      </c>
      <c r="V403" s="925">
        <v>0</v>
      </c>
      <c r="W403" s="925">
        <v>0</v>
      </c>
      <c r="X403" s="925">
        <v>0</v>
      </c>
      <c r="Y403" s="925">
        <v>0</v>
      </c>
      <c r="Z403" s="921">
        <v>1027998.16</v>
      </c>
      <c r="AA403" s="925">
        <v>0</v>
      </c>
    </row>
    <row r="404" spans="1:27" s="875" customFormat="1" ht="73.5" customHeight="1">
      <c r="A404" s="1198" t="s">
        <v>2055</v>
      </c>
      <c r="B404" s="1199"/>
      <c r="C404" s="925">
        <f>C405</f>
        <v>2284818.39</v>
      </c>
      <c r="D404" s="925">
        <f t="shared" ref="D404:AA404" si="102">D405</f>
        <v>2118861</v>
      </c>
      <c r="E404" s="925">
        <f t="shared" si="102"/>
        <v>2118861</v>
      </c>
      <c r="F404" s="925">
        <f t="shared" si="102"/>
        <v>0</v>
      </c>
      <c r="G404" s="925">
        <f t="shared" si="102"/>
        <v>0</v>
      </c>
      <c r="H404" s="925">
        <f t="shared" si="102"/>
        <v>0</v>
      </c>
      <c r="I404" s="925">
        <f t="shared" si="102"/>
        <v>0</v>
      </c>
      <c r="J404" s="925">
        <f t="shared" si="102"/>
        <v>0</v>
      </c>
      <c r="K404" s="861">
        <f t="shared" si="102"/>
        <v>0</v>
      </c>
      <c r="L404" s="925">
        <f t="shared" si="102"/>
        <v>0</v>
      </c>
      <c r="M404" s="925">
        <f t="shared" si="102"/>
        <v>0</v>
      </c>
      <c r="N404" s="925">
        <f t="shared" si="102"/>
        <v>0</v>
      </c>
      <c r="O404" s="925">
        <f t="shared" si="102"/>
        <v>0</v>
      </c>
      <c r="P404" s="925">
        <f t="shared" si="102"/>
        <v>0</v>
      </c>
      <c r="Q404" s="925">
        <f t="shared" si="102"/>
        <v>0</v>
      </c>
      <c r="R404" s="925">
        <f t="shared" si="102"/>
        <v>0</v>
      </c>
      <c r="S404" s="925">
        <f t="shared" si="102"/>
        <v>0</v>
      </c>
      <c r="T404" s="925">
        <f t="shared" si="102"/>
        <v>0</v>
      </c>
      <c r="U404" s="925">
        <v>0</v>
      </c>
      <c r="V404" s="925">
        <v>0</v>
      </c>
      <c r="W404" s="925">
        <f t="shared" si="102"/>
        <v>0</v>
      </c>
      <c r="X404" s="925">
        <f t="shared" si="102"/>
        <v>0</v>
      </c>
      <c r="Y404" s="925">
        <f t="shared" si="102"/>
        <v>0</v>
      </c>
      <c r="Z404" s="921">
        <f t="shared" si="102"/>
        <v>165957.39000000001</v>
      </c>
      <c r="AA404" s="925">
        <f t="shared" si="102"/>
        <v>0</v>
      </c>
    </row>
    <row r="405" spans="1:27" s="875" customFormat="1" ht="103.5" customHeight="1">
      <c r="A405" s="927">
        <v>34</v>
      </c>
      <c r="B405" s="863" t="s">
        <v>1382</v>
      </c>
      <c r="C405" s="925">
        <f>D405+N405+P405+R405+T405+X405+Z405+L405</f>
        <v>2284818.39</v>
      </c>
      <c r="D405" s="925">
        <f>SUM(E405:J405)</f>
        <v>2118861</v>
      </c>
      <c r="E405" s="925">
        <v>2118861</v>
      </c>
      <c r="F405" s="925">
        <v>0</v>
      </c>
      <c r="G405" s="925">
        <v>0</v>
      </c>
      <c r="H405" s="925">
        <v>0</v>
      </c>
      <c r="I405" s="925">
        <v>0</v>
      </c>
      <c r="J405" s="925">
        <v>0</v>
      </c>
      <c r="K405" s="861">
        <v>0</v>
      </c>
      <c r="L405" s="925">
        <v>0</v>
      </c>
      <c r="M405" s="925">
        <v>0</v>
      </c>
      <c r="N405" s="925">
        <v>0</v>
      </c>
      <c r="O405" s="925">
        <v>0</v>
      </c>
      <c r="P405" s="925">
        <v>0</v>
      </c>
      <c r="Q405" s="925">
        <v>0</v>
      </c>
      <c r="R405" s="925">
        <v>0</v>
      </c>
      <c r="S405" s="925">
        <v>0</v>
      </c>
      <c r="T405" s="925">
        <v>0</v>
      </c>
      <c r="U405" s="925">
        <v>0</v>
      </c>
      <c r="V405" s="925">
        <v>0</v>
      </c>
      <c r="W405" s="925">
        <v>0</v>
      </c>
      <c r="X405" s="925">
        <v>0</v>
      </c>
      <c r="Y405" s="925">
        <v>0</v>
      </c>
      <c r="Z405" s="921">
        <v>165957.39000000001</v>
      </c>
      <c r="AA405" s="925">
        <v>0</v>
      </c>
    </row>
    <row r="406" spans="1:27" s="875" customFormat="1" ht="88.9" customHeight="1">
      <c r="A406" s="1198" t="s">
        <v>1053</v>
      </c>
      <c r="B406" s="1199"/>
      <c r="C406" s="925">
        <f>C407+C408</f>
        <v>13399978.800000001</v>
      </c>
      <c r="D406" s="925">
        <f t="shared" ref="D406:AA406" si="103">D407+D408</f>
        <v>0</v>
      </c>
      <c r="E406" s="925">
        <f t="shared" si="103"/>
        <v>0</v>
      </c>
      <c r="F406" s="925">
        <f t="shared" si="103"/>
        <v>0</v>
      </c>
      <c r="G406" s="925">
        <f t="shared" si="103"/>
        <v>0</v>
      </c>
      <c r="H406" s="925">
        <f t="shared" si="103"/>
        <v>0</v>
      </c>
      <c r="I406" s="925">
        <f t="shared" si="103"/>
        <v>0</v>
      </c>
      <c r="J406" s="925">
        <f t="shared" si="103"/>
        <v>0</v>
      </c>
      <c r="K406" s="861">
        <f t="shared" si="103"/>
        <v>0</v>
      </c>
      <c r="L406" s="925">
        <f t="shared" si="103"/>
        <v>0</v>
      </c>
      <c r="M406" s="925">
        <f t="shared" si="103"/>
        <v>0</v>
      </c>
      <c r="N406" s="925">
        <f t="shared" si="103"/>
        <v>0</v>
      </c>
      <c r="O406" s="925">
        <f t="shared" si="103"/>
        <v>1335.93</v>
      </c>
      <c r="P406" s="925">
        <f t="shared" si="103"/>
        <v>12426673.640000001</v>
      </c>
      <c r="Q406" s="925">
        <f t="shared" si="103"/>
        <v>0</v>
      </c>
      <c r="R406" s="925">
        <f t="shared" si="103"/>
        <v>0</v>
      </c>
      <c r="S406" s="925">
        <f t="shared" si="103"/>
        <v>0</v>
      </c>
      <c r="T406" s="925">
        <f t="shared" si="103"/>
        <v>0</v>
      </c>
      <c r="U406" s="925">
        <v>0</v>
      </c>
      <c r="V406" s="925">
        <v>0</v>
      </c>
      <c r="W406" s="925">
        <f t="shared" si="103"/>
        <v>0</v>
      </c>
      <c r="X406" s="925">
        <f t="shared" si="103"/>
        <v>0</v>
      </c>
      <c r="Y406" s="925">
        <v>0</v>
      </c>
      <c r="Z406" s="921">
        <f t="shared" si="103"/>
        <v>973305.15999999992</v>
      </c>
      <c r="AA406" s="925">
        <f t="shared" si="103"/>
        <v>0</v>
      </c>
    </row>
    <row r="407" spans="1:27" s="875" customFormat="1" ht="96" customHeight="1">
      <c r="A407" s="927">
        <v>35</v>
      </c>
      <c r="B407" s="863" t="s">
        <v>1435</v>
      </c>
      <c r="C407" s="925">
        <f>D407+N407+P407+R407+T407+X407+Z407</f>
        <v>6572251.6200000001</v>
      </c>
      <c r="D407" s="925">
        <f>SUM(E407:J407)</f>
        <v>0</v>
      </c>
      <c r="E407" s="925">
        <v>0</v>
      </c>
      <c r="F407" s="925">
        <v>0</v>
      </c>
      <c r="G407" s="925">
        <v>0</v>
      </c>
      <c r="H407" s="925">
        <v>0</v>
      </c>
      <c r="I407" s="925">
        <v>0</v>
      </c>
      <c r="J407" s="925">
        <v>0</v>
      </c>
      <c r="K407" s="861">
        <v>0</v>
      </c>
      <c r="L407" s="925">
        <v>0</v>
      </c>
      <c r="M407" s="925">
        <v>0</v>
      </c>
      <c r="N407" s="925">
        <v>0</v>
      </c>
      <c r="O407" s="925">
        <v>655.23</v>
      </c>
      <c r="P407" s="925">
        <v>6094877.25</v>
      </c>
      <c r="Q407" s="925">
        <v>0</v>
      </c>
      <c r="R407" s="925">
        <v>0</v>
      </c>
      <c r="S407" s="925">
        <v>0</v>
      </c>
      <c r="T407" s="925">
        <v>0</v>
      </c>
      <c r="U407" s="925">
        <v>0</v>
      </c>
      <c r="V407" s="925">
        <v>0</v>
      </c>
      <c r="W407" s="925">
        <v>0</v>
      </c>
      <c r="X407" s="925">
        <v>0</v>
      </c>
      <c r="Y407" s="925">
        <v>0</v>
      </c>
      <c r="Z407" s="921">
        <v>477374.37</v>
      </c>
      <c r="AA407" s="925">
        <v>0</v>
      </c>
    </row>
    <row r="408" spans="1:27" s="875" customFormat="1" ht="100.9" customHeight="1">
      <c r="A408" s="927">
        <v>36</v>
      </c>
      <c r="B408" s="863" t="s">
        <v>1436</v>
      </c>
      <c r="C408" s="925">
        <f>D408+N408+P408+R408+T408+X408+Z408</f>
        <v>6827727.1799999997</v>
      </c>
      <c r="D408" s="925">
        <f>SUM(E408:J408)</f>
        <v>0</v>
      </c>
      <c r="E408" s="925">
        <v>0</v>
      </c>
      <c r="F408" s="925">
        <v>0</v>
      </c>
      <c r="G408" s="925">
        <v>0</v>
      </c>
      <c r="H408" s="925">
        <v>0</v>
      </c>
      <c r="I408" s="925">
        <v>0</v>
      </c>
      <c r="J408" s="925">
        <v>0</v>
      </c>
      <c r="K408" s="861">
        <v>0</v>
      </c>
      <c r="L408" s="925">
        <v>0</v>
      </c>
      <c r="M408" s="925">
        <v>0</v>
      </c>
      <c r="N408" s="925">
        <v>0</v>
      </c>
      <c r="O408" s="925">
        <v>680.7</v>
      </c>
      <c r="P408" s="925">
        <v>6331796.3899999997</v>
      </c>
      <c r="Q408" s="925">
        <v>0</v>
      </c>
      <c r="R408" s="925">
        <v>0</v>
      </c>
      <c r="S408" s="925">
        <v>0</v>
      </c>
      <c r="T408" s="925">
        <v>0</v>
      </c>
      <c r="U408" s="925">
        <v>0</v>
      </c>
      <c r="V408" s="925">
        <v>0</v>
      </c>
      <c r="W408" s="925">
        <v>0</v>
      </c>
      <c r="X408" s="925">
        <v>0</v>
      </c>
      <c r="Y408" s="925">
        <v>0</v>
      </c>
      <c r="Z408" s="921">
        <v>495930.79</v>
      </c>
      <c r="AA408" s="925">
        <v>0</v>
      </c>
    </row>
    <row r="409" spans="1:27" s="875" customFormat="1" ht="92.25" customHeight="1">
      <c r="A409" s="1198" t="s">
        <v>1973</v>
      </c>
      <c r="B409" s="1199"/>
      <c r="C409" s="925">
        <f>C410+C411</f>
        <v>26339961.170000002</v>
      </c>
      <c r="D409" s="925">
        <f t="shared" ref="D409:AA409" si="104">D410+D411</f>
        <v>0</v>
      </c>
      <c r="E409" s="925">
        <f t="shared" si="104"/>
        <v>0</v>
      </c>
      <c r="F409" s="925">
        <f t="shared" si="104"/>
        <v>0</v>
      </c>
      <c r="G409" s="925">
        <f t="shared" si="104"/>
        <v>0</v>
      </c>
      <c r="H409" s="925">
        <f t="shared" si="104"/>
        <v>0</v>
      </c>
      <c r="I409" s="925">
        <f t="shared" si="104"/>
        <v>0</v>
      </c>
      <c r="J409" s="925">
        <f t="shared" si="104"/>
        <v>0</v>
      </c>
      <c r="K409" s="861">
        <f t="shared" si="104"/>
        <v>0</v>
      </c>
      <c r="L409" s="925">
        <f t="shared" si="104"/>
        <v>0</v>
      </c>
      <c r="M409" s="925">
        <f t="shared" si="104"/>
        <v>0</v>
      </c>
      <c r="N409" s="925">
        <f t="shared" si="104"/>
        <v>0</v>
      </c>
      <c r="O409" s="925">
        <f t="shared" si="104"/>
        <v>2626</v>
      </c>
      <c r="P409" s="925">
        <f t="shared" si="104"/>
        <v>24426762.609999999</v>
      </c>
      <c r="Q409" s="925">
        <f t="shared" si="104"/>
        <v>0</v>
      </c>
      <c r="R409" s="925">
        <f t="shared" si="104"/>
        <v>0</v>
      </c>
      <c r="S409" s="925">
        <f t="shared" si="104"/>
        <v>0</v>
      </c>
      <c r="T409" s="925">
        <f t="shared" si="104"/>
        <v>0</v>
      </c>
      <c r="U409" s="925">
        <f t="shared" si="104"/>
        <v>0</v>
      </c>
      <c r="V409" s="925">
        <f t="shared" si="104"/>
        <v>0</v>
      </c>
      <c r="W409" s="925">
        <f t="shared" si="104"/>
        <v>0</v>
      </c>
      <c r="X409" s="925">
        <f t="shared" si="104"/>
        <v>0</v>
      </c>
      <c r="Y409" s="925">
        <f t="shared" si="104"/>
        <v>0</v>
      </c>
      <c r="Z409" s="921">
        <f t="shared" si="104"/>
        <v>1913198.56</v>
      </c>
      <c r="AA409" s="925">
        <f t="shared" si="104"/>
        <v>0</v>
      </c>
    </row>
    <row r="410" spans="1:27" s="875" customFormat="1" ht="96" customHeight="1">
      <c r="A410" s="927">
        <v>37</v>
      </c>
      <c r="B410" s="863" t="s">
        <v>1356</v>
      </c>
      <c r="C410" s="925">
        <f>D410+N410+P410+R410+T410+X410+Z410</f>
        <v>12538062.25</v>
      </c>
      <c r="D410" s="925">
        <f>SUM(E410:J410)</f>
        <v>0</v>
      </c>
      <c r="E410" s="925">
        <v>0</v>
      </c>
      <c r="F410" s="925">
        <v>0</v>
      </c>
      <c r="G410" s="925">
        <v>0</v>
      </c>
      <c r="H410" s="925">
        <v>0</v>
      </c>
      <c r="I410" s="925">
        <v>0</v>
      </c>
      <c r="J410" s="925">
        <v>0</v>
      </c>
      <c r="K410" s="861">
        <v>0</v>
      </c>
      <c r="L410" s="925">
        <v>0</v>
      </c>
      <c r="M410" s="925">
        <v>0</v>
      </c>
      <c r="N410" s="925">
        <v>0</v>
      </c>
      <c r="O410" s="925">
        <v>1250</v>
      </c>
      <c r="P410" s="925">
        <v>11627362.25</v>
      </c>
      <c r="Q410" s="925">
        <v>0</v>
      </c>
      <c r="R410" s="925">
        <v>0</v>
      </c>
      <c r="S410" s="925">
        <v>0</v>
      </c>
      <c r="T410" s="925">
        <v>0</v>
      </c>
      <c r="U410" s="925">
        <v>0</v>
      </c>
      <c r="V410" s="925">
        <v>0</v>
      </c>
      <c r="W410" s="925">
        <v>0</v>
      </c>
      <c r="X410" s="925">
        <v>0</v>
      </c>
      <c r="Y410" s="925">
        <v>0</v>
      </c>
      <c r="Z410" s="921">
        <v>910700</v>
      </c>
      <c r="AA410" s="925">
        <v>0</v>
      </c>
    </row>
    <row r="411" spans="1:27" s="875" customFormat="1" ht="103.5" customHeight="1">
      <c r="A411" s="927">
        <v>38</v>
      </c>
      <c r="B411" s="868" t="s">
        <v>1355</v>
      </c>
      <c r="C411" s="925">
        <f>D411+N411+P411+R411+T411+X411+Z411</f>
        <v>13801898.92</v>
      </c>
      <c r="D411" s="925">
        <f>SUM(E411:J411)</f>
        <v>0</v>
      </c>
      <c r="E411" s="925">
        <v>0</v>
      </c>
      <c r="F411" s="925">
        <v>0</v>
      </c>
      <c r="G411" s="925">
        <v>0</v>
      </c>
      <c r="H411" s="925">
        <v>0</v>
      </c>
      <c r="I411" s="925">
        <v>0</v>
      </c>
      <c r="J411" s="925">
        <v>0</v>
      </c>
      <c r="K411" s="861">
        <v>0</v>
      </c>
      <c r="L411" s="925">
        <v>0</v>
      </c>
      <c r="M411" s="925">
        <v>0</v>
      </c>
      <c r="N411" s="925">
        <v>0</v>
      </c>
      <c r="O411" s="925">
        <v>1376</v>
      </c>
      <c r="P411" s="925">
        <v>12799400.359999999</v>
      </c>
      <c r="Q411" s="925">
        <v>0</v>
      </c>
      <c r="R411" s="925">
        <v>0</v>
      </c>
      <c r="S411" s="925">
        <v>0</v>
      </c>
      <c r="T411" s="925">
        <v>0</v>
      </c>
      <c r="U411" s="925">
        <v>0</v>
      </c>
      <c r="V411" s="925">
        <v>0</v>
      </c>
      <c r="W411" s="925">
        <v>0</v>
      </c>
      <c r="X411" s="925">
        <v>0</v>
      </c>
      <c r="Y411" s="925">
        <v>0</v>
      </c>
      <c r="Z411" s="921">
        <v>1002498.5600000001</v>
      </c>
      <c r="AA411" s="925">
        <v>0</v>
      </c>
    </row>
    <row r="412" spans="1:27" s="875" customFormat="1" ht="84.75" customHeight="1">
      <c r="A412" s="1198" t="s">
        <v>1174</v>
      </c>
      <c r="B412" s="1199"/>
      <c r="C412" s="925">
        <f>C413</f>
        <v>1469580.17</v>
      </c>
      <c r="D412" s="925">
        <f t="shared" ref="D412:AA412" si="105">D413</f>
        <v>1362837.47</v>
      </c>
      <c r="E412" s="925">
        <f t="shared" si="105"/>
        <v>1362837.47</v>
      </c>
      <c r="F412" s="925">
        <f t="shared" si="105"/>
        <v>0</v>
      </c>
      <c r="G412" s="925">
        <f t="shared" si="105"/>
        <v>0</v>
      </c>
      <c r="H412" s="925">
        <f t="shared" si="105"/>
        <v>0</v>
      </c>
      <c r="I412" s="925">
        <f t="shared" si="105"/>
        <v>0</v>
      </c>
      <c r="J412" s="925">
        <f t="shared" si="105"/>
        <v>0</v>
      </c>
      <c r="K412" s="861">
        <f t="shared" si="105"/>
        <v>0</v>
      </c>
      <c r="L412" s="925">
        <f t="shared" si="105"/>
        <v>0</v>
      </c>
      <c r="M412" s="925">
        <f t="shared" si="105"/>
        <v>0</v>
      </c>
      <c r="N412" s="925">
        <f t="shared" si="105"/>
        <v>0</v>
      </c>
      <c r="O412" s="925">
        <f t="shared" si="105"/>
        <v>0</v>
      </c>
      <c r="P412" s="925">
        <f t="shared" si="105"/>
        <v>0</v>
      </c>
      <c r="Q412" s="925">
        <f t="shared" si="105"/>
        <v>0</v>
      </c>
      <c r="R412" s="925">
        <f t="shared" si="105"/>
        <v>0</v>
      </c>
      <c r="S412" s="925">
        <f t="shared" si="105"/>
        <v>0</v>
      </c>
      <c r="T412" s="925">
        <f t="shared" si="105"/>
        <v>0</v>
      </c>
      <c r="U412" s="925">
        <f t="shared" si="105"/>
        <v>0</v>
      </c>
      <c r="V412" s="925">
        <f t="shared" si="105"/>
        <v>0</v>
      </c>
      <c r="W412" s="925">
        <f t="shared" si="105"/>
        <v>0</v>
      </c>
      <c r="X412" s="925">
        <f t="shared" si="105"/>
        <v>0</v>
      </c>
      <c r="Y412" s="925">
        <f t="shared" si="105"/>
        <v>0</v>
      </c>
      <c r="Z412" s="921">
        <f t="shared" si="105"/>
        <v>106742.7</v>
      </c>
      <c r="AA412" s="925">
        <f t="shared" si="105"/>
        <v>0</v>
      </c>
    </row>
    <row r="413" spans="1:27" s="875" customFormat="1" ht="112.5" customHeight="1">
      <c r="A413" s="927">
        <v>39</v>
      </c>
      <c r="B413" s="863" t="s">
        <v>1304</v>
      </c>
      <c r="C413" s="925">
        <f>D413+N413+P413+R413+T413+X413+Z413</f>
        <v>1469580.17</v>
      </c>
      <c r="D413" s="925">
        <f>SUM(E413:J413)</f>
        <v>1362837.47</v>
      </c>
      <c r="E413" s="925">
        <v>1362837.47</v>
      </c>
      <c r="F413" s="925">
        <v>0</v>
      </c>
      <c r="G413" s="925">
        <v>0</v>
      </c>
      <c r="H413" s="925">
        <v>0</v>
      </c>
      <c r="I413" s="925">
        <v>0</v>
      </c>
      <c r="J413" s="925">
        <v>0</v>
      </c>
      <c r="K413" s="861">
        <v>0</v>
      </c>
      <c r="L413" s="925">
        <v>0</v>
      </c>
      <c r="M413" s="925">
        <v>0</v>
      </c>
      <c r="N413" s="925">
        <v>0</v>
      </c>
      <c r="O413" s="925">
        <v>0</v>
      </c>
      <c r="P413" s="925">
        <v>0</v>
      </c>
      <c r="Q413" s="925">
        <v>0</v>
      </c>
      <c r="R413" s="925">
        <v>0</v>
      </c>
      <c r="S413" s="925">
        <v>0</v>
      </c>
      <c r="T413" s="925">
        <v>0</v>
      </c>
      <c r="U413" s="925">
        <v>0</v>
      </c>
      <c r="V413" s="925">
        <v>0</v>
      </c>
      <c r="W413" s="925">
        <v>0</v>
      </c>
      <c r="X413" s="925">
        <v>0</v>
      </c>
      <c r="Y413" s="925">
        <v>0</v>
      </c>
      <c r="Z413" s="921">
        <v>106742.7</v>
      </c>
      <c r="AA413" s="925">
        <v>0</v>
      </c>
    </row>
    <row r="414" spans="1:27" s="875" customFormat="1" ht="90" customHeight="1">
      <c r="A414" s="1198" t="s">
        <v>1978</v>
      </c>
      <c r="B414" s="1199"/>
      <c r="C414" s="925">
        <f>C415+C416+C417</f>
        <v>23904968.270000003</v>
      </c>
      <c r="D414" s="925">
        <f t="shared" ref="D414:AA414" si="106">D415+D416+D417</f>
        <v>0</v>
      </c>
      <c r="E414" s="925">
        <f t="shared" si="106"/>
        <v>0</v>
      </c>
      <c r="F414" s="925">
        <f t="shared" si="106"/>
        <v>0</v>
      </c>
      <c r="G414" s="925">
        <f t="shared" si="106"/>
        <v>0</v>
      </c>
      <c r="H414" s="925">
        <f t="shared" si="106"/>
        <v>0</v>
      </c>
      <c r="I414" s="925">
        <f t="shared" si="106"/>
        <v>0</v>
      </c>
      <c r="J414" s="925">
        <f t="shared" si="106"/>
        <v>0</v>
      </c>
      <c r="K414" s="861">
        <f t="shared" si="106"/>
        <v>0</v>
      </c>
      <c r="L414" s="925">
        <f t="shared" si="106"/>
        <v>0</v>
      </c>
      <c r="M414" s="925">
        <f t="shared" si="106"/>
        <v>0</v>
      </c>
      <c r="N414" s="925">
        <f t="shared" si="106"/>
        <v>0</v>
      </c>
      <c r="O414" s="925">
        <f t="shared" si="106"/>
        <v>3191.55</v>
      </c>
      <c r="P414" s="925">
        <f t="shared" si="106"/>
        <v>22168635</v>
      </c>
      <c r="Q414" s="925">
        <f t="shared" si="106"/>
        <v>0</v>
      </c>
      <c r="R414" s="925">
        <f t="shared" si="106"/>
        <v>0</v>
      </c>
      <c r="S414" s="925">
        <f t="shared" si="106"/>
        <v>0</v>
      </c>
      <c r="T414" s="925">
        <f t="shared" si="106"/>
        <v>0</v>
      </c>
      <c r="U414" s="925">
        <f t="shared" si="106"/>
        <v>0</v>
      </c>
      <c r="V414" s="925">
        <f t="shared" si="106"/>
        <v>0</v>
      </c>
      <c r="W414" s="925">
        <f t="shared" si="106"/>
        <v>0</v>
      </c>
      <c r="X414" s="925">
        <f t="shared" si="106"/>
        <v>0</v>
      </c>
      <c r="Y414" s="925">
        <f t="shared" si="106"/>
        <v>0</v>
      </c>
      <c r="Z414" s="921">
        <f t="shared" si="106"/>
        <v>1736333.27</v>
      </c>
      <c r="AA414" s="925">
        <f t="shared" si="106"/>
        <v>0</v>
      </c>
    </row>
    <row r="415" spans="1:27" s="875" customFormat="1" ht="90.75" customHeight="1">
      <c r="A415" s="927">
        <v>40</v>
      </c>
      <c r="B415" s="863" t="s">
        <v>1507</v>
      </c>
      <c r="C415" s="925">
        <f>D415+N415+P415+R415+T415+X415+Z415</f>
        <v>11150749.82</v>
      </c>
      <c r="D415" s="925">
        <f>SUM(E415:J415)</f>
        <v>0</v>
      </c>
      <c r="E415" s="925">
        <v>0</v>
      </c>
      <c r="F415" s="925">
        <v>0</v>
      </c>
      <c r="G415" s="925">
        <v>0</v>
      </c>
      <c r="H415" s="925">
        <v>0</v>
      </c>
      <c r="I415" s="925">
        <v>0</v>
      </c>
      <c r="J415" s="925">
        <v>0</v>
      </c>
      <c r="K415" s="861">
        <v>0</v>
      </c>
      <c r="L415" s="925">
        <v>0</v>
      </c>
      <c r="M415" s="925">
        <v>0</v>
      </c>
      <c r="N415" s="925">
        <v>0</v>
      </c>
      <c r="O415" s="925">
        <v>1920</v>
      </c>
      <c r="P415" s="925">
        <v>10340817.02</v>
      </c>
      <c r="Q415" s="925">
        <v>0</v>
      </c>
      <c r="R415" s="925">
        <v>0</v>
      </c>
      <c r="S415" s="925">
        <v>0</v>
      </c>
      <c r="T415" s="925">
        <v>0</v>
      </c>
      <c r="U415" s="925">
        <v>0</v>
      </c>
      <c r="V415" s="925">
        <v>0</v>
      </c>
      <c r="W415" s="925">
        <v>0</v>
      </c>
      <c r="X415" s="925">
        <v>0</v>
      </c>
      <c r="Y415" s="925">
        <v>0</v>
      </c>
      <c r="Z415" s="921">
        <v>809932.80000000005</v>
      </c>
      <c r="AA415" s="925">
        <v>0</v>
      </c>
    </row>
    <row r="416" spans="1:27" s="875" customFormat="1" ht="90.75" customHeight="1">
      <c r="A416" s="927">
        <v>41</v>
      </c>
      <c r="B416" s="863" t="s">
        <v>1501</v>
      </c>
      <c r="C416" s="925">
        <f>D416+N416+P416+R416+T416+X416+Z416</f>
        <v>5276518.12</v>
      </c>
      <c r="D416" s="925">
        <f>SUM(E416:J416)</f>
        <v>0</v>
      </c>
      <c r="E416" s="925">
        <v>0</v>
      </c>
      <c r="F416" s="925">
        <v>0</v>
      </c>
      <c r="G416" s="925">
        <v>0</v>
      </c>
      <c r="H416" s="925">
        <v>0</v>
      </c>
      <c r="I416" s="925">
        <v>0</v>
      </c>
      <c r="J416" s="925">
        <v>0</v>
      </c>
      <c r="K416" s="861">
        <v>0</v>
      </c>
      <c r="L416" s="925">
        <v>0</v>
      </c>
      <c r="M416" s="925">
        <v>0</v>
      </c>
      <c r="N416" s="925">
        <v>0</v>
      </c>
      <c r="O416" s="925">
        <v>526.04999999999995</v>
      </c>
      <c r="P416" s="925">
        <v>4893259.13</v>
      </c>
      <c r="Q416" s="925">
        <v>0</v>
      </c>
      <c r="R416" s="925">
        <v>0</v>
      </c>
      <c r="S416" s="925">
        <v>0</v>
      </c>
      <c r="T416" s="925">
        <v>0</v>
      </c>
      <c r="U416" s="925">
        <v>0</v>
      </c>
      <c r="V416" s="925">
        <v>0</v>
      </c>
      <c r="W416" s="925">
        <v>0</v>
      </c>
      <c r="X416" s="925">
        <v>0</v>
      </c>
      <c r="Y416" s="925">
        <v>0</v>
      </c>
      <c r="Z416" s="921">
        <v>383258.99</v>
      </c>
      <c r="AA416" s="925">
        <v>0</v>
      </c>
    </row>
    <row r="417" spans="1:27" s="875" customFormat="1" ht="111.75" customHeight="1">
      <c r="A417" s="927">
        <v>42</v>
      </c>
      <c r="B417" s="863" t="s">
        <v>1502</v>
      </c>
      <c r="C417" s="925">
        <f>D417+N417+P417+R417+T417+X417+Z417</f>
        <v>7477700.3300000001</v>
      </c>
      <c r="D417" s="925">
        <f>SUM(E417:J417)</f>
        <v>0</v>
      </c>
      <c r="E417" s="925">
        <v>0</v>
      </c>
      <c r="F417" s="925">
        <v>0</v>
      </c>
      <c r="G417" s="925">
        <v>0</v>
      </c>
      <c r="H417" s="925">
        <v>0</v>
      </c>
      <c r="I417" s="925">
        <v>0</v>
      </c>
      <c r="J417" s="925">
        <v>0</v>
      </c>
      <c r="K417" s="861">
        <v>0</v>
      </c>
      <c r="L417" s="925">
        <v>0</v>
      </c>
      <c r="M417" s="925">
        <v>0</v>
      </c>
      <c r="N417" s="925">
        <v>0</v>
      </c>
      <c r="O417" s="925">
        <v>745.5</v>
      </c>
      <c r="P417" s="925">
        <v>6934558.8499999996</v>
      </c>
      <c r="Q417" s="925">
        <v>0</v>
      </c>
      <c r="R417" s="925">
        <v>0</v>
      </c>
      <c r="S417" s="925">
        <v>0</v>
      </c>
      <c r="T417" s="925">
        <v>0</v>
      </c>
      <c r="U417" s="925">
        <v>0</v>
      </c>
      <c r="V417" s="925">
        <v>0</v>
      </c>
      <c r="W417" s="925">
        <v>0</v>
      </c>
      <c r="X417" s="925">
        <v>0</v>
      </c>
      <c r="Y417" s="925">
        <v>0</v>
      </c>
      <c r="Z417" s="921">
        <v>543141.48</v>
      </c>
      <c r="AA417" s="925">
        <v>0</v>
      </c>
    </row>
    <row r="418" spans="1:27" s="875" customFormat="1" ht="111.75" customHeight="1">
      <c r="A418" s="1198" t="s">
        <v>1052</v>
      </c>
      <c r="B418" s="1199"/>
      <c r="C418" s="925">
        <f>C419</f>
        <v>4844707.25</v>
      </c>
      <c r="D418" s="925">
        <f t="shared" ref="D418:AA418" si="107">D419</f>
        <v>0</v>
      </c>
      <c r="E418" s="925">
        <f t="shared" si="107"/>
        <v>0</v>
      </c>
      <c r="F418" s="925">
        <f t="shared" si="107"/>
        <v>0</v>
      </c>
      <c r="G418" s="925">
        <f t="shared" si="107"/>
        <v>0</v>
      </c>
      <c r="H418" s="925">
        <f t="shared" si="107"/>
        <v>0</v>
      </c>
      <c r="I418" s="925">
        <f t="shared" si="107"/>
        <v>0</v>
      </c>
      <c r="J418" s="925">
        <f t="shared" si="107"/>
        <v>0</v>
      </c>
      <c r="K418" s="861">
        <f t="shared" si="107"/>
        <v>0</v>
      </c>
      <c r="L418" s="925">
        <f t="shared" si="107"/>
        <v>0</v>
      </c>
      <c r="M418" s="925">
        <f t="shared" si="107"/>
        <v>0</v>
      </c>
      <c r="N418" s="925">
        <f t="shared" si="107"/>
        <v>0</v>
      </c>
      <c r="O418" s="925">
        <f t="shared" si="107"/>
        <v>483</v>
      </c>
      <c r="P418" s="925">
        <f t="shared" si="107"/>
        <v>4492812.7699999996</v>
      </c>
      <c r="Q418" s="925">
        <f t="shared" si="107"/>
        <v>0</v>
      </c>
      <c r="R418" s="925">
        <f t="shared" si="107"/>
        <v>0</v>
      </c>
      <c r="S418" s="925">
        <f t="shared" si="107"/>
        <v>453.03</v>
      </c>
      <c r="T418" s="925">
        <f t="shared" si="107"/>
        <v>0</v>
      </c>
      <c r="U418" s="925">
        <f t="shared" si="107"/>
        <v>0</v>
      </c>
      <c r="V418" s="925">
        <f t="shared" si="107"/>
        <v>0</v>
      </c>
      <c r="W418" s="925">
        <f t="shared" si="107"/>
        <v>0</v>
      </c>
      <c r="X418" s="925">
        <f t="shared" si="107"/>
        <v>0</v>
      </c>
      <c r="Y418" s="925">
        <f t="shared" si="107"/>
        <v>0</v>
      </c>
      <c r="Z418" s="921">
        <f t="shared" si="107"/>
        <v>351894.48</v>
      </c>
      <c r="AA418" s="925">
        <f t="shared" si="107"/>
        <v>0</v>
      </c>
    </row>
    <row r="419" spans="1:27" s="875" customFormat="1" ht="102" customHeight="1">
      <c r="A419" s="927">
        <v>43</v>
      </c>
      <c r="B419" s="863" t="s">
        <v>1485</v>
      </c>
      <c r="C419" s="925">
        <f>D419+N419+P419+R419+T419+X419+Z419</f>
        <v>4844707.25</v>
      </c>
      <c r="D419" s="925">
        <v>0</v>
      </c>
      <c r="E419" s="925">
        <v>0</v>
      </c>
      <c r="F419" s="925">
        <v>0</v>
      </c>
      <c r="G419" s="925">
        <v>0</v>
      </c>
      <c r="H419" s="925">
        <v>0</v>
      </c>
      <c r="I419" s="925">
        <v>0</v>
      </c>
      <c r="J419" s="925">
        <v>0</v>
      </c>
      <c r="K419" s="861">
        <v>0</v>
      </c>
      <c r="L419" s="925">
        <v>0</v>
      </c>
      <c r="M419" s="925">
        <v>0</v>
      </c>
      <c r="N419" s="925">
        <v>0</v>
      </c>
      <c r="O419" s="925">
        <v>483</v>
      </c>
      <c r="P419" s="925">
        <v>4492812.7699999996</v>
      </c>
      <c r="Q419" s="925">
        <v>0</v>
      </c>
      <c r="R419" s="925">
        <v>0</v>
      </c>
      <c r="S419" s="925">
        <v>453.03</v>
      </c>
      <c r="T419" s="925">
        <v>0</v>
      </c>
      <c r="U419" s="925">
        <v>0</v>
      </c>
      <c r="V419" s="925">
        <v>0</v>
      </c>
      <c r="W419" s="925">
        <v>0</v>
      </c>
      <c r="X419" s="925">
        <v>0</v>
      </c>
      <c r="Y419" s="925">
        <v>0</v>
      </c>
      <c r="Z419" s="921">
        <v>351894.48</v>
      </c>
      <c r="AA419" s="925">
        <v>0</v>
      </c>
    </row>
    <row r="420" spans="1:27" s="875" customFormat="1" ht="106.5" customHeight="1">
      <c r="A420" s="1198" t="s">
        <v>1236</v>
      </c>
      <c r="B420" s="1199"/>
      <c r="C420" s="925">
        <f>C421</f>
        <v>4007164.7</v>
      </c>
      <c r="D420" s="925">
        <f t="shared" ref="D420:AA420" si="108">D421</f>
        <v>0</v>
      </c>
      <c r="E420" s="925">
        <f t="shared" si="108"/>
        <v>0</v>
      </c>
      <c r="F420" s="925">
        <f t="shared" si="108"/>
        <v>0</v>
      </c>
      <c r="G420" s="925">
        <f t="shared" si="108"/>
        <v>0</v>
      </c>
      <c r="H420" s="925">
        <f t="shared" si="108"/>
        <v>0</v>
      </c>
      <c r="I420" s="925">
        <f t="shared" si="108"/>
        <v>0</v>
      </c>
      <c r="J420" s="925">
        <f t="shared" si="108"/>
        <v>0</v>
      </c>
      <c r="K420" s="861">
        <f t="shared" si="108"/>
        <v>0</v>
      </c>
      <c r="L420" s="925">
        <f t="shared" si="108"/>
        <v>0</v>
      </c>
      <c r="M420" s="925">
        <f t="shared" si="108"/>
        <v>0</v>
      </c>
      <c r="N420" s="925">
        <f t="shared" si="108"/>
        <v>0</v>
      </c>
      <c r="O420" s="925">
        <f t="shared" si="108"/>
        <v>399.5</v>
      </c>
      <c r="P420" s="925">
        <f t="shared" si="108"/>
        <v>3716104.98</v>
      </c>
      <c r="Q420" s="925">
        <f t="shared" si="108"/>
        <v>0</v>
      </c>
      <c r="R420" s="925">
        <f t="shared" si="108"/>
        <v>0</v>
      </c>
      <c r="S420" s="925">
        <f t="shared" si="108"/>
        <v>0</v>
      </c>
      <c r="T420" s="925">
        <f t="shared" si="108"/>
        <v>0</v>
      </c>
      <c r="U420" s="925">
        <f t="shared" si="108"/>
        <v>0</v>
      </c>
      <c r="V420" s="925">
        <f t="shared" si="108"/>
        <v>0</v>
      </c>
      <c r="W420" s="925">
        <f t="shared" si="108"/>
        <v>0</v>
      </c>
      <c r="X420" s="925">
        <f t="shared" si="108"/>
        <v>0</v>
      </c>
      <c r="Y420" s="925">
        <f t="shared" si="108"/>
        <v>0</v>
      </c>
      <c r="Z420" s="921">
        <f t="shared" si="108"/>
        <v>291059.71999999997</v>
      </c>
      <c r="AA420" s="925">
        <f t="shared" si="108"/>
        <v>0</v>
      </c>
    </row>
    <row r="421" spans="1:27" s="875" customFormat="1" ht="107.25" customHeight="1">
      <c r="A421" s="927">
        <v>44</v>
      </c>
      <c r="B421" s="863" t="s">
        <v>1341</v>
      </c>
      <c r="C421" s="925">
        <f>D421+N421+P421+R421+T421+X421+Z421</f>
        <v>4007164.7</v>
      </c>
      <c r="D421" s="925">
        <f>SUM(E421:J421)</f>
        <v>0</v>
      </c>
      <c r="E421" s="925">
        <v>0</v>
      </c>
      <c r="F421" s="925">
        <v>0</v>
      </c>
      <c r="G421" s="925">
        <v>0</v>
      </c>
      <c r="H421" s="925">
        <v>0</v>
      </c>
      <c r="I421" s="925">
        <v>0</v>
      </c>
      <c r="J421" s="925">
        <v>0</v>
      </c>
      <c r="K421" s="861">
        <v>0</v>
      </c>
      <c r="L421" s="925">
        <v>0</v>
      </c>
      <c r="M421" s="925">
        <v>0</v>
      </c>
      <c r="N421" s="925">
        <v>0</v>
      </c>
      <c r="O421" s="925">
        <v>399.5</v>
      </c>
      <c r="P421" s="925">
        <v>3716104.98</v>
      </c>
      <c r="Q421" s="925">
        <v>0</v>
      </c>
      <c r="R421" s="925">
        <v>0</v>
      </c>
      <c r="S421" s="925">
        <v>0</v>
      </c>
      <c r="T421" s="925">
        <v>0</v>
      </c>
      <c r="U421" s="925">
        <v>0</v>
      </c>
      <c r="V421" s="925">
        <v>0</v>
      </c>
      <c r="W421" s="925">
        <v>0</v>
      </c>
      <c r="X421" s="925">
        <v>0</v>
      </c>
      <c r="Y421" s="925">
        <v>0</v>
      </c>
      <c r="Z421" s="921">
        <v>291059.71999999997</v>
      </c>
      <c r="AA421" s="925">
        <v>0</v>
      </c>
    </row>
    <row r="422" spans="1:27" s="875" customFormat="1" ht="122.25" customHeight="1">
      <c r="A422" s="1198" t="s">
        <v>1056</v>
      </c>
      <c r="B422" s="1199"/>
      <c r="C422" s="925">
        <f>C423</f>
        <v>4714311.41</v>
      </c>
      <c r="D422" s="925">
        <f t="shared" ref="D422:AA422" si="109">D423</f>
        <v>0</v>
      </c>
      <c r="E422" s="925">
        <f t="shared" si="109"/>
        <v>0</v>
      </c>
      <c r="F422" s="925">
        <f t="shared" si="109"/>
        <v>0</v>
      </c>
      <c r="G422" s="925">
        <f t="shared" si="109"/>
        <v>0</v>
      </c>
      <c r="H422" s="925">
        <f t="shared" si="109"/>
        <v>0</v>
      </c>
      <c r="I422" s="925">
        <f t="shared" si="109"/>
        <v>0</v>
      </c>
      <c r="J422" s="925">
        <f t="shared" si="109"/>
        <v>0</v>
      </c>
      <c r="K422" s="861">
        <f t="shared" si="109"/>
        <v>0</v>
      </c>
      <c r="L422" s="925">
        <f t="shared" si="109"/>
        <v>0</v>
      </c>
      <c r="M422" s="925">
        <f t="shared" si="109"/>
        <v>0</v>
      </c>
      <c r="N422" s="925">
        <f t="shared" si="109"/>
        <v>0</v>
      </c>
      <c r="O422" s="925">
        <f t="shared" si="109"/>
        <v>470</v>
      </c>
      <c r="P422" s="925">
        <f t="shared" si="109"/>
        <v>4371888.21</v>
      </c>
      <c r="Q422" s="925">
        <f t="shared" si="109"/>
        <v>0</v>
      </c>
      <c r="R422" s="925">
        <f t="shared" si="109"/>
        <v>0</v>
      </c>
      <c r="S422" s="925">
        <f t="shared" si="109"/>
        <v>0</v>
      </c>
      <c r="T422" s="925">
        <f t="shared" si="109"/>
        <v>0</v>
      </c>
      <c r="U422" s="925">
        <f t="shared" si="109"/>
        <v>0</v>
      </c>
      <c r="V422" s="925">
        <f t="shared" si="109"/>
        <v>0</v>
      </c>
      <c r="W422" s="925">
        <f t="shared" si="109"/>
        <v>0</v>
      </c>
      <c r="X422" s="925">
        <f t="shared" si="109"/>
        <v>0</v>
      </c>
      <c r="Y422" s="925">
        <f t="shared" si="109"/>
        <v>0</v>
      </c>
      <c r="Z422" s="921">
        <f t="shared" si="109"/>
        <v>342423.2</v>
      </c>
      <c r="AA422" s="925">
        <f t="shared" si="109"/>
        <v>0</v>
      </c>
    </row>
    <row r="423" spans="1:27" s="875" customFormat="1" ht="114.75" customHeight="1">
      <c r="A423" s="927">
        <v>45</v>
      </c>
      <c r="B423" s="868" t="s">
        <v>1494</v>
      </c>
      <c r="C423" s="925">
        <f>D423+N423+P423+R423+T423+X423+Z423</f>
        <v>4714311.41</v>
      </c>
      <c r="D423" s="925">
        <f>SUM(E423:J423)</f>
        <v>0</v>
      </c>
      <c r="E423" s="925">
        <v>0</v>
      </c>
      <c r="F423" s="925">
        <v>0</v>
      </c>
      <c r="G423" s="925">
        <v>0</v>
      </c>
      <c r="H423" s="925">
        <v>0</v>
      </c>
      <c r="I423" s="925">
        <v>0</v>
      </c>
      <c r="J423" s="925">
        <v>0</v>
      </c>
      <c r="K423" s="861">
        <v>0</v>
      </c>
      <c r="L423" s="925">
        <v>0</v>
      </c>
      <c r="M423" s="925">
        <v>0</v>
      </c>
      <c r="N423" s="925">
        <v>0</v>
      </c>
      <c r="O423" s="925">
        <v>470</v>
      </c>
      <c r="P423" s="925">
        <v>4371888.21</v>
      </c>
      <c r="Q423" s="925">
        <v>0</v>
      </c>
      <c r="R423" s="925">
        <v>0</v>
      </c>
      <c r="S423" s="925">
        <v>0</v>
      </c>
      <c r="T423" s="925">
        <v>0</v>
      </c>
      <c r="U423" s="925">
        <v>0</v>
      </c>
      <c r="V423" s="925">
        <v>0</v>
      </c>
      <c r="W423" s="925">
        <v>0</v>
      </c>
      <c r="X423" s="925">
        <v>0</v>
      </c>
      <c r="Y423" s="925">
        <v>0</v>
      </c>
      <c r="Z423" s="921">
        <v>342423.2</v>
      </c>
      <c r="AA423" s="925">
        <v>0</v>
      </c>
    </row>
    <row r="424" spans="1:27" s="875" customFormat="1" ht="94.9" customHeight="1">
      <c r="A424" s="1198" t="s">
        <v>1979</v>
      </c>
      <c r="B424" s="1199"/>
      <c r="C424" s="925">
        <f>SUM(C425:C431)</f>
        <v>33915873.759999998</v>
      </c>
      <c r="D424" s="925">
        <f t="shared" ref="D424:Z424" si="110">SUM(D425:D431)</f>
        <v>0</v>
      </c>
      <c r="E424" s="925">
        <f t="shared" si="110"/>
        <v>0</v>
      </c>
      <c r="F424" s="925">
        <f t="shared" si="110"/>
        <v>0</v>
      </c>
      <c r="G424" s="925">
        <f t="shared" si="110"/>
        <v>0</v>
      </c>
      <c r="H424" s="925">
        <f t="shared" si="110"/>
        <v>0</v>
      </c>
      <c r="I424" s="925">
        <f t="shared" si="110"/>
        <v>0</v>
      </c>
      <c r="J424" s="925">
        <f t="shared" si="110"/>
        <v>0</v>
      </c>
      <c r="K424" s="861">
        <f t="shared" si="110"/>
        <v>0</v>
      </c>
      <c r="L424" s="925">
        <f t="shared" si="110"/>
        <v>0</v>
      </c>
      <c r="M424" s="925">
        <f t="shared" si="110"/>
        <v>0</v>
      </c>
      <c r="N424" s="925">
        <f t="shared" si="110"/>
        <v>0</v>
      </c>
      <c r="O424" s="925">
        <f t="shared" si="110"/>
        <v>4293.6399999999994</v>
      </c>
      <c r="P424" s="925">
        <f t="shared" si="110"/>
        <v>31452400.099999998</v>
      </c>
      <c r="Q424" s="925">
        <f t="shared" si="110"/>
        <v>0</v>
      </c>
      <c r="R424" s="925">
        <f t="shared" si="110"/>
        <v>0</v>
      </c>
      <c r="S424" s="925">
        <f t="shared" si="110"/>
        <v>0</v>
      </c>
      <c r="T424" s="925">
        <f t="shared" si="110"/>
        <v>0</v>
      </c>
      <c r="U424" s="925">
        <f t="shared" si="110"/>
        <v>0</v>
      </c>
      <c r="V424" s="925">
        <f t="shared" si="110"/>
        <v>0</v>
      </c>
      <c r="W424" s="925">
        <f t="shared" si="110"/>
        <v>0</v>
      </c>
      <c r="X424" s="925">
        <f t="shared" si="110"/>
        <v>0</v>
      </c>
      <c r="Y424" s="925">
        <f t="shared" si="110"/>
        <v>0</v>
      </c>
      <c r="Z424" s="925">
        <f t="shared" si="110"/>
        <v>2463473.6599999997</v>
      </c>
      <c r="AA424" s="925">
        <f t="shared" ref="AA424" si="111">AA425+AA426+AA427+AA429+AA430</f>
        <v>0</v>
      </c>
    </row>
    <row r="425" spans="1:27" s="875" customFormat="1" ht="94.9" customHeight="1">
      <c r="A425" s="927">
        <v>46</v>
      </c>
      <c r="B425" s="863" t="s">
        <v>2186</v>
      </c>
      <c r="C425" s="925">
        <f t="shared" ref="C425:C431" si="112">D425+N425+P425+R425+T425+X425+Z425</f>
        <v>5499014.8499999996</v>
      </c>
      <c r="D425" s="925">
        <f>SUM(E425:J425)</f>
        <v>0</v>
      </c>
      <c r="E425" s="925">
        <v>0</v>
      </c>
      <c r="F425" s="925">
        <v>0</v>
      </c>
      <c r="G425" s="925">
        <v>0</v>
      </c>
      <c r="H425" s="925">
        <v>0</v>
      </c>
      <c r="I425" s="925">
        <v>0</v>
      </c>
      <c r="J425" s="925">
        <v>0</v>
      </c>
      <c r="K425" s="861">
        <v>0</v>
      </c>
      <c r="L425" s="925">
        <v>0</v>
      </c>
      <c r="M425" s="925">
        <v>0</v>
      </c>
      <c r="N425" s="925">
        <v>0</v>
      </c>
      <c r="O425" s="925">
        <v>630</v>
      </c>
      <c r="P425" s="925">
        <v>5099594.8499999996</v>
      </c>
      <c r="Q425" s="925">
        <v>0</v>
      </c>
      <c r="R425" s="925">
        <v>0</v>
      </c>
      <c r="S425" s="925">
        <v>0</v>
      </c>
      <c r="T425" s="925">
        <v>0</v>
      </c>
      <c r="U425" s="925">
        <v>0</v>
      </c>
      <c r="V425" s="925">
        <v>0</v>
      </c>
      <c r="W425" s="925">
        <v>0</v>
      </c>
      <c r="X425" s="925">
        <v>0</v>
      </c>
      <c r="Y425" s="925">
        <v>0</v>
      </c>
      <c r="Z425" s="921">
        <v>399420</v>
      </c>
      <c r="AA425" s="925">
        <v>0</v>
      </c>
    </row>
    <row r="426" spans="1:27" s="875" customFormat="1" ht="85.15" customHeight="1">
      <c r="A426" s="927">
        <v>47</v>
      </c>
      <c r="B426" s="863" t="s">
        <v>1770</v>
      </c>
      <c r="C426" s="925">
        <f t="shared" si="112"/>
        <v>7723446.3500000006</v>
      </c>
      <c r="D426" s="925">
        <v>0</v>
      </c>
      <c r="E426" s="925">
        <v>0</v>
      </c>
      <c r="F426" s="925">
        <v>0</v>
      </c>
      <c r="G426" s="925">
        <v>0</v>
      </c>
      <c r="H426" s="925">
        <v>0</v>
      </c>
      <c r="I426" s="925">
        <v>0</v>
      </c>
      <c r="J426" s="925">
        <v>0</v>
      </c>
      <c r="K426" s="861">
        <v>0</v>
      </c>
      <c r="L426" s="925">
        <v>0</v>
      </c>
      <c r="M426" s="925">
        <v>0</v>
      </c>
      <c r="N426" s="925">
        <v>0</v>
      </c>
      <c r="O426" s="925">
        <v>770</v>
      </c>
      <c r="P426" s="925">
        <v>7162455.1500000004</v>
      </c>
      <c r="Q426" s="925">
        <v>0</v>
      </c>
      <c r="R426" s="925">
        <v>0</v>
      </c>
      <c r="S426" s="925">
        <v>0</v>
      </c>
      <c r="T426" s="925">
        <v>0</v>
      </c>
      <c r="U426" s="925">
        <v>0</v>
      </c>
      <c r="V426" s="925">
        <v>0</v>
      </c>
      <c r="W426" s="925">
        <v>0</v>
      </c>
      <c r="X426" s="925">
        <v>0</v>
      </c>
      <c r="Y426" s="925">
        <v>0</v>
      </c>
      <c r="Z426" s="921">
        <v>560991.19999999995</v>
      </c>
      <c r="AA426" s="925">
        <v>0</v>
      </c>
    </row>
    <row r="427" spans="1:27" s="875" customFormat="1" ht="105" customHeight="1">
      <c r="A427" s="927">
        <v>48</v>
      </c>
      <c r="B427" s="868" t="s">
        <v>1337</v>
      </c>
      <c r="C427" s="925">
        <f t="shared" si="112"/>
        <v>2206919.2400000002</v>
      </c>
      <c r="D427" s="925">
        <v>0</v>
      </c>
      <c r="E427" s="925">
        <v>0</v>
      </c>
      <c r="F427" s="925">
        <v>0</v>
      </c>
      <c r="G427" s="925">
        <v>0</v>
      </c>
      <c r="H427" s="925">
        <v>0</v>
      </c>
      <c r="I427" s="925">
        <v>0</v>
      </c>
      <c r="J427" s="925">
        <v>0</v>
      </c>
      <c r="K427" s="861">
        <v>0</v>
      </c>
      <c r="L427" s="925">
        <v>0</v>
      </c>
      <c r="M427" s="925">
        <v>0</v>
      </c>
      <c r="N427" s="925">
        <v>0</v>
      </c>
      <c r="O427" s="925">
        <v>380</v>
      </c>
      <c r="P427" s="925">
        <v>2046620.04</v>
      </c>
      <c r="Q427" s="925">
        <v>0</v>
      </c>
      <c r="R427" s="925">
        <v>0</v>
      </c>
      <c r="S427" s="925">
        <v>0</v>
      </c>
      <c r="T427" s="925">
        <v>0</v>
      </c>
      <c r="U427" s="925">
        <v>0</v>
      </c>
      <c r="V427" s="925">
        <v>0</v>
      </c>
      <c r="W427" s="925">
        <v>0</v>
      </c>
      <c r="X427" s="925">
        <v>0</v>
      </c>
      <c r="Y427" s="925">
        <v>0</v>
      </c>
      <c r="Z427" s="921">
        <v>160299.20000000001</v>
      </c>
      <c r="AA427" s="925">
        <v>0</v>
      </c>
    </row>
    <row r="428" spans="1:27" s="875" customFormat="1" ht="105" customHeight="1">
      <c r="A428" s="927">
        <v>49</v>
      </c>
      <c r="B428" s="868" t="s">
        <v>2033</v>
      </c>
      <c r="C428" s="925">
        <f t="shared" si="112"/>
        <v>3071323.73</v>
      </c>
      <c r="D428" s="925">
        <v>0</v>
      </c>
      <c r="E428" s="925">
        <v>0</v>
      </c>
      <c r="F428" s="925">
        <v>0</v>
      </c>
      <c r="G428" s="925">
        <v>0</v>
      </c>
      <c r="H428" s="925">
        <v>0</v>
      </c>
      <c r="I428" s="925">
        <v>0</v>
      </c>
      <c r="J428" s="925">
        <v>0</v>
      </c>
      <c r="K428" s="861">
        <v>0</v>
      </c>
      <c r="L428" s="925">
        <v>0</v>
      </c>
      <c r="M428" s="925">
        <v>0</v>
      </c>
      <c r="N428" s="925">
        <v>0</v>
      </c>
      <c r="O428" s="925">
        <v>306.2</v>
      </c>
      <c r="P428" s="925">
        <v>2848238.66</v>
      </c>
      <c r="Q428" s="925">
        <v>0</v>
      </c>
      <c r="R428" s="925">
        <v>0</v>
      </c>
      <c r="S428" s="925">
        <v>0</v>
      </c>
      <c r="T428" s="925">
        <v>0</v>
      </c>
      <c r="U428" s="925">
        <v>0</v>
      </c>
      <c r="V428" s="925">
        <v>0</v>
      </c>
      <c r="W428" s="925">
        <v>0</v>
      </c>
      <c r="X428" s="925">
        <v>0</v>
      </c>
      <c r="Y428" s="925">
        <v>0</v>
      </c>
      <c r="Z428" s="921">
        <v>223085.07</v>
      </c>
      <c r="AA428" s="925">
        <v>0</v>
      </c>
    </row>
    <row r="429" spans="1:27" s="867" customFormat="1" ht="114" customHeight="1">
      <c r="A429" s="927">
        <v>50</v>
      </c>
      <c r="B429" s="863" t="s">
        <v>1559</v>
      </c>
      <c r="C429" s="925">
        <f t="shared" si="112"/>
        <v>6046377.9299999997</v>
      </c>
      <c r="D429" s="925">
        <f>SUM(E429:J429)</f>
        <v>0</v>
      </c>
      <c r="E429" s="925">
        <v>0</v>
      </c>
      <c r="F429" s="925">
        <v>0</v>
      </c>
      <c r="G429" s="925">
        <v>0</v>
      </c>
      <c r="H429" s="925">
        <v>0</v>
      </c>
      <c r="I429" s="925">
        <v>0</v>
      </c>
      <c r="J429" s="925">
        <v>0</v>
      </c>
      <c r="K429" s="861">
        <v>0</v>
      </c>
      <c r="L429" s="925">
        <v>0</v>
      </c>
      <c r="M429" s="925">
        <v>0</v>
      </c>
      <c r="N429" s="925">
        <v>0</v>
      </c>
      <c r="O429" s="925">
        <v>1041.0999999999999</v>
      </c>
      <c r="P429" s="925">
        <v>5607200.3099999996</v>
      </c>
      <c r="Q429" s="925">
        <v>0</v>
      </c>
      <c r="R429" s="925">
        <v>0</v>
      </c>
      <c r="S429" s="925">
        <v>0</v>
      </c>
      <c r="T429" s="925">
        <v>0</v>
      </c>
      <c r="U429" s="925">
        <v>0</v>
      </c>
      <c r="V429" s="925">
        <v>0</v>
      </c>
      <c r="W429" s="925">
        <v>0</v>
      </c>
      <c r="X429" s="925">
        <v>0</v>
      </c>
      <c r="Y429" s="925">
        <v>0</v>
      </c>
      <c r="Z429" s="921">
        <v>439177.62</v>
      </c>
      <c r="AA429" s="925">
        <v>0</v>
      </c>
    </row>
    <row r="430" spans="1:27" s="867" customFormat="1" ht="114" customHeight="1">
      <c r="A430" s="927">
        <v>51</v>
      </c>
      <c r="B430" s="863" t="s">
        <v>1792</v>
      </c>
      <c r="C430" s="925">
        <f t="shared" si="112"/>
        <v>6164112.6200000001</v>
      </c>
      <c r="D430" s="925">
        <f>SUM(E430:J430)</f>
        <v>0</v>
      </c>
      <c r="E430" s="925">
        <v>0</v>
      </c>
      <c r="F430" s="925">
        <v>0</v>
      </c>
      <c r="G430" s="925">
        <v>0</v>
      </c>
      <c r="H430" s="925">
        <v>0</v>
      </c>
      <c r="I430" s="925">
        <v>0</v>
      </c>
      <c r="J430" s="925">
        <v>0</v>
      </c>
      <c r="K430" s="861">
        <v>0</v>
      </c>
      <c r="L430" s="925">
        <v>0</v>
      </c>
      <c r="M430" s="925">
        <v>0</v>
      </c>
      <c r="N430" s="925">
        <v>0</v>
      </c>
      <c r="O430" s="925">
        <v>614.54</v>
      </c>
      <c r="P430" s="925">
        <v>5716383.3600000003</v>
      </c>
      <c r="Q430" s="925">
        <v>0</v>
      </c>
      <c r="R430" s="925">
        <v>0</v>
      </c>
      <c r="S430" s="925">
        <v>0</v>
      </c>
      <c r="T430" s="925">
        <v>0</v>
      </c>
      <c r="U430" s="925">
        <v>0</v>
      </c>
      <c r="V430" s="925">
        <v>0</v>
      </c>
      <c r="W430" s="925">
        <v>0</v>
      </c>
      <c r="X430" s="925">
        <v>0</v>
      </c>
      <c r="Y430" s="925">
        <v>0</v>
      </c>
      <c r="Z430" s="921">
        <v>447729.26</v>
      </c>
      <c r="AA430" s="925">
        <v>0</v>
      </c>
    </row>
    <row r="431" spans="1:27" s="867" customFormat="1" ht="114" customHeight="1">
      <c r="A431" s="927">
        <v>52</v>
      </c>
      <c r="B431" s="863" t="s">
        <v>2049</v>
      </c>
      <c r="C431" s="925">
        <f t="shared" si="112"/>
        <v>3204679.04</v>
      </c>
      <c r="D431" s="925">
        <v>0</v>
      </c>
      <c r="E431" s="925">
        <v>0</v>
      </c>
      <c r="F431" s="925">
        <v>0</v>
      </c>
      <c r="G431" s="925">
        <v>0</v>
      </c>
      <c r="H431" s="925">
        <v>0</v>
      </c>
      <c r="I431" s="925">
        <v>0</v>
      </c>
      <c r="J431" s="925">
        <v>0</v>
      </c>
      <c r="K431" s="861">
        <v>0</v>
      </c>
      <c r="L431" s="925">
        <v>0</v>
      </c>
      <c r="M431" s="925">
        <v>0</v>
      </c>
      <c r="N431" s="925">
        <v>0</v>
      </c>
      <c r="O431" s="925">
        <v>551.79999999999995</v>
      </c>
      <c r="P431" s="925">
        <v>2971907.73</v>
      </c>
      <c r="Q431" s="925">
        <v>0</v>
      </c>
      <c r="R431" s="925">
        <v>0</v>
      </c>
      <c r="S431" s="925">
        <v>0</v>
      </c>
      <c r="T431" s="925">
        <v>0</v>
      </c>
      <c r="U431" s="925">
        <v>0</v>
      </c>
      <c r="V431" s="925">
        <v>0</v>
      </c>
      <c r="W431" s="925">
        <v>0</v>
      </c>
      <c r="X431" s="925">
        <v>0</v>
      </c>
      <c r="Y431" s="925">
        <v>0</v>
      </c>
      <c r="Z431" s="921">
        <v>232771.31</v>
      </c>
      <c r="AA431" s="925">
        <v>0</v>
      </c>
    </row>
    <row r="432" spans="1:27" s="875" customFormat="1" ht="115.5" customHeight="1">
      <c r="A432" s="1198" t="s">
        <v>1974</v>
      </c>
      <c r="B432" s="1199"/>
      <c r="C432" s="925">
        <f>C433+C434</f>
        <v>12776900.84</v>
      </c>
      <c r="D432" s="925">
        <f t="shared" ref="D432:AA432" si="113">D433+D434</f>
        <v>0</v>
      </c>
      <c r="E432" s="925">
        <f t="shared" si="113"/>
        <v>0</v>
      </c>
      <c r="F432" s="925">
        <f t="shared" si="113"/>
        <v>0</v>
      </c>
      <c r="G432" s="925">
        <f t="shared" si="113"/>
        <v>0</v>
      </c>
      <c r="H432" s="925">
        <f t="shared" si="113"/>
        <v>0</v>
      </c>
      <c r="I432" s="925">
        <f t="shared" si="113"/>
        <v>0</v>
      </c>
      <c r="J432" s="925">
        <f t="shared" si="113"/>
        <v>0</v>
      </c>
      <c r="K432" s="861">
        <f t="shared" si="113"/>
        <v>0</v>
      </c>
      <c r="L432" s="925">
        <f t="shared" si="113"/>
        <v>0</v>
      </c>
      <c r="M432" s="925">
        <f t="shared" si="113"/>
        <v>0</v>
      </c>
      <c r="N432" s="925">
        <f t="shared" si="113"/>
        <v>0</v>
      </c>
      <c r="O432" s="925">
        <f t="shared" si="113"/>
        <v>2200</v>
      </c>
      <c r="P432" s="925">
        <f t="shared" si="113"/>
        <v>11848852.84</v>
      </c>
      <c r="Q432" s="925">
        <f t="shared" si="113"/>
        <v>0</v>
      </c>
      <c r="R432" s="925">
        <f t="shared" si="113"/>
        <v>0</v>
      </c>
      <c r="S432" s="925">
        <f t="shared" si="113"/>
        <v>0</v>
      </c>
      <c r="T432" s="925">
        <f t="shared" si="113"/>
        <v>0</v>
      </c>
      <c r="U432" s="925">
        <f t="shared" si="113"/>
        <v>0</v>
      </c>
      <c r="V432" s="925">
        <f t="shared" si="113"/>
        <v>0</v>
      </c>
      <c r="W432" s="925">
        <f t="shared" si="113"/>
        <v>0</v>
      </c>
      <c r="X432" s="925">
        <f t="shared" si="113"/>
        <v>0</v>
      </c>
      <c r="Y432" s="925">
        <f t="shared" si="113"/>
        <v>0</v>
      </c>
      <c r="Z432" s="921">
        <f t="shared" si="113"/>
        <v>928048</v>
      </c>
      <c r="AA432" s="925">
        <f t="shared" si="113"/>
        <v>0</v>
      </c>
    </row>
    <row r="433" spans="1:27" s="875" customFormat="1" ht="108" customHeight="1">
      <c r="A433" s="927">
        <v>53</v>
      </c>
      <c r="B433" s="868" t="s">
        <v>1374</v>
      </c>
      <c r="C433" s="925">
        <f>D433+N433+P433+R433+T433+X433+Z433</f>
        <v>8130755.0800000001</v>
      </c>
      <c r="D433" s="925">
        <v>0</v>
      </c>
      <c r="E433" s="925">
        <v>0</v>
      </c>
      <c r="F433" s="925">
        <v>0</v>
      </c>
      <c r="G433" s="925">
        <v>0</v>
      </c>
      <c r="H433" s="925">
        <v>0</v>
      </c>
      <c r="I433" s="925">
        <v>0</v>
      </c>
      <c r="J433" s="925">
        <v>0</v>
      </c>
      <c r="K433" s="861">
        <v>0</v>
      </c>
      <c r="L433" s="925">
        <v>0</v>
      </c>
      <c r="M433" s="925">
        <v>0</v>
      </c>
      <c r="N433" s="925">
        <v>0</v>
      </c>
      <c r="O433" s="925">
        <v>1400</v>
      </c>
      <c r="P433" s="925">
        <v>7540179.0800000001</v>
      </c>
      <c r="Q433" s="925">
        <v>0</v>
      </c>
      <c r="R433" s="925">
        <v>0</v>
      </c>
      <c r="S433" s="925">
        <v>0</v>
      </c>
      <c r="T433" s="925">
        <v>0</v>
      </c>
      <c r="U433" s="925">
        <v>0</v>
      </c>
      <c r="V433" s="925">
        <v>0</v>
      </c>
      <c r="W433" s="925">
        <v>0</v>
      </c>
      <c r="X433" s="925">
        <v>0</v>
      </c>
      <c r="Y433" s="925">
        <v>0</v>
      </c>
      <c r="Z433" s="921">
        <v>590576</v>
      </c>
      <c r="AA433" s="925">
        <v>0</v>
      </c>
    </row>
    <row r="434" spans="1:27" s="875" customFormat="1" ht="112.5" customHeight="1">
      <c r="A434" s="927">
        <v>54</v>
      </c>
      <c r="B434" s="868" t="s">
        <v>1375</v>
      </c>
      <c r="C434" s="925">
        <f>D434+N434+P434+R434+T434+X434+Z434</f>
        <v>4646145.76</v>
      </c>
      <c r="D434" s="925">
        <v>0</v>
      </c>
      <c r="E434" s="925">
        <v>0</v>
      </c>
      <c r="F434" s="925">
        <v>0</v>
      </c>
      <c r="G434" s="925">
        <v>0</v>
      </c>
      <c r="H434" s="925">
        <v>0</v>
      </c>
      <c r="I434" s="925">
        <v>0</v>
      </c>
      <c r="J434" s="925">
        <v>0</v>
      </c>
      <c r="K434" s="861">
        <v>0</v>
      </c>
      <c r="L434" s="925">
        <v>0</v>
      </c>
      <c r="M434" s="925">
        <v>0</v>
      </c>
      <c r="N434" s="925">
        <v>0</v>
      </c>
      <c r="O434" s="925">
        <v>800</v>
      </c>
      <c r="P434" s="925">
        <v>4308673.76</v>
      </c>
      <c r="Q434" s="925">
        <v>0</v>
      </c>
      <c r="R434" s="925">
        <v>0</v>
      </c>
      <c r="S434" s="925">
        <v>0</v>
      </c>
      <c r="T434" s="925">
        <v>0</v>
      </c>
      <c r="U434" s="925">
        <v>0</v>
      </c>
      <c r="V434" s="925">
        <v>0</v>
      </c>
      <c r="W434" s="925">
        <v>0</v>
      </c>
      <c r="X434" s="925">
        <v>0</v>
      </c>
      <c r="Y434" s="925">
        <v>0</v>
      </c>
      <c r="Z434" s="921">
        <v>337472</v>
      </c>
      <c r="AA434" s="925">
        <v>0</v>
      </c>
    </row>
    <row r="435" spans="1:27" s="875" customFormat="1" ht="105.75" customHeight="1">
      <c r="A435" s="1198" t="s">
        <v>1248</v>
      </c>
      <c r="B435" s="1199"/>
      <c r="C435" s="925">
        <f>SUM(C436:C439)</f>
        <v>20209721.780000001</v>
      </c>
      <c r="D435" s="925">
        <f t="shared" ref="D435:Z435" si="114">SUM(D436:D439)</f>
        <v>0</v>
      </c>
      <c r="E435" s="925">
        <f t="shared" si="114"/>
        <v>0</v>
      </c>
      <c r="F435" s="925">
        <f t="shared" si="114"/>
        <v>0</v>
      </c>
      <c r="G435" s="925">
        <f t="shared" si="114"/>
        <v>0</v>
      </c>
      <c r="H435" s="925">
        <f t="shared" si="114"/>
        <v>0</v>
      </c>
      <c r="I435" s="925">
        <f t="shared" si="114"/>
        <v>0</v>
      </c>
      <c r="J435" s="925">
        <f t="shared" si="114"/>
        <v>0</v>
      </c>
      <c r="K435" s="861">
        <f t="shared" si="114"/>
        <v>0</v>
      </c>
      <c r="L435" s="925">
        <f t="shared" si="114"/>
        <v>0</v>
      </c>
      <c r="M435" s="925">
        <f t="shared" si="114"/>
        <v>0</v>
      </c>
      <c r="N435" s="925">
        <f t="shared" si="114"/>
        <v>0</v>
      </c>
      <c r="O435" s="925">
        <f t="shared" si="114"/>
        <v>1953.5</v>
      </c>
      <c r="P435" s="925">
        <f t="shared" si="114"/>
        <v>14523835</v>
      </c>
      <c r="Q435" s="925">
        <f t="shared" si="114"/>
        <v>0</v>
      </c>
      <c r="R435" s="925">
        <f t="shared" si="114"/>
        <v>0</v>
      </c>
      <c r="S435" s="925">
        <f t="shared" si="114"/>
        <v>454</v>
      </c>
      <c r="T435" s="925">
        <f t="shared" si="114"/>
        <v>1961053.27</v>
      </c>
      <c r="U435" s="925">
        <f t="shared" si="114"/>
        <v>454</v>
      </c>
      <c r="V435" s="925">
        <f t="shared" si="114"/>
        <v>2256903.83</v>
      </c>
      <c r="W435" s="925">
        <f t="shared" si="114"/>
        <v>0</v>
      </c>
      <c r="X435" s="925">
        <f t="shared" si="114"/>
        <v>0</v>
      </c>
      <c r="Y435" s="925">
        <f t="shared" si="114"/>
        <v>0</v>
      </c>
      <c r="Z435" s="921">
        <f t="shared" si="114"/>
        <v>1467929.6800000002</v>
      </c>
      <c r="AA435" s="925">
        <f>AA436+AA437+AA438+AA439</f>
        <v>0</v>
      </c>
    </row>
    <row r="436" spans="1:27" s="875" customFormat="1" ht="99.6" customHeight="1">
      <c r="A436" s="927">
        <v>55</v>
      </c>
      <c r="B436" s="863" t="s">
        <v>1424</v>
      </c>
      <c r="C436" s="925">
        <f>D436+N436+P436+R436+T436+X436+Z436+V436</f>
        <v>4548323.82</v>
      </c>
      <c r="D436" s="925">
        <f>SUM(E436:J436)</f>
        <v>0</v>
      </c>
      <c r="E436" s="925">
        <v>0</v>
      </c>
      <c r="F436" s="925">
        <v>0</v>
      </c>
      <c r="G436" s="925">
        <v>0</v>
      </c>
      <c r="H436" s="925">
        <v>0</v>
      </c>
      <c r="I436" s="925">
        <v>0</v>
      </c>
      <c r="J436" s="925">
        <v>0</v>
      </c>
      <c r="K436" s="861">
        <v>0</v>
      </c>
      <c r="L436" s="925">
        <v>0</v>
      </c>
      <c r="M436" s="925">
        <v>0</v>
      </c>
      <c r="N436" s="925">
        <v>0</v>
      </c>
      <c r="O436" s="925">
        <v>0</v>
      </c>
      <c r="P436" s="925">
        <v>0</v>
      </c>
      <c r="Q436" s="925">
        <v>0</v>
      </c>
      <c r="R436" s="925">
        <v>0</v>
      </c>
      <c r="S436" s="925">
        <v>454</v>
      </c>
      <c r="T436" s="925">
        <v>1961053.27</v>
      </c>
      <c r="U436" s="925">
        <v>454</v>
      </c>
      <c r="V436" s="925">
        <v>2256903.83</v>
      </c>
      <c r="W436" s="925">
        <v>0</v>
      </c>
      <c r="X436" s="925">
        <v>0</v>
      </c>
      <c r="Y436" s="925">
        <v>0</v>
      </c>
      <c r="Z436" s="884">
        <v>330366.71999999997</v>
      </c>
      <c r="AA436" s="925">
        <v>0</v>
      </c>
    </row>
    <row r="437" spans="1:27" s="875" customFormat="1" ht="99.6" customHeight="1">
      <c r="A437" s="927">
        <v>56</v>
      </c>
      <c r="B437" s="868" t="s">
        <v>1425</v>
      </c>
      <c r="C437" s="925">
        <f>D437+N437+P437+R437+T437+X437+Z437</f>
        <v>5409275.21</v>
      </c>
      <c r="D437" s="925">
        <f>SUM(E437:J437)</f>
        <v>0</v>
      </c>
      <c r="E437" s="925">
        <v>0</v>
      </c>
      <c r="F437" s="925">
        <v>0</v>
      </c>
      <c r="G437" s="925">
        <v>0</v>
      </c>
      <c r="H437" s="925">
        <v>0</v>
      </c>
      <c r="I437" s="925">
        <v>0</v>
      </c>
      <c r="J437" s="925">
        <v>0</v>
      </c>
      <c r="K437" s="861">
        <v>0</v>
      </c>
      <c r="L437" s="925">
        <v>0</v>
      </c>
      <c r="M437" s="925">
        <v>0</v>
      </c>
      <c r="N437" s="925">
        <v>0</v>
      </c>
      <c r="O437" s="929">
        <v>931.4</v>
      </c>
      <c r="P437" s="925">
        <v>5016373.43</v>
      </c>
      <c r="Q437" s="925">
        <v>0</v>
      </c>
      <c r="R437" s="925">
        <v>0</v>
      </c>
      <c r="S437" s="925">
        <v>0</v>
      </c>
      <c r="T437" s="925">
        <v>0</v>
      </c>
      <c r="U437" s="925">
        <v>0</v>
      </c>
      <c r="V437" s="925">
        <v>0</v>
      </c>
      <c r="W437" s="925">
        <v>0</v>
      </c>
      <c r="X437" s="925">
        <v>0</v>
      </c>
      <c r="Y437" s="925">
        <v>0</v>
      </c>
      <c r="Z437" s="864">
        <v>392901.78</v>
      </c>
      <c r="AA437" s="925">
        <v>0</v>
      </c>
    </row>
    <row r="438" spans="1:27" s="875" customFormat="1" ht="107.25" customHeight="1">
      <c r="A438" s="927">
        <v>57</v>
      </c>
      <c r="B438" s="863" t="s">
        <v>1426</v>
      </c>
      <c r="C438" s="925">
        <f>D438+N438+P438+R438+T438+X438+Z438</f>
        <v>4645101.3099999996</v>
      </c>
      <c r="D438" s="925">
        <f>SUM(E438:J438)</f>
        <v>0</v>
      </c>
      <c r="E438" s="925">
        <v>0</v>
      </c>
      <c r="F438" s="925">
        <v>0</v>
      </c>
      <c r="G438" s="925">
        <v>0</v>
      </c>
      <c r="H438" s="925">
        <v>0</v>
      </c>
      <c r="I438" s="925">
        <v>0</v>
      </c>
      <c r="J438" s="925">
        <v>0</v>
      </c>
      <c r="K438" s="861">
        <v>0</v>
      </c>
      <c r="L438" s="925">
        <v>0</v>
      </c>
      <c r="M438" s="925">
        <v>0</v>
      </c>
      <c r="N438" s="925">
        <v>0</v>
      </c>
      <c r="O438" s="882">
        <v>463.1</v>
      </c>
      <c r="P438" s="882">
        <v>4307705.17</v>
      </c>
      <c r="Q438" s="925">
        <v>0</v>
      </c>
      <c r="R438" s="925">
        <v>0</v>
      </c>
      <c r="S438" s="925">
        <v>0</v>
      </c>
      <c r="T438" s="925">
        <v>0</v>
      </c>
      <c r="U438" s="925">
        <v>0</v>
      </c>
      <c r="V438" s="925">
        <v>0</v>
      </c>
      <c r="W438" s="925">
        <v>0</v>
      </c>
      <c r="X438" s="925">
        <v>0</v>
      </c>
      <c r="Y438" s="925">
        <v>0</v>
      </c>
      <c r="Z438" s="884">
        <v>337396.14</v>
      </c>
      <c r="AA438" s="925">
        <v>0</v>
      </c>
    </row>
    <row r="439" spans="1:27" s="875" customFormat="1" ht="96.6" customHeight="1">
      <c r="A439" s="927">
        <v>58</v>
      </c>
      <c r="B439" s="863" t="s">
        <v>1427</v>
      </c>
      <c r="C439" s="925">
        <f>D439+N439+P439+R439+T439+X439+Z439</f>
        <v>5607021.4400000004</v>
      </c>
      <c r="D439" s="925">
        <f>SUM(E439:J439)</f>
        <v>0</v>
      </c>
      <c r="E439" s="925">
        <v>0</v>
      </c>
      <c r="F439" s="925">
        <v>0</v>
      </c>
      <c r="G439" s="925">
        <v>0</v>
      </c>
      <c r="H439" s="925">
        <v>0</v>
      </c>
      <c r="I439" s="925">
        <v>0</v>
      </c>
      <c r="J439" s="925">
        <v>0</v>
      </c>
      <c r="K439" s="861">
        <v>0</v>
      </c>
      <c r="L439" s="925">
        <v>0</v>
      </c>
      <c r="M439" s="925">
        <v>0</v>
      </c>
      <c r="N439" s="925">
        <v>0</v>
      </c>
      <c r="O439" s="929">
        <v>559</v>
      </c>
      <c r="P439" s="929">
        <v>5199756.4000000004</v>
      </c>
      <c r="Q439" s="925">
        <v>0</v>
      </c>
      <c r="R439" s="925">
        <v>0</v>
      </c>
      <c r="S439" s="925">
        <v>0</v>
      </c>
      <c r="T439" s="925">
        <v>0</v>
      </c>
      <c r="U439" s="925">
        <v>0</v>
      </c>
      <c r="V439" s="925">
        <v>0</v>
      </c>
      <c r="W439" s="925">
        <v>0</v>
      </c>
      <c r="X439" s="925">
        <v>0</v>
      </c>
      <c r="Y439" s="925">
        <v>0</v>
      </c>
      <c r="Z439" s="871">
        <v>407265.04</v>
      </c>
      <c r="AA439" s="925">
        <v>0</v>
      </c>
    </row>
    <row r="440" spans="1:27" s="875" customFormat="1" ht="96.75" customHeight="1">
      <c r="A440" s="1198" t="s">
        <v>1185</v>
      </c>
      <c r="B440" s="1199"/>
      <c r="C440" s="925">
        <f>SUM(C441:C444)</f>
        <v>20850496.600000001</v>
      </c>
      <c r="D440" s="925">
        <f t="shared" ref="D440:Y440" si="115">SUM(D441:D444)</f>
        <v>0</v>
      </c>
      <c r="E440" s="925">
        <f t="shared" si="115"/>
        <v>0</v>
      </c>
      <c r="F440" s="925">
        <f t="shared" si="115"/>
        <v>0</v>
      </c>
      <c r="G440" s="925">
        <f t="shared" si="115"/>
        <v>0</v>
      </c>
      <c r="H440" s="925">
        <f t="shared" si="115"/>
        <v>0</v>
      </c>
      <c r="I440" s="925">
        <f t="shared" si="115"/>
        <v>0</v>
      </c>
      <c r="J440" s="925">
        <f t="shared" si="115"/>
        <v>0</v>
      </c>
      <c r="K440" s="861">
        <f t="shared" si="115"/>
        <v>0</v>
      </c>
      <c r="L440" s="925">
        <f t="shared" si="115"/>
        <v>0</v>
      </c>
      <c r="M440" s="925">
        <f t="shared" si="115"/>
        <v>0</v>
      </c>
      <c r="N440" s="925">
        <f t="shared" si="115"/>
        <v>0</v>
      </c>
      <c r="O440" s="925">
        <f t="shared" si="115"/>
        <v>2078.7200000000003</v>
      </c>
      <c r="P440" s="925">
        <f t="shared" si="115"/>
        <v>19336024.359999999</v>
      </c>
      <c r="Q440" s="925">
        <f t="shared" si="115"/>
        <v>0</v>
      </c>
      <c r="R440" s="925">
        <f t="shared" si="115"/>
        <v>0</v>
      </c>
      <c r="S440" s="925">
        <f t="shared" si="115"/>
        <v>0</v>
      </c>
      <c r="T440" s="925">
        <f t="shared" si="115"/>
        <v>0</v>
      </c>
      <c r="U440" s="925">
        <f t="shared" si="115"/>
        <v>0</v>
      </c>
      <c r="V440" s="925">
        <f t="shared" si="115"/>
        <v>0</v>
      </c>
      <c r="W440" s="925">
        <f t="shared" si="115"/>
        <v>0</v>
      </c>
      <c r="X440" s="925">
        <f t="shared" si="115"/>
        <v>0</v>
      </c>
      <c r="Y440" s="925">
        <f t="shared" si="115"/>
        <v>0</v>
      </c>
      <c r="Z440" s="921">
        <f>SUM(Z441:Z444)</f>
        <v>1514472.2399999998</v>
      </c>
      <c r="AA440" s="925">
        <f>AA441+AA442+AA443+AA444</f>
        <v>0</v>
      </c>
    </row>
    <row r="441" spans="1:27" s="867" customFormat="1" ht="99.75" customHeight="1">
      <c r="A441" s="927">
        <v>59</v>
      </c>
      <c r="B441" s="863" t="s">
        <v>1331</v>
      </c>
      <c r="C441" s="925">
        <f>D441+N441+P441+R441+T441+X441+Z441</f>
        <v>4366254.8</v>
      </c>
      <c r="D441" s="925">
        <f>SUM(E441:J441)</f>
        <v>0</v>
      </c>
      <c r="E441" s="925">
        <v>0</v>
      </c>
      <c r="F441" s="925">
        <v>0</v>
      </c>
      <c r="G441" s="925">
        <v>0</v>
      </c>
      <c r="H441" s="925">
        <v>0</v>
      </c>
      <c r="I441" s="925">
        <v>0</v>
      </c>
      <c r="J441" s="925">
        <v>0</v>
      </c>
      <c r="K441" s="861">
        <v>0</v>
      </c>
      <c r="L441" s="925">
        <v>0</v>
      </c>
      <c r="M441" s="925">
        <v>0</v>
      </c>
      <c r="N441" s="925">
        <v>0</v>
      </c>
      <c r="O441" s="925">
        <v>435.3</v>
      </c>
      <c r="P441" s="925">
        <v>4049112.63</v>
      </c>
      <c r="Q441" s="925">
        <v>0</v>
      </c>
      <c r="R441" s="925">
        <v>0</v>
      </c>
      <c r="S441" s="925">
        <v>0</v>
      </c>
      <c r="T441" s="925">
        <v>0</v>
      </c>
      <c r="U441" s="925">
        <v>0</v>
      </c>
      <c r="V441" s="925">
        <v>0</v>
      </c>
      <c r="W441" s="925">
        <v>0</v>
      </c>
      <c r="X441" s="925">
        <v>0</v>
      </c>
      <c r="Y441" s="925">
        <v>0</v>
      </c>
      <c r="Z441" s="921">
        <v>317142.17</v>
      </c>
      <c r="AA441" s="925">
        <v>0</v>
      </c>
    </row>
    <row r="442" spans="1:27" s="867" customFormat="1" ht="91.5" customHeight="1">
      <c r="A442" s="927">
        <v>60</v>
      </c>
      <c r="B442" s="863" t="s">
        <v>1332</v>
      </c>
      <c r="C442" s="925">
        <f>D442+N442+P442+R442+T442+X442+Z442</f>
        <v>7003460.6600000001</v>
      </c>
      <c r="D442" s="925">
        <f>SUM(E442:J442)</f>
        <v>0</v>
      </c>
      <c r="E442" s="925">
        <v>0</v>
      </c>
      <c r="F442" s="925">
        <v>0</v>
      </c>
      <c r="G442" s="925">
        <v>0</v>
      </c>
      <c r="H442" s="925">
        <v>0</v>
      </c>
      <c r="I442" s="925">
        <v>0</v>
      </c>
      <c r="J442" s="925">
        <v>0</v>
      </c>
      <c r="K442" s="861">
        <v>0</v>
      </c>
      <c r="L442" s="925">
        <v>0</v>
      </c>
      <c r="M442" s="925">
        <v>0</v>
      </c>
      <c r="N442" s="925">
        <v>0</v>
      </c>
      <c r="O442" s="925">
        <v>698.22</v>
      </c>
      <c r="P442" s="925">
        <v>6494765.5</v>
      </c>
      <c r="Q442" s="925">
        <v>0</v>
      </c>
      <c r="R442" s="925">
        <v>0</v>
      </c>
      <c r="S442" s="925">
        <v>0</v>
      </c>
      <c r="T442" s="925">
        <v>0</v>
      </c>
      <c r="U442" s="925">
        <v>0</v>
      </c>
      <c r="V442" s="925">
        <v>0</v>
      </c>
      <c r="W442" s="925">
        <v>0</v>
      </c>
      <c r="X442" s="925">
        <v>0</v>
      </c>
      <c r="Y442" s="925">
        <v>0</v>
      </c>
      <c r="Z442" s="921">
        <v>508695.16</v>
      </c>
      <c r="AA442" s="925">
        <v>0</v>
      </c>
    </row>
    <row r="443" spans="1:27" s="875" customFormat="1" ht="127.5" customHeight="1">
      <c r="A443" s="927">
        <v>61</v>
      </c>
      <c r="B443" s="863" t="s">
        <v>1333</v>
      </c>
      <c r="C443" s="925">
        <f>D443+N443+P443+R443+T443+X443+Z443</f>
        <v>4313093.41</v>
      </c>
      <c r="D443" s="925">
        <f>SUM(E443:J443)</f>
        <v>0</v>
      </c>
      <c r="E443" s="925">
        <v>0</v>
      </c>
      <c r="F443" s="925">
        <v>0</v>
      </c>
      <c r="G443" s="925">
        <v>0</v>
      </c>
      <c r="H443" s="925">
        <v>0</v>
      </c>
      <c r="I443" s="925">
        <v>0</v>
      </c>
      <c r="J443" s="925">
        <v>0</v>
      </c>
      <c r="K443" s="861">
        <v>0</v>
      </c>
      <c r="L443" s="925">
        <v>0</v>
      </c>
      <c r="M443" s="925">
        <v>0</v>
      </c>
      <c r="N443" s="925">
        <v>0</v>
      </c>
      <c r="O443" s="925">
        <v>430</v>
      </c>
      <c r="P443" s="925">
        <v>3999812.61</v>
      </c>
      <c r="Q443" s="925">
        <v>0</v>
      </c>
      <c r="R443" s="925">
        <v>0</v>
      </c>
      <c r="S443" s="925">
        <v>0</v>
      </c>
      <c r="T443" s="925">
        <v>0</v>
      </c>
      <c r="U443" s="925">
        <v>0</v>
      </c>
      <c r="V443" s="925">
        <v>0</v>
      </c>
      <c r="W443" s="925">
        <v>0</v>
      </c>
      <c r="X443" s="925">
        <v>0</v>
      </c>
      <c r="Y443" s="925">
        <v>0</v>
      </c>
      <c r="Z443" s="921">
        <v>313280.8</v>
      </c>
      <c r="AA443" s="925">
        <v>0</v>
      </c>
    </row>
    <row r="444" spans="1:27" s="875" customFormat="1" ht="127.5" customHeight="1">
      <c r="A444" s="927">
        <v>62</v>
      </c>
      <c r="B444" s="863" t="s">
        <v>2187</v>
      </c>
      <c r="C444" s="925">
        <f>D444+N444+P444+R444+T444+X444+Z444</f>
        <v>5167687.7300000004</v>
      </c>
      <c r="D444" s="925">
        <f>SUM(E444:J444)</f>
        <v>0</v>
      </c>
      <c r="E444" s="925">
        <v>0</v>
      </c>
      <c r="F444" s="925">
        <v>0</v>
      </c>
      <c r="G444" s="925">
        <v>0</v>
      </c>
      <c r="H444" s="925">
        <v>0</v>
      </c>
      <c r="I444" s="925">
        <v>0</v>
      </c>
      <c r="J444" s="925">
        <v>0</v>
      </c>
      <c r="K444" s="861">
        <v>0</v>
      </c>
      <c r="L444" s="925">
        <v>0</v>
      </c>
      <c r="M444" s="925">
        <v>0</v>
      </c>
      <c r="N444" s="925">
        <v>0</v>
      </c>
      <c r="O444" s="925">
        <v>515.20000000000005</v>
      </c>
      <c r="P444" s="925">
        <v>4792333.62</v>
      </c>
      <c r="Q444" s="925">
        <v>0</v>
      </c>
      <c r="R444" s="925">
        <v>0</v>
      </c>
      <c r="S444" s="925">
        <v>0</v>
      </c>
      <c r="T444" s="925">
        <v>0</v>
      </c>
      <c r="U444" s="925">
        <v>0</v>
      </c>
      <c r="V444" s="925">
        <v>0</v>
      </c>
      <c r="W444" s="925">
        <v>0</v>
      </c>
      <c r="X444" s="925">
        <v>0</v>
      </c>
      <c r="Y444" s="925">
        <v>0</v>
      </c>
      <c r="Z444" s="921">
        <v>375354.11</v>
      </c>
      <c r="AA444" s="925">
        <v>0</v>
      </c>
    </row>
    <row r="445" spans="1:27" s="875" customFormat="1" ht="121.5" customHeight="1">
      <c r="A445" s="1198" t="s">
        <v>1977</v>
      </c>
      <c r="B445" s="1199"/>
      <c r="C445" s="925">
        <f>SUM(C446:C455)</f>
        <v>72935585.960000008</v>
      </c>
      <c r="D445" s="925">
        <f t="shared" ref="D445:Z445" si="116">SUM(D446:D455)</f>
        <v>0</v>
      </c>
      <c r="E445" s="925">
        <f t="shared" si="116"/>
        <v>0</v>
      </c>
      <c r="F445" s="925">
        <f t="shared" si="116"/>
        <v>0</v>
      </c>
      <c r="G445" s="925">
        <f t="shared" si="116"/>
        <v>0</v>
      </c>
      <c r="H445" s="925">
        <f t="shared" si="116"/>
        <v>0</v>
      </c>
      <c r="I445" s="925">
        <f t="shared" si="116"/>
        <v>0</v>
      </c>
      <c r="J445" s="925">
        <f t="shared" si="116"/>
        <v>0</v>
      </c>
      <c r="K445" s="861">
        <f t="shared" si="116"/>
        <v>0</v>
      </c>
      <c r="L445" s="925">
        <f t="shared" si="116"/>
        <v>0</v>
      </c>
      <c r="M445" s="925">
        <f t="shared" si="116"/>
        <v>0</v>
      </c>
      <c r="N445" s="925">
        <f t="shared" si="116"/>
        <v>0</v>
      </c>
      <c r="O445" s="925">
        <f t="shared" si="116"/>
        <v>3413</v>
      </c>
      <c r="P445" s="925">
        <f t="shared" si="116"/>
        <v>22374276.800000004</v>
      </c>
      <c r="Q445" s="925">
        <f t="shared" si="116"/>
        <v>0</v>
      </c>
      <c r="R445" s="925">
        <f t="shared" si="116"/>
        <v>0</v>
      </c>
      <c r="S445" s="925">
        <f t="shared" si="116"/>
        <v>8336</v>
      </c>
      <c r="T445" s="925">
        <f t="shared" si="116"/>
        <v>36007357.010000005</v>
      </c>
      <c r="U445" s="925">
        <f t="shared" si="116"/>
        <v>1862</v>
      </c>
      <c r="V445" s="925">
        <f t="shared" si="116"/>
        <v>9256288.379999999</v>
      </c>
      <c r="W445" s="925">
        <f t="shared" si="116"/>
        <v>0</v>
      </c>
      <c r="X445" s="925">
        <f t="shared" si="116"/>
        <v>0</v>
      </c>
      <c r="Y445" s="925">
        <f t="shared" si="116"/>
        <v>0</v>
      </c>
      <c r="Z445" s="921">
        <f t="shared" si="116"/>
        <v>5297663.7700000005</v>
      </c>
      <c r="AA445" s="925">
        <f>SUM(AA446:AA455)</f>
        <v>0</v>
      </c>
    </row>
    <row r="446" spans="1:27" s="875" customFormat="1" ht="90" customHeight="1">
      <c r="A446" s="927">
        <v>63</v>
      </c>
      <c r="B446" s="863" t="s">
        <v>1532</v>
      </c>
      <c r="C446" s="925">
        <f t="shared" ref="C446:C452" si="117">D446+N446+P446+R446+T446+X446+Z446+V446</f>
        <v>13488809.460000001</v>
      </c>
      <c r="D446" s="925">
        <f t="shared" ref="D446:D455" si="118">SUM(E446:J446)</f>
        <v>0</v>
      </c>
      <c r="E446" s="925">
        <v>0</v>
      </c>
      <c r="F446" s="925">
        <v>0</v>
      </c>
      <c r="G446" s="925">
        <v>0</v>
      </c>
      <c r="H446" s="925">
        <v>0</v>
      </c>
      <c r="I446" s="925">
        <v>0</v>
      </c>
      <c r="J446" s="925">
        <v>0</v>
      </c>
      <c r="K446" s="861">
        <v>0</v>
      </c>
      <c r="L446" s="925">
        <v>0</v>
      </c>
      <c r="M446" s="925">
        <v>0</v>
      </c>
      <c r="N446" s="925">
        <v>0</v>
      </c>
      <c r="O446" s="925">
        <v>0</v>
      </c>
      <c r="P446" s="925">
        <v>0</v>
      </c>
      <c r="Q446" s="925">
        <v>0</v>
      </c>
      <c r="R446" s="925">
        <v>0</v>
      </c>
      <c r="S446" s="925">
        <v>2431</v>
      </c>
      <c r="T446" s="925">
        <v>10500705.960000001</v>
      </c>
      <c r="U446" s="925">
        <v>404</v>
      </c>
      <c r="V446" s="925">
        <v>2008346.14</v>
      </c>
      <c r="W446" s="925">
        <v>0</v>
      </c>
      <c r="X446" s="925">
        <v>0</v>
      </c>
      <c r="Y446" s="925">
        <v>0</v>
      </c>
      <c r="Z446" s="921">
        <v>979757.36</v>
      </c>
      <c r="AA446" s="925">
        <v>0</v>
      </c>
    </row>
    <row r="447" spans="1:27" s="875" customFormat="1" ht="105.75" customHeight="1">
      <c r="A447" s="927">
        <v>64</v>
      </c>
      <c r="B447" s="863" t="s">
        <v>1533</v>
      </c>
      <c r="C447" s="925">
        <f t="shared" si="117"/>
        <v>3967260.42</v>
      </c>
      <c r="D447" s="925">
        <f t="shared" si="118"/>
        <v>0</v>
      </c>
      <c r="E447" s="925">
        <v>0</v>
      </c>
      <c r="F447" s="925">
        <v>0</v>
      </c>
      <c r="G447" s="925">
        <v>0</v>
      </c>
      <c r="H447" s="925">
        <v>0</v>
      </c>
      <c r="I447" s="925">
        <v>0</v>
      </c>
      <c r="J447" s="925">
        <v>0</v>
      </c>
      <c r="K447" s="861">
        <v>0</v>
      </c>
      <c r="L447" s="925">
        <v>0</v>
      </c>
      <c r="M447" s="925">
        <v>0</v>
      </c>
      <c r="N447" s="925">
        <v>0</v>
      </c>
      <c r="O447" s="925">
        <v>0</v>
      </c>
      <c r="P447" s="925">
        <v>0</v>
      </c>
      <c r="Q447" s="925">
        <v>0</v>
      </c>
      <c r="R447" s="925">
        <v>0</v>
      </c>
      <c r="S447" s="925">
        <v>396</v>
      </c>
      <c r="T447" s="925">
        <v>1710522.24</v>
      </c>
      <c r="U447" s="925">
        <v>396</v>
      </c>
      <c r="V447" s="925">
        <v>1968576.9</v>
      </c>
      <c r="W447" s="925">
        <v>0</v>
      </c>
      <c r="X447" s="925">
        <v>0</v>
      </c>
      <c r="Y447" s="925">
        <v>0</v>
      </c>
      <c r="Z447" s="921">
        <v>288161.28000000003</v>
      </c>
      <c r="AA447" s="925">
        <v>0</v>
      </c>
    </row>
    <row r="448" spans="1:27" s="875" customFormat="1" ht="95.25" customHeight="1">
      <c r="A448" s="927">
        <v>65</v>
      </c>
      <c r="B448" s="863" t="s">
        <v>1534</v>
      </c>
      <c r="C448" s="925">
        <f t="shared" si="117"/>
        <v>13525630.360000001</v>
      </c>
      <c r="D448" s="925">
        <f t="shared" si="118"/>
        <v>0</v>
      </c>
      <c r="E448" s="925">
        <v>0</v>
      </c>
      <c r="F448" s="925">
        <v>0</v>
      </c>
      <c r="G448" s="925">
        <v>0</v>
      </c>
      <c r="H448" s="925">
        <v>0</v>
      </c>
      <c r="I448" s="925">
        <v>0</v>
      </c>
      <c r="J448" s="925">
        <v>0</v>
      </c>
      <c r="K448" s="861">
        <v>0</v>
      </c>
      <c r="L448" s="925">
        <v>0</v>
      </c>
      <c r="M448" s="925">
        <v>0</v>
      </c>
      <c r="N448" s="925">
        <v>0</v>
      </c>
      <c r="O448" s="925">
        <v>0</v>
      </c>
      <c r="P448" s="925">
        <v>0</v>
      </c>
      <c r="Q448" s="925">
        <v>0</v>
      </c>
      <c r="R448" s="925">
        <v>0</v>
      </c>
      <c r="S448" s="925">
        <v>2432</v>
      </c>
      <c r="T448" s="925">
        <v>10505025.460000001</v>
      </c>
      <c r="U448" s="925">
        <v>410</v>
      </c>
      <c r="V448" s="925">
        <v>2038173.06</v>
      </c>
      <c r="W448" s="925">
        <v>0</v>
      </c>
      <c r="X448" s="925">
        <v>0</v>
      </c>
      <c r="Y448" s="925">
        <v>0</v>
      </c>
      <c r="Z448" s="921">
        <v>982431.84</v>
      </c>
      <c r="AA448" s="925">
        <v>0</v>
      </c>
    </row>
    <row r="449" spans="1:27" s="875" customFormat="1" ht="90" customHeight="1">
      <c r="A449" s="927">
        <v>66</v>
      </c>
      <c r="B449" s="863" t="s">
        <v>1551</v>
      </c>
      <c r="C449" s="925">
        <f t="shared" si="117"/>
        <v>17827168.989999998</v>
      </c>
      <c r="D449" s="925">
        <f t="shared" si="118"/>
        <v>0</v>
      </c>
      <c r="E449" s="925">
        <v>0</v>
      </c>
      <c r="F449" s="925">
        <v>0</v>
      </c>
      <c r="G449" s="925">
        <v>0</v>
      </c>
      <c r="H449" s="925">
        <v>0</v>
      </c>
      <c r="I449" s="925">
        <v>0</v>
      </c>
      <c r="J449" s="925">
        <v>0</v>
      </c>
      <c r="K449" s="861">
        <v>0</v>
      </c>
      <c r="L449" s="925">
        <v>0</v>
      </c>
      <c r="M449" s="925">
        <v>0</v>
      </c>
      <c r="N449" s="925">
        <v>0</v>
      </c>
      <c r="O449" s="925">
        <v>0</v>
      </c>
      <c r="P449" s="925">
        <v>0</v>
      </c>
      <c r="Q449" s="925">
        <v>0</v>
      </c>
      <c r="R449" s="925">
        <v>0</v>
      </c>
      <c r="S449" s="925">
        <v>3077</v>
      </c>
      <c r="T449" s="925">
        <v>13291103.35</v>
      </c>
      <c r="U449" s="925">
        <v>652</v>
      </c>
      <c r="V449" s="925">
        <v>3241192.28</v>
      </c>
      <c r="W449" s="925">
        <v>0</v>
      </c>
      <c r="X449" s="925">
        <v>0</v>
      </c>
      <c r="Y449" s="925">
        <v>0</v>
      </c>
      <c r="Z449" s="921">
        <v>1294873.3600000001</v>
      </c>
      <c r="AA449" s="925">
        <v>0</v>
      </c>
    </row>
    <row r="450" spans="1:27" s="875" customFormat="1" ht="116.25" customHeight="1">
      <c r="A450" s="927">
        <v>67</v>
      </c>
      <c r="B450" s="863" t="s">
        <v>1552</v>
      </c>
      <c r="C450" s="925">
        <f t="shared" si="117"/>
        <v>5749605.3799999999</v>
      </c>
      <c r="D450" s="925">
        <f t="shared" si="118"/>
        <v>0</v>
      </c>
      <c r="E450" s="925">
        <v>0</v>
      </c>
      <c r="F450" s="925">
        <v>0</v>
      </c>
      <c r="G450" s="925">
        <v>0</v>
      </c>
      <c r="H450" s="925">
        <v>0</v>
      </c>
      <c r="I450" s="925">
        <v>0</v>
      </c>
      <c r="J450" s="925">
        <v>0</v>
      </c>
      <c r="K450" s="861">
        <v>0</v>
      </c>
      <c r="L450" s="925">
        <v>0</v>
      </c>
      <c r="M450" s="925">
        <v>0</v>
      </c>
      <c r="N450" s="925">
        <v>0</v>
      </c>
      <c r="O450" s="925">
        <v>990</v>
      </c>
      <c r="P450" s="925">
        <v>5331983.78</v>
      </c>
      <c r="Q450" s="925">
        <v>0</v>
      </c>
      <c r="R450" s="925">
        <v>0</v>
      </c>
      <c r="S450" s="925">
        <v>0</v>
      </c>
      <c r="T450" s="925">
        <v>0</v>
      </c>
      <c r="U450" s="925">
        <v>0</v>
      </c>
      <c r="V450" s="925">
        <v>0</v>
      </c>
      <c r="W450" s="925">
        <v>0</v>
      </c>
      <c r="X450" s="925">
        <v>0</v>
      </c>
      <c r="Y450" s="925">
        <v>0</v>
      </c>
      <c r="Z450" s="921">
        <v>417621.6</v>
      </c>
      <c r="AA450" s="925">
        <v>0</v>
      </c>
    </row>
    <row r="451" spans="1:27" s="875" customFormat="1" ht="93.75" customHeight="1">
      <c r="A451" s="927">
        <v>68</v>
      </c>
      <c r="B451" s="863" t="s">
        <v>2188</v>
      </c>
      <c r="C451" s="925">
        <f t="shared" si="117"/>
        <v>3730855.05</v>
      </c>
      <c r="D451" s="925">
        <f t="shared" si="118"/>
        <v>0</v>
      </c>
      <c r="E451" s="925">
        <v>0</v>
      </c>
      <c r="F451" s="925">
        <v>0</v>
      </c>
      <c r="G451" s="925">
        <v>0</v>
      </c>
      <c r="H451" s="925">
        <v>0</v>
      </c>
      <c r="I451" s="925">
        <v>0</v>
      </c>
      <c r="J451" s="925">
        <v>0</v>
      </c>
      <c r="K451" s="861">
        <v>0</v>
      </c>
      <c r="L451" s="925">
        <v>0</v>
      </c>
      <c r="M451" s="925">
        <v>0</v>
      </c>
      <c r="N451" s="925">
        <v>0</v>
      </c>
      <c r="O451" s="925">
        <v>642.4</v>
      </c>
      <c r="P451" s="925">
        <v>3459865.03</v>
      </c>
      <c r="Q451" s="925">
        <v>0</v>
      </c>
      <c r="R451" s="925">
        <v>0</v>
      </c>
      <c r="S451" s="925">
        <v>0</v>
      </c>
      <c r="T451" s="925">
        <v>0</v>
      </c>
      <c r="U451" s="925">
        <v>0</v>
      </c>
      <c r="V451" s="925">
        <v>0</v>
      </c>
      <c r="W451" s="925">
        <v>0</v>
      </c>
      <c r="X451" s="925">
        <v>0</v>
      </c>
      <c r="Y451" s="925">
        <v>0</v>
      </c>
      <c r="Z451" s="921">
        <v>270990.02</v>
      </c>
      <c r="AA451" s="925">
        <v>0</v>
      </c>
    </row>
    <row r="452" spans="1:27" s="875" customFormat="1" ht="93.75" customHeight="1">
      <c r="A452" s="927">
        <v>69</v>
      </c>
      <c r="B452" s="863" t="s">
        <v>1791</v>
      </c>
      <c r="C452" s="925">
        <f t="shared" si="117"/>
        <v>4434126.26</v>
      </c>
      <c r="D452" s="925">
        <f t="shared" si="118"/>
        <v>0</v>
      </c>
      <c r="E452" s="925">
        <v>0</v>
      </c>
      <c r="F452" s="925">
        <v>0</v>
      </c>
      <c r="G452" s="925">
        <v>0</v>
      </c>
      <c r="H452" s="925">
        <v>0</v>
      </c>
      <c r="I452" s="925">
        <v>0</v>
      </c>
      <c r="J452" s="925">
        <v>0</v>
      </c>
      <c r="K452" s="861">
        <v>0</v>
      </c>
      <c r="L452" s="925">
        <v>0</v>
      </c>
      <c r="M452" s="925">
        <v>0</v>
      </c>
      <c r="N452" s="925">
        <v>0</v>
      </c>
      <c r="O452" s="925">
        <v>508</v>
      </c>
      <c r="P452" s="925">
        <v>4112054.26</v>
      </c>
      <c r="Q452" s="925">
        <v>0</v>
      </c>
      <c r="R452" s="925">
        <v>0</v>
      </c>
      <c r="S452" s="925">
        <v>0</v>
      </c>
      <c r="T452" s="925">
        <v>0</v>
      </c>
      <c r="U452" s="925">
        <v>0</v>
      </c>
      <c r="V452" s="925">
        <v>0</v>
      </c>
      <c r="W452" s="925">
        <v>0</v>
      </c>
      <c r="X452" s="925">
        <v>0</v>
      </c>
      <c r="Y452" s="925">
        <v>0</v>
      </c>
      <c r="Z452" s="921">
        <v>322072</v>
      </c>
      <c r="AA452" s="925">
        <v>0</v>
      </c>
    </row>
    <row r="453" spans="1:27" s="875" customFormat="1" ht="121.5" customHeight="1">
      <c r="A453" s="927">
        <v>70</v>
      </c>
      <c r="B453" s="863" t="s">
        <v>1343</v>
      </c>
      <c r="C453" s="925">
        <f>D453+N453+P453+R453+T453+X453+Z453</f>
        <v>5536808.29</v>
      </c>
      <c r="D453" s="925">
        <f t="shared" si="118"/>
        <v>0</v>
      </c>
      <c r="E453" s="925">
        <v>0</v>
      </c>
      <c r="F453" s="925">
        <v>0</v>
      </c>
      <c r="G453" s="925">
        <v>0</v>
      </c>
      <c r="H453" s="925">
        <v>0</v>
      </c>
      <c r="I453" s="925">
        <v>0</v>
      </c>
      <c r="J453" s="925">
        <v>0</v>
      </c>
      <c r="K453" s="861">
        <v>0</v>
      </c>
      <c r="L453" s="925">
        <v>0</v>
      </c>
      <c r="M453" s="925">
        <v>0</v>
      </c>
      <c r="N453" s="925">
        <v>0</v>
      </c>
      <c r="O453" s="925">
        <v>552</v>
      </c>
      <c r="P453" s="925">
        <v>5134643.17</v>
      </c>
      <c r="Q453" s="925">
        <v>0</v>
      </c>
      <c r="R453" s="925">
        <v>0</v>
      </c>
      <c r="S453" s="925">
        <v>0</v>
      </c>
      <c r="T453" s="925">
        <v>0</v>
      </c>
      <c r="U453" s="925">
        <v>0</v>
      </c>
      <c r="V453" s="925">
        <v>0</v>
      </c>
      <c r="W453" s="925">
        <v>0</v>
      </c>
      <c r="X453" s="925">
        <v>0</v>
      </c>
      <c r="Y453" s="925">
        <v>0</v>
      </c>
      <c r="Z453" s="921">
        <v>402165.12</v>
      </c>
      <c r="AA453" s="925">
        <v>0</v>
      </c>
    </row>
    <row r="454" spans="1:27" s="875" customFormat="1" ht="94.15" customHeight="1">
      <c r="A454" s="927">
        <v>71</v>
      </c>
      <c r="B454" s="868" t="s">
        <v>1488</v>
      </c>
      <c r="C454" s="925">
        <f>D454+N454+P454+R454+T454+X454+Z454</f>
        <v>1309575.52</v>
      </c>
      <c r="D454" s="925">
        <f t="shared" si="118"/>
        <v>0</v>
      </c>
      <c r="E454" s="925">
        <v>0</v>
      </c>
      <c r="F454" s="925">
        <v>0</v>
      </c>
      <c r="G454" s="925">
        <v>0</v>
      </c>
      <c r="H454" s="925">
        <v>0</v>
      </c>
      <c r="I454" s="925">
        <v>0</v>
      </c>
      <c r="J454" s="925">
        <v>0</v>
      </c>
      <c r="K454" s="861">
        <v>0</v>
      </c>
      <c r="L454" s="925">
        <v>0</v>
      </c>
      <c r="M454" s="925">
        <v>0</v>
      </c>
      <c r="N454" s="925">
        <v>0</v>
      </c>
      <c r="O454" s="925">
        <v>335</v>
      </c>
      <c r="P454" s="925">
        <v>1214454.73</v>
      </c>
      <c r="Q454" s="925">
        <v>0</v>
      </c>
      <c r="R454" s="925">
        <v>0</v>
      </c>
      <c r="S454" s="925">
        <v>0</v>
      </c>
      <c r="T454" s="925">
        <v>0</v>
      </c>
      <c r="U454" s="925">
        <v>0</v>
      </c>
      <c r="V454" s="925">
        <v>0</v>
      </c>
      <c r="W454" s="925">
        <v>0</v>
      </c>
      <c r="X454" s="925">
        <v>0</v>
      </c>
      <c r="Y454" s="925">
        <v>0</v>
      </c>
      <c r="Z454" s="921">
        <v>95120.79</v>
      </c>
      <c r="AA454" s="925">
        <v>0</v>
      </c>
    </row>
    <row r="455" spans="1:27" s="875" customFormat="1" ht="144" customHeight="1">
      <c r="A455" s="927">
        <v>72</v>
      </c>
      <c r="B455" s="863" t="s">
        <v>1587</v>
      </c>
      <c r="C455" s="925">
        <f>D455+N455+P455+R455+T455+X455+Z455</f>
        <v>3365746.23</v>
      </c>
      <c r="D455" s="925">
        <f t="shared" si="118"/>
        <v>0</v>
      </c>
      <c r="E455" s="925">
        <v>0</v>
      </c>
      <c r="F455" s="925">
        <v>0</v>
      </c>
      <c r="G455" s="925">
        <v>0</v>
      </c>
      <c r="H455" s="925">
        <v>0</v>
      </c>
      <c r="I455" s="925">
        <v>0</v>
      </c>
      <c r="J455" s="925">
        <v>0</v>
      </c>
      <c r="K455" s="861">
        <v>0</v>
      </c>
      <c r="L455" s="925">
        <v>0</v>
      </c>
      <c r="M455" s="925">
        <v>0</v>
      </c>
      <c r="N455" s="925">
        <v>0</v>
      </c>
      <c r="O455" s="925">
        <v>385.6</v>
      </c>
      <c r="P455" s="925">
        <v>3121275.83</v>
      </c>
      <c r="Q455" s="925">
        <v>0</v>
      </c>
      <c r="R455" s="925">
        <v>0</v>
      </c>
      <c r="S455" s="925">
        <v>0</v>
      </c>
      <c r="T455" s="925">
        <v>0</v>
      </c>
      <c r="U455" s="925">
        <v>0</v>
      </c>
      <c r="V455" s="925">
        <v>0</v>
      </c>
      <c r="W455" s="925">
        <v>0</v>
      </c>
      <c r="X455" s="925">
        <v>0</v>
      </c>
      <c r="Y455" s="925">
        <v>0</v>
      </c>
      <c r="Z455" s="921">
        <v>244470.39999999999</v>
      </c>
      <c r="AA455" s="925">
        <v>0</v>
      </c>
    </row>
    <row r="456" spans="1:27" s="875" customFormat="1" ht="91.5" customHeight="1">
      <c r="A456" s="1198" t="s">
        <v>1788</v>
      </c>
      <c r="B456" s="1199"/>
      <c r="C456" s="925">
        <f>C457</f>
        <v>12301343.630000001</v>
      </c>
      <c r="D456" s="925">
        <f t="shared" ref="D456:AA456" si="119">D457</f>
        <v>0</v>
      </c>
      <c r="E456" s="925">
        <f t="shared" si="119"/>
        <v>0</v>
      </c>
      <c r="F456" s="925">
        <f t="shared" si="119"/>
        <v>0</v>
      </c>
      <c r="G456" s="925">
        <f t="shared" si="119"/>
        <v>0</v>
      </c>
      <c r="H456" s="925">
        <f t="shared" si="119"/>
        <v>0</v>
      </c>
      <c r="I456" s="925">
        <f t="shared" si="119"/>
        <v>0</v>
      </c>
      <c r="J456" s="925">
        <f t="shared" si="119"/>
        <v>0</v>
      </c>
      <c r="K456" s="861">
        <f t="shared" si="119"/>
        <v>0</v>
      </c>
      <c r="L456" s="925">
        <f t="shared" si="119"/>
        <v>0</v>
      </c>
      <c r="M456" s="925">
        <f t="shared" si="119"/>
        <v>0</v>
      </c>
      <c r="N456" s="925">
        <f t="shared" si="119"/>
        <v>0</v>
      </c>
      <c r="O456" s="925">
        <f t="shared" si="119"/>
        <v>1226.4000000000001</v>
      </c>
      <c r="P456" s="925">
        <f t="shared" si="119"/>
        <v>11407837.65</v>
      </c>
      <c r="Q456" s="925">
        <f t="shared" si="119"/>
        <v>0</v>
      </c>
      <c r="R456" s="925">
        <f t="shared" si="119"/>
        <v>0</v>
      </c>
      <c r="S456" s="925">
        <f t="shared" si="119"/>
        <v>0</v>
      </c>
      <c r="T456" s="925">
        <f t="shared" si="119"/>
        <v>0</v>
      </c>
      <c r="U456" s="925">
        <f t="shared" si="119"/>
        <v>0</v>
      </c>
      <c r="V456" s="925">
        <f t="shared" si="119"/>
        <v>0</v>
      </c>
      <c r="W456" s="925">
        <f t="shared" si="119"/>
        <v>0</v>
      </c>
      <c r="X456" s="925">
        <f t="shared" si="119"/>
        <v>0</v>
      </c>
      <c r="Y456" s="925">
        <f t="shared" si="119"/>
        <v>0</v>
      </c>
      <c r="Z456" s="921">
        <f t="shared" si="119"/>
        <v>893505.98</v>
      </c>
      <c r="AA456" s="925">
        <f t="shared" si="119"/>
        <v>0</v>
      </c>
    </row>
    <row r="457" spans="1:27" s="875" customFormat="1" ht="129" customHeight="1">
      <c r="A457" s="927">
        <v>73</v>
      </c>
      <c r="B457" s="863" t="s">
        <v>2086</v>
      </c>
      <c r="C457" s="925">
        <f>D457+N457+P457+R457+T457+X457+Z457</f>
        <v>12301343.630000001</v>
      </c>
      <c r="D457" s="925">
        <f>SUM(E457:J457)</f>
        <v>0</v>
      </c>
      <c r="E457" s="925">
        <v>0</v>
      </c>
      <c r="F457" s="925">
        <v>0</v>
      </c>
      <c r="G457" s="925">
        <v>0</v>
      </c>
      <c r="H457" s="925">
        <v>0</v>
      </c>
      <c r="I457" s="925">
        <v>0</v>
      </c>
      <c r="J457" s="925">
        <v>0</v>
      </c>
      <c r="K457" s="861">
        <v>0</v>
      </c>
      <c r="L457" s="925">
        <v>0</v>
      </c>
      <c r="M457" s="925">
        <v>0</v>
      </c>
      <c r="N457" s="925">
        <v>0</v>
      </c>
      <c r="O457" s="925">
        <v>1226.4000000000001</v>
      </c>
      <c r="P457" s="925">
        <v>11407837.65</v>
      </c>
      <c r="Q457" s="925">
        <v>0</v>
      </c>
      <c r="R457" s="925">
        <v>0</v>
      </c>
      <c r="S457" s="925">
        <v>0</v>
      </c>
      <c r="T457" s="925">
        <v>0</v>
      </c>
      <c r="U457" s="925">
        <v>0</v>
      </c>
      <c r="V457" s="925">
        <v>0</v>
      </c>
      <c r="W457" s="925">
        <v>0</v>
      </c>
      <c r="X457" s="925">
        <v>0</v>
      </c>
      <c r="Y457" s="925">
        <v>0</v>
      </c>
      <c r="Z457" s="921">
        <v>893505.98</v>
      </c>
      <c r="AA457" s="925">
        <v>0</v>
      </c>
    </row>
    <row r="458" spans="1:27" s="875" customFormat="1" ht="95.25" customHeight="1">
      <c r="A458" s="1198" t="s">
        <v>1976</v>
      </c>
      <c r="B458" s="1199"/>
      <c r="C458" s="925">
        <f>C459</f>
        <v>11676241.530000001</v>
      </c>
      <c r="D458" s="925">
        <f t="shared" ref="D458:AA458" si="120">D459</f>
        <v>0</v>
      </c>
      <c r="E458" s="925">
        <f t="shared" si="120"/>
        <v>0</v>
      </c>
      <c r="F458" s="925">
        <f t="shared" si="120"/>
        <v>0</v>
      </c>
      <c r="G458" s="925">
        <f t="shared" si="120"/>
        <v>0</v>
      </c>
      <c r="H458" s="925">
        <f t="shared" si="120"/>
        <v>0</v>
      </c>
      <c r="I458" s="925">
        <f t="shared" si="120"/>
        <v>0</v>
      </c>
      <c r="J458" s="925">
        <f t="shared" si="120"/>
        <v>0</v>
      </c>
      <c r="K458" s="861">
        <f t="shared" si="120"/>
        <v>0</v>
      </c>
      <c r="L458" s="925">
        <f t="shared" si="120"/>
        <v>0</v>
      </c>
      <c r="M458" s="925">
        <f t="shared" si="120"/>
        <v>0</v>
      </c>
      <c r="N458" s="925">
        <f t="shared" si="120"/>
        <v>0</v>
      </c>
      <c r="O458" s="925">
        <f t="shared" si="120"/>
        <v>1337.7</v>
      </c>
      <c r="P458" s="925">
        <f t="shared" si="120"/>
        <v>10828139.73</v>
      </c>
      <c r="Q458" s="925">
        <f t="shared" si="120"/>
        <v>0</v>
      </c>
      <c r="R458" s="925">
        <f t="shared" si="120"/>
        <v>0</v>
      </c>
      <c r="S458" s="925">
        <f t="shared" si="120"/>
        <v>0</v>
      </c>
      <c r="T458" s="925">
        <f t="shared" si="120"/>
        <v>0</v>
      </c>
      <c r="U458" s="925">
        <f t="shared" si="120"/>
        <v>0</v>
      </c>
      <c r="V458" s="925">
        <f t="shared" si="120"/>
        <v>0</v>
      </c>
      <c r="W458" s="925">
        <f t="shared" si="120"/>
        <v>0</v>
      </c>
      <c r="X458" s="925">
        <f t="shared" si="120"/>
        <v>0</v>
      </c>
      <c r="Y458" s="925">
        <f t="shared" si="120"/>
        <v>0</v>
      </c>
      <c r="Z458" s="921">
        <f t="shared" si="120"/>
        <v>848101.8</v>
      </c>
      <c r="AA458" s="925">
        <f t="shared" si="120"/>
        <v>0</v>
      </c>
    </row>
    <row r="459" spans="1:27" s="875" customFormat="1" ht="99" customHeight="1">
      <c r="A459" s="927">
        <v>74</v>
      </c>
      <c r="B459" s="863" t="s">
        <v>1444</v>
      </c>
      <c r="C459" s="925">
        <f>D459+N459+P459+R459+T459+X459+Z459</f>
        <v>11676241.530000001</v>
      </c>
      <c r="D459" s="925">
        <f>SUM(E459:J459)</f>
        <v>0</v>
      </c>
      <c r="E459" s="925">
        <v>0</v>
      </c>
      <c r="F459" s="925">
        <v>0</v>
      </c>
      <c r="G459" s="925">
        <v>0</v>
      </c>
      <c r="H459" s="925">
        <v>0</v>
      </c>
      <c r="I459" s="925">
        <v>0</v>
      </c>
      <c r="J459" s="925">
        <v>0</v>
      </c>
      <c r="K459" s="861">
        <v>0</v>
      </c>
      <c r="L459" s="925">
        <v>0</v>
      </c>
      <c r="M459" s="925">
        <v>0</v>
      </c>
      <c r="N459" s="925">
        <v>0</v>
      </c>
      <c r="O459" s="925">
        <v>1337.7</v>
      </c>
      <c r="P459" s="925">
        <v>10828139.73</v>
      </c>
      <c r="Q459" s="925">
        <v>0</v>
      </c>
      <c r="R459" s="925">
        <v>0</v>
      </c>
      <c r="S459" s="925">
        <v>0</v>
      </c>
      <c r="T459" s="925">
        <v>0</v>
      </c>
      <c r="U459" s="925">
        <v>0</v>
      </c>
      <c r="V459" s="925">
        <v>0</v>
      </c>
      <c r="W459" s="925">
        <v>0</v>
      </c>
      <c r="X459" s="925">
        <v>0</v>
      </c>
      <c r="Y459" s="925">
        <v>0</v>
      </c>
      <c r="Z459" s="921">
        <v>848101.8</v>
      </c>
      <c r="AA459" s="925">
        <v>0</v>
      </c>
    </row>
    <row r="460" spans="1:27" s="867" customFormat="1" ht="93.6" customHeight="1">
      <c r="A460" s="1198" t="s">
        <v>1072</v>
      </c>
      <c r="B460" s="1199"/>
      <c r="C460" s="925">
        <f>C461+C462+C463</f>
        <v>19861037.489999998</v>
      </c>
      <c r="D460" s="925">
        <f t="shared" ref="D460:AA460" si="121">D461+D462+D463</f>
        <v>0</v>
      </c>
      <c r="E460" s="925">
        <f t="shared" si="121"/>
        <v>0</v>
      </c>
      <c r="F460" s="925">
        <f t="shared" si="121"/>
        <v>0</v>
      </c>
      <c r="G460" s="925">
        <f t="shared" si="121"/>
        <v>0</v>
      </c>
      <c r="H460" s="925">
        <f t="shared" si="121"/>
        <v>0</v>
      </c>
      <c r="I460" s="925">
        <f t="shared" si="121"/>
        <v>0</v>
      </c>
      <c r="J460" s="925">
        <f t="shared" si="121"/>
        <v>0</v>
      </c>
      <c r="K460" s="861">
        <f t="shared" si="121"/>
        <v>0</v>
      </c>
      <c r="L460" s="925">
        <f t="shared" si="121"/>
        <v>0</v>
      </c>
      <c r="M460" s="925">
        <f t="shared" si="121"/>
        <v>0</v>
      </c>
      <c r="N460" s="925">
        <f t="shared" si="121"/>
        <v>0</v>
      </c>
      <c r="O460" s="925">
        <f t="shared" si="121"/>
        <v>2441.9900000000002</v>
      </c>
      <c r="P460" s="925">
        <f t="shared" si="121"/>
        <v>18418434.440000001</v>
      </c>
      <c r="Q460" s="925">
        <f t="shared" si="121"/>
        <v>0</v>
      </c>
      <c r="R460" s="925">
        <f t="shared" si="121"/>
        <v>0</v>
      </c>
      <c r="S460" s="925">
        <f t="shared" si="121"/>
        <v>0</v>
      </c>
      <c r="T460" s="925">
        <f t="shared" si="121"/>
        <v>0</v>
      </c>
      <c r="U460" s="925">
        <f t="shared" si="121"/>
        <v>0</v>
      </c>
      <c r="V460" s="925">
        <f t="shared" si="121"/>
        <v>0</v>
      </c>
      <c r="W460" s="925">
        <f t="shared" si="121"/>
        <v>0</v>
      </c>
      <c r="X460" s="925">
        <f t="shared" si="121"/>
        <v>0</v>
      </c>
      <c r="Y460" s="925">
        <f t="shared" si="121"/>
        <v>0</v>
      </c>
      <c r="Z460" s="921">
        <f t="shared" si="121"/>
        <v>1442603.05</v>
      </c>
      <c r="AA460" s="925">
        <f t="shared" si="121"/>
        <v>0</v>
      </c>
    </row>
    <row r="461" spans="1:27" s="867" customFormat="1" ht="132.6" customHeight="1">
      <c r="A461" s="927">
        <v>75</v>
      </c>
      <c r="B461" s="863" t="s">
        <v>1392</v>
      </c>
      <c r="C461" s="925">
        <f>D461+N461+P461+R461+T461+X461+Z461</f>
        <v>6372188.9099999992</v>
      </c>
      <c r="D461" s="925">
        <f>SUM(E461:J461)</f>
        <v>0</v>
      </c>
      <c r="E461" s="925">
        <v>0</v>
      </c>
      <c r="F461" s="925">
        <v>0</v>
      </c>
      <c r="G461" s="925">
        <v>0</v>
      </c>
      <c r="H461" s="925">
        <v>0</v>
      </c>
      <c r="I461" s="925">
        <v>0</v>
      </c>
      <c r="J461" s="925">
        <v>0</v>
      </c>
      <c r="K461" s="861">
        <v>0</v>
      </c>
      <c r="L461" s="925">
        <v>0</v>
      </c>
      <c r="M461" s="925">
        <v>0</v>
      </c>
      <c r="N461" s="925">
        <v>0</v>
      </c>
      <c r="O461" s="925">
        <v>1097.2</v>
      </c>
      <c r="P461" s="925">
        <v>5909346.0599999996</v>
      </c>
      <c r="Q461" s="925">
        <v>0</v>
      </c>
      <c r="R461" s="925">
        <v>0</v>
      </c>
      <c r="S461" s="925">
        <v>0</v>
      </c>
      <c r="T461" s="925">
        <v>0</v>
      </c>
      <c r="U461" s="925">
        <v>0</v>
      </c>
      <c r="V461" s="925">
        <v>0</v>
      </c>
      <c r="W461" s="925">
        <v>0</v>
      </c>
      <c r="X461" s="925">
        <v>0</v>
      </c>
      <c r="Y461" s="925">
        <v>0</v>
      </c>
      <c r="Z461" s="921">
        <v>462842.85</v>
      </c>
      <c r="AA461" s="925">
        <v>0</v>
      </c>
    </row>
    <row r="462" spans="1:27" s="867" customFormat="1" ht="97.15" customHeight="1">
      <c r="A462" s="927">
        <v>76</v>
      </c>
      <c r="B462" s="863" t="s">
        <v>2189</v>
      </c>
      <c r="C462" s="925">
        <f>D462+N462+P462+R462+T462+X462+Z462</f>
        <v>9932151.3899999987</v>
      </c>
      <c r="D462" s="925">
        <f>SUM(E462:J462)</f>
        <v>0</v>
      </c>
      <c r="E462" s="925">
        <v>0</v>
      </c>
      <c r="F462" s="925">
        <v>0</v>
      </c>
      <c r="G462" s="925">
        <v>0</v>
      </c>
      <c r="H462" s="925">
        <v>0</v>
      </c>
      <c r="I462" s="925">
        <v>0</v>
      </c>
      <c r="J462" s="925">
        <v>0</v>
      </c>
      <c r="K462" s="861">
        <v>0</v>
      </c>
      <c r="L462" s="925">
        <v>0</v>
      </c>
      <c r="M462" s="925">
        <v>0</v>
      </c>
      <c r="N462" s="925">
        <v>0</v>
      </c>
      <c r="O462" s="925">
        <v>990.2</v>
      </c>
      <c r="P462" s="925">
        <v>9210731.2799999993</v>
      </c>
      <c r="Q462" s="925">
        <v>0</v>
      </c>
      <c r="R462" s="925">
        <v>0</v>
      </c>
      <c r="S462" s="925">
        <v>0</v>
      </c>
      <c r="T462" s="925">
        <v>0</v>
      </c>
      <c r="U462" s="925">
        <v>0</v>
      </c>
      <c r="V462" s="925">
        <v>0</v>
      </c>
      <c r="W462" s="925">
        <v>0</v>
      </c>
      <c r="X462" s="925">
        <v>0</v>
      </c>
      <c r="Y462" s="925">
        <v>0</v>
      </c>
      <c r="Z462" s="921">
        <v>721420.11</v>
      </c>
      <c r="AA462" s="925">
        <v>0</v>
      </c>
    </row>
    <row r="463" spans="1:27" s="867" customFormat="1" ht="98.45" customHeight="1">
      <c r="A463" s="927">
        <v>77</v>
      </c>
      <c r="B463" s="863" t="s">
        <v>1394</v>
      </c>
      <c r="C463" s="925">
        <f>D463+N463+P463+R463+T463+X463+Z463</f>
        <v>3556697.19</v>
      </c>
      <c r="D463" s="925">
        <f>SUM(E463:J463)</f>
        <v>0</v>
      </c>
      <c r="E463" s="925">
        <v>0</v>
      </c>
      <c r="F463" s="925">
        <v>0</v>
      </c>
      <c r="G463" s="925">
        <v>0</v>
      </c>
      <c r="H463" s="925">
        <v>0</v>
      </c>
      <c r="I463" s="925">
        <v>0</v>
      </c>
      <c r="J463" s="925">
        <v>0</v>
      </c>
      <c r="K463" s="861">
        <v>0</v>
      </c>
      <c r="L463" s="925">
        <v>0</v>
      </c>
      <c r="M463" s="925">
        <v>0</v>
      </c>
      <c r="N463" s="925">
        <v>0</v>
      </c>
      <c r="O463" s="925">
        <v>354.59</v>
      </c>
      <c r="P463" s="925">
        <v>3298357.1</v>
      </c>
      <c r="Q463" s="925">
        <v>0</v>
      </c>
      <c r="R463" s="925">
        <v>0</v>
      </c>
      <c r="S463" s="925">
        <v>0</v>
      </c>
      <c r="T463" s="925">
        <v>0</v>
      </c>
      <c r="U463" s="925">
        <v>0</v>
      </c>
      <c r="V463" s="925">
        <v>0</v>
      </c>
      <c r="W463" s="925">
        <v>0</v>
      </c>
      <c r="X463" s="925">
        <v>0</v>
      </c>
      <c r="Y463" s="925">
        <v>0</v>
      </c>
      <c r="Z463" s="921">
        <v>258340.09</v>
      </c>
      <c r="AA463" s="925">
        <v>0</v>
      </c>
    </row>
    <row r="464" spans="1:27" s="867" customFormat="1" ht="98.45" customHeight="1">
      <c r="A464" s="1198" t="s">
        <v>1824</v>
      </c>
      <c r="B464" s="1199"/>
      <c r="C464" s="925">
        <f>SUM(C465:C466)</f>
        <v>6125301.7300000004</v>
      </c>
      <c r="D464" s="925">
        <f t="shared" ref="D464:AA464" si="122">SUM(D465:D466)</f>
        <v>0</v>
      </c>
      <c r="E464" s="925">
        <f t="shared" si="122"/>
        <v>0</v>
      </c>
      <c r="F464" s="925">
        <f t="shared" si="122"/>
        <v>0</v>
      </c>
      <c r="G464" s="925">
        <f t="shared" si="122"/>
        <v>0</v>
      </c>
      <c r="H464" s="925">
        <f t="shared" si="122"/>
        <v>0</v>
      </c>
      <c r="I464" s="925">
        <f t="shared" si="122"/>
        <v>0</v>
      </c>
      <c r="J464" s="925">
        <f t="shared" si="122"/>
        <v>0</v>
      </c>
      <c r="K464" s="925">
        <f t="shared" si="122"/>
        <v>0</v>
      </c>
      <c r="L464" s="925">
        <f t="shared" si="122"/>
        <v>0</v>
      </c>
      <c r="M464" s="925">
        <f t="shared" si="122"/>
        <v>0</v>
      </c>
      <c r="N464" s="925">
        <f t="shared" si="122"/>
        <v>0</v>
      </c>
      <c r="O464" s="925">
        <f t="shared" si="122"/>
        <v>620</v>
      </c>
      <c r="P464" s="925">
        <f t="shared" si="122"/>
        <v>3339222.16</v>
      </c>
      <c r="Q464" s="925">
        <f t="shared" si="122"/>
        <v>0</v>
      </c>
      <c r="R464" s="925">
        <f t="shared" si="122"/>
        <v>0</v>
      </c>
      <c r="S464" s="925">
        <f t="shared" si="122"/>
        <v>542</v>
      </c>
      <c r="T464" s="925">
        <f t="shared" si="122"/>
        <v>2341169.33</v>
      </c>
      <c r="U464" s="925">
        <f t="shared" si="122"/>
        <v>0</v>
      </c>
      <c r="V464" s="925">
        <f t="shared" si="122"/>
        <v>0</v>
      </c>
      <c r="W464" s="925">
        <f t="shared" si="122"/>
        <v>0</v>
      </c>
      <c r="X464" s="925">
        <f t="shared" si="122"/>
        <v>0</v>
      </c>
      <c r="Y464" s="925">
        <f t="shared" si="122"/>
        <v>0</v>
      </c>
      <c r="Z464" s="925">
        <f t="shared" si="122"/>
        <v>444910.24</v>
      </c>
      <c r="AA464" s="925">
        <f t="shared" si="122"/>
        <v>0</v>
      </c>
    </row>
    <row r="465" spans="1:27" s="867" customFormat="1" ht="98.45" customHeight="1">
      <c r="A465" s="927">
        <v>78</v>
      </c>
      <c r="B465" s="863" t="s">
        <v>1966</v>
      </c>
      <c r="C465" s="925">
        <f>D465+N465+P465+R465+T465+X465+Z465</f>
        <v>2524538.77</v>
      </c>
      <c r="D465" s="925">
        <f>SUM(E465:J465)</f>
        <v>0</v>
      </c>
      <c r="E465" s="925">
        <v>0</v>
      </c>
      <c r="F465" s="925">
        <v>0</v>
      </c>
      <c r="G465" s="925">
        <v>0</v>
      </c>
      <c r="H465" s="925">
        <v>0</v>
      </c>
      <c r="I465" s="925">
        <v>0</v>
      </c>
      <c r="J465" s="925">
        <v>0</v>
      </c>
      <c r="K465" s="861">
        <v>0</v>
      </c>
      <c r="L465" s="925">
        <v>0</v>
      </c>
      <c r="M465" s="925">
        <v>0</v>
      </c>
      <c r="N465" s="925">
        <v>0</v>
      </c>
      <c r="O465" s="925">
        <v>0</v>
      </c>
      <c r="P465" s="925">
        <v>0</v>
      </c>
      <c r="Q465" s="925">
        <v>0</v>
      </c>
      <c r="R465" s="925">
        <v>0</v>
      </c>
      <c r="S465" s="925">
        <v>542</v>
      </c>
      <c r="T465" s="925">
        <v>2341169.33</v>
      </c>
      <c r="U465" s="925">
        <v>0</v>
      </c>
      <c r="V465" s="925">
        <v>0</v>
      </c>
      <c r="W465" s="925">
        <v>0</v>
      </c>
      <c r="X465" s="925">
        <v>0</v>
      </c>
      <c r="Y465" s="925">
        <v>0</v>
      </c>
      <c r="Z465" s="921">
        <v>183369.44</v>
      </c>
      <c r="AA465" s="925">
        <v>0</v>
      </c>
    </row>
    <row r="466" spans="1:27" s="867" customFormat="1" ht="98.45" customHeight="1">
      <c r="A466" s="927">
        <v>79</v>
      </c>
      <c r="B466" s="863" t="s">
        <v>2090</v>
      </c>
      <c r="C466" s="925">
        <f>D466+N466+P466+R466+T466+X466+Z466</f>
        <v>3600762.96</v>
      </c>
      <c r="D466" s="925">
        <f>SUM(E466:J466)</f>
        <v>0</v>
      </c>
      <c r="E466" s="925">
        <v>0</v>
      </c>
      <c r="F466" s="925">
        <v>0</v>
      </c>
      <c r="G466" s="925">
        <v>0</v>
      </c>
      <c r="H466" s="925">
        <v>0</v>
      </c>
      <c r="I466" s="925">
        <v>0</v>
      </c>
      <c r="J466" s="925">
        <v>0</v>
      </c>
      <c r="K466" s="861">
        <v>0</v>
      </c>
      <c r="L466" s="925">
        <v>0</v>
      </c>
      <c r="M466" s="925">
        <v>0</v>
      </c>
      <c r="N466" s="925">
        <v>0</v>
      </c>
      <c r="O466" s="925">
        <v>620</v>
      </c>
      <c r="P466" s="925">
        <v>3339222.16</v>
      </c>
      <c r="Q466" s="925">
        <v>0</v>
      </c>
      <c r="R466" s="925">
        <v>0</v>
      </c>
      <c r="S466" s="925">
        <v>0</v>
      </c>
      <c r="T466" s="925">
        <v>0</v>
      </c>
      <c r="U466" s="925">
        <v>0</v>
      </c>
      <c r="V466" s="925">
        <v>0</v>
      </c>
      <c r="W466" s="925">
        <v>0</v>
      </c>
      <c r="X466" s="925">
        <v>0</v>
      </c>
      <c r="Y466" s="925">
        <v>0</v>
      </c>
      <c r="Z466" s="921">
        <v>261540.8</v>
      </c>
      <c r="AA466" s="925">
        <v>0</v>
      </c>
    </row>
    <row r="467" spans="1:27" s="867" customFormat="1" ht="84" customHeight="1">
      <c r="A467" s="1198" t="s">
        <v>1249</v>
      </c>
      <c r="B467" s="1199"/>
      <c r="C467" s="925">
        <f>C468+C469</f>
        <v>9481784.1899999995</v>
      </c>
      <c r="D467" s="925">
        <f t="shared" ref="D467:AA467" si="123">D468+D469</f>
        <v>0</v>
      </c>
      <c r="E467" s="925">
        <f t="shared" si="123"/>
        <v>0</v>
      </c>
      <c r="F467" s="925">
        <f t="shared" si="123"/>
        <v>0</v>
      </c>
      <c r="G467" s="925">
        <f t="shared" si="123"/>
        <v>0</v>
      </c>
      <c r="H467" s="925">
        <f t="shared" si="123"/>
        <v>0</v>
      </c>
      <c r="I467" s="925">
        <f t="shared" si="123"/>
        <v>0</v>
      </c>
      <c r="J467" s="925">
        <f t="shared" si="123"/>
        <v>0</v>
      </c>
      <c r="K467" s="861">
        <f t="shared" si="123"/>
        <v>0</v>
      </c>
      <c r="L467" s="925">
        <f t="shared" si="123"/>
        <v>0</v>
      </c>
      <c r="M467" s="925">
        <f t="shared" si="123"/>
        <v>0</v>
      </c>
      <c r="N467" s="925">
        <f t="shared" si="123"/>
        <v>0</v>
      </c>
      <c r="O467" s="925">
        <f t="shared" si="123"/>
        <v>945.3</v>
      </c>
      <c r="P467" s="925">
        <f t="shared" si="123"/>
        <v>8793076.4199999999</v>
      </c>
      <c r="Q467" s="925">
        <f t="shared" si="123"/>
        <v>0</v>
      </c>
      <c r="R467" s="925">
        <f t="shared" si="123"/>
        <v>0</v>
      </c>
      <c r="S467" s="925">
        <f t="shared" si="123"/>
        <v>0</v>
      </c>
      <c r="T467" s="925">
        <f t="shared" si="123"/>
        <v>0</v>
      </c>
      <c r="U467" s="925">
        <v>0</v>
      </c>
      <c r="V467" s="925">
        <v>0</v>
      </c>
      <c r="W467" s="925">
        <f t="shared" si="123"/>
        <v>0</v>
      </c>
      <c r="X467" s="925">
        <f t="shared" si="123"/>
        <v>0</v>
      </c>
      <c r="Y467" s="925">
        <f t="shared" si="123"/>
        <v>0</v>
      </c>
      <c r="Z467" s="921">
        <f t="shared" si="123"/>
        <v>688707.77</v>
      </c>
      <c r="AA467" s="925">
        <f t="shared" si="123"/>
        <v>0</v>
      </c>
    </row>
    <row r="468" spans="1:27" s="867" customFormat="1" ht="98.45" customHeight="1">
      <c r="A468" s="927">
        <v>80</v>
      </c>
      <c r="B468" s="863" t="s">
        <v>1786</v>
      </c>
      <c r="C468" s="925">
        <f>D468+N468+P468+R468+T468+X468+Z468+L468</f>
        <v>4343184.76</v>
      </c>
      <c r="D468" s="925">
        <f>SUM(E468:J468)</f>
        <v>0</v>
      </c>
      <c r="E468" s="925">
        <v>0</v>
      </c>
      <c r="F468" s="925">
        <v>0</v>
      </c>
      <c r="G468" s="925">
        <v>0</v>
      </c>
      <c r="H468" s="925">
        <v>0</v>
      </c>
      <c r="I468" s="925">
        <v>0</v>
      </c>
      <c r="J468" s="925">
        <v>0</v>
      </c>
      <c r="K468" s="861">
        <v>0</v>
      </c>
      <c r="L468" s="925">
        <v>0</v>
      </c>
      <c r="M468" s="925">
        <v>0</v>
      </c>
      <c r="N468" s="925">
        <v>0</v>
      </c>
      <c r="O468" s="925">
        <v>433</v>
      </c>
      <c r="P468" s="925">
        <v>4027718.28</v>
      </c>
      <c r="Q468" s="925">
        <v>0</v>
      </c>
      <c r="R468" s="925">
        <v>0</v>
      </c>
      <c r="S468" s="925">
        <v>0</v>
      </c>
      <c r="T468" s="925">
        <v>0</v>
      </c>
      <c r="U468" s="925">
        <v>0</v>
      </c>
      <c r="V468" s="925">
        <v>0</v>
      </c>
      <c r="W468" s="925">
        <v>0</v>
      </c>
      <c r="X468" s="925">
        <v>0</v>
      </c>
      <c r="Y468" s="925">
        <v>0</v>
      </c>
      <c r="Z468" s="921">
        <v>315466.48</v>
      </c>
      <c r="AA468" s="925">
        <v>0</v>
      </c>
    </row>
    <row r="469" spans="1:27" s="867" customFormat="1" ht="96" customHeight="1">
      <c r="A469" s="927">
        <v>81</v>
      </c>
      <c r="B469" s="863" t="s">
        <v>1787</v>
      </c>
      <c r="C469" s="925">
        <f>D469+N469+P469+R469+T469+X469+Z469+L469</f>
        <v>5138599.43</v>
      </c>
      <c r="D469" s="925">
        <f>SUM(E469:J469)</f>
        <v>0</v>
      </c>
      <c r="E469" s="925">
        <v>0</v>
      </c>
      <c r="F469" s="925">
        <v>0</v>
      </c>
      <c r="G469" s="925">
        <v>0</v>
      </c>
      <c r="H469" s="925">
        <v>0</v>
      </c>
      <c r="I469" s="925">
        <v>0</v>
      </c>
      <c r="J469" s="925">
        <v>0</v>
      </c>
      <c r="K469" s="861">
        <v>0</v>
      </c>
      <c r="L469" s="925">
        <v>0</v>
      </c>
      <c r="M469" s="925">
        <v>0</v>
      </c>
      <c r="N469" s="925">
        <v>0</v>
      </c>
      <c r="O469" s="925">
        <v>512.29999999999995</v>
      </c>
      <c r="P469" s="925">
        <v>4765358.1399999997</v>
      </c>
      <c r="Q469" s="925">
        <v>0</v>
      </c>
      <c r="R469" s="925">
        <v>0</v>
      </c>
      <c r="S469" s="925">
        <v>0</v>
      </c>
      <c r="T469" s="925">
        <v>0</v>
      </c>
      <c r="U469" s="925">
        <v>0</v>
      </c>
      <c r="V469" s="925">
        <v>0</v>
      </c>
      <c r="W469" s="925">
        <v>0</v>
      </c>
      <c r="X469" s="925">
        <v>0</v>
      </c>
      <c r="Y469" s="925">
        <v>0</v>
      </c>
      <c r="Z469" s="921">
        <v>373241.29</v>
      </c>
      <c r="AA469" s="925">
        <v>0</v>
      </c>
    </row>
    <row r="470" spans="1:27" s="867" customFormat="1" ht="117.6" customHeight="1">
      <c r="A470" s="1198" t="s">
        <v>1059</v>
      </c>
      <c r="B470" s="1199"/>
      <c r="C470" s="925">
        <f t="shared" ref="C470:T470" si="124">SUM(C471:C471)</f>
        <v>700000</v>
      </c>
      <c r="D470" s="925">
        <f t="shared" si="124"/>
        <v>0</v>
      </c>
      <c r="E470" s="925">
        <f t="shared" si="124"/>
        <v>0</v>
      </c>
      <c r="F470" s="925">
        <f t="shared" si="124"/>
        <v>0</v>
      </c>
      <c r="G470" s="925">
        <f t="shared" si="124"/>
        <v>0</v>
      </c>
      <c r="H470" s="925">
        <f t="shared" si="124"/>
        <v>0</v>
      </c>
      <c r="I470" s="925">
        <f t="shared" si="124"/>
        <v>0</v>
      </c>
      <c r="J470" s="925">
        <f t="shared" si="124"/>
        <v>0</v>
      </c>
      <c r="K470" s="861">
        <f t="shared" si="124"/>
        <v>0</v>
      </c>
      <c r="L470" s="925">
        <f t="shared" si="124"/>
        <v>0</v>
      </c>
      <c r="M470" s="925">
        <f t="shared" si="124"/>
        <v>0</v>
      </c>
      <c r="N470" s="925">
        <f t="shared" si="124"/>
        <v>0</v>
      </c>
      <c r="O470" s="925">
        <f t="shared" si="124"/>
        <v>0</v>
      </c>
      <c r="P470" s="925">
        <f t="shared" si="124"/>
        <v>0</v>
      </c>
      <c r="Q470" s="925">
        <f t="shared" si="124"/>
        <v>0</v>
      </c>
      <c r="R470" s="925">
        <f t="shared" si="124"/>
        <v>0</v>
      </c>
      <c r="S470" s="925">
        <f t="shared" si="124"/>
        <v>43</v>
      </c>
      <c r="T470" s="925">
        <f t="shared" si="124"/>
        <v>700000</v>
      </c>
      <c r="U470" s="925">
        <v>0</v>
      </c>
      <c r="V470" s="925">
        <v>0</v>
      </c>
      <c r="W470" s="925">
        <f>SUM(W471:W471)</f>
        <v>0</v>
      </c>
      <c r="X470" s="925">
        <f>SUM(X471:X471)</f>
        <v>0</v>
      </c>
      <c r="Y470" s="925">
        <f>SUM(Y471:Y471)</f>
        <v>0</v>
      </c>
      <c r="Z470" s="921">
        <f>SUM(Z471:Z471)</f>
        <v>0</v>
      </c>
      <c r="AA470" s="925">
        <f>SUM(AA471:AA471)</f>
        <v>0</v>
      </c>
    </row>
    <row r="471" spans="1:27" s="867" customFormat="1" ht="96" customHeight="1">
      <c r="A471" s="927">
        <v>82</v>
      </c>
      <c r="B471" s="863" t="s">
        <v>1309</v>
      </c>
      <c r="C471" s="925">
        <f>D471+N471+P471+R471+T471+X471+Z471+L471</f>
        <v>700000</v>
      </c>
      <c r="D471" s="925">
        <f>SUM(E471:J471)</f>
        <v>0</v>
      </c>
      <c r="E471" s="925">
        <v>0</v>
      </c>
      <c r="F471" s="925">
        <v>0</v>
      </c>
      <c r="G471" s="925">
        <v>0</v>
      </c>
      <c r="H471" s="925">
        <v>0</v>
      </c>
      <c r="I471" s="925">
        <v>0</v>
      </c>
      <c r="J471" s="925">
        <v>0</v>
      </c>
      <c r="K471" s="861">
        <v>0</v>
      </c>
      <c r="L471" s="925">
        <v>0</v>
      </c>
      <c r="M471" s="925">
        <v>0</v>
      </c>
      <c r="N471" s="925">
        <v>0</v>
      </c>
      <c r="O471" s="925">
        <v>0</v>
      </c>
      <c r="P471" s="925">
        <v>0</v>
      </c>
      <c r="Q471" s="925">
        <v>0</v>
      </c>
      <c r="R471" s="925">
        <v>0</v>
      </c>
      <c r="S471" s="925">
        <v>43</v>
      </c>
      <c r="T471" s="925">
        <v>700000</v>
      </c>
      <c r="U471" s="925">
        <v>0</v>
      </c>
      <c r="V471" s="925">
        <v>0</v>
      </c>
      <c r="W471" s="925">
        <v>0</v>
      </c>
      <c r="X471" s="925">
        <v>0</v>
      </c>
      <c r="Y471" s="925">
        <v>0</v>
      </c>
      <c r="Z471" s="921">
        <v>0</v>
      </c>
      <c r="AA471" s="925">
        <v>0</v>
      </c>
    </row>
    <row r="472" spans="1:27" s="867" customFormat="1" ht="101.25" customHeight="1">
      <c r="A472" s="1198" t="s">
        <v>1250</v>
      </c>
      <c r="B472" s="1199"/>
      <c r="C472" s="925">
        <f>SUM(C473:C477)</f>
        <v>29816233.869999997</v>
      </c>
      <c r="D472" s="925">
        <f t="shared" ref="D472:T472" si="125">SUM(D473:D477)</f>
        <v>0</v>
      </c>
      <c r="E472" s="925">
        <f t="shared" si="125"/>
        <v>0</v>
      </c>
      <c r="F472" s="925">
        <f t="shared" si="125"/>
        <v>0</v>
      </c>
      <c r="G472" s="925">
        <f t="shared" si="125"/>
        <v>0</v>
      </c>
      <c r="H472" s="925">
        <f t="shared" si="125"/>
        <v>0</v>
      </c>
      <c r="I472" s="925">
        <f t="shared" si="125"/>
        <v>0</v>
      </c>
      <c r="J472" s="925">
        <f t="shared" si="125"/>
        <v>0</v>
      </c>
      <c r="K472" s="861">
        <f t="shared" si="125"/>
        <v>0</v>
      </c>
      <c r="L472" s="925">
        <f t="shared" si="125"/>
        <v>0</v>
      </c>
      <c r="M472" s="925">
        <f t="shared" si="125"/>
        <v>0</v>
      </c>
      <c r="N472" s="925">
        <f t="shared" si="125"/>
        <v>0</v>
      </c>
      <c r="O472" s="925">
        <f t="shared" si="125"/>
        <v>5133.93</v>
      </c>
      <c r="P472" s="925">
        <f t="shared" si="125"/>
        <v>27650536.850000001</v>
      </c>
      <c r="Q472" s="925">
        <f t="shared" si="125"/>
        <v>0</v>
      </c>
      <c r="R472" s="925">
        <f t="shared" si="125"/>
        <v>0</v>
      </c>
      <c r="S472" s="925">
        <f t="shared" si="125"/>
        <v>0</v>
      </c>
      <c r="T472" s="925">
        <f t="shared" si="125"/>
        <v>0</v>
      </c>
      <c r="U472" s="925">
        <v>0</v>
      </c>
      <c r="V472" s="925">
        <v>0</v>
      </c>
      <c r="W472" s="925">
        <f>SUM(W473:W477)</f>
        <v>0</v>
      </c>
      <c r="X472" s="925">
        <f>SUM(X473:X477)</f>
        <v>0</v>
      </c>
      <c r="Y472" s="925">
        <f>SUM(Y473:Y477)</f>
        <v>0</v>
      </c>
      <c r="Z472" s="921">
        <f>SUM(Z473:Z477)</f>
        <v>2165697.02</v>
      </c>
      <c r="AA472" s="925">
        <f>SUM(AA473:AA477)</f>
        <v>0</v>
      </c>
    </row>
    <row r="473" spans="1:27" s="867" customFormat="1" ht="88.9" customHeight="1">
      <c r="A473" s="927">
        <v>83</v>
      </c>
      <c r="B473" s="868" t="s">
        <v>2190</v>
      </c>
      <c r="C473" s="925">
        <f>D473+N473+P473+R473+T473+X473+Z473+L473</f>
        <v>6281589.0599999996</v>
      </c>
      <c r="D473" s="925">
        <f>SUM(E473:J473)</f>
        <v>0</v>
      </c>
      <c r="E473" s="925">
        <v>0</v>
      </c>
      <c r="F473" s="925">
        <v>0</v>
      </c>
      <c r="G473" s="925">
        <v>0</v>
      </c>
      <c r="H473" s="925">
        <v>0</v>
      </c>
      <c r="I473" s="925">
        <v>0</v>
      </c>
      <c r="J473" s="925">
        <v>0</v>
      </c>
      <c r="K473" s="861">
        <v>0</v>
      </c>
      <c r="L473" s="925">
        <v>0</v>
      </c>
      <c r="M473" s="925">
        <v>0</v>
      </c>
      <c r="N473" s="925">
        <v>0</v>
      </c>
      <c r="O473" s="925">
        <v>1081.5999999999999</v>
      </c>
      <c r="P473" s="925">
        <v>5825326.9199999999</v>
      </c>
      <c r="Q473" s="925">
        <v>0</v>
      </c>
      <c r="R473" s="925">
        <v>0</v>
      </c>
      <c r="S473" s="925">
        <v>0</v>
      </c>
      <c r="T473" s="925">
        <v>0</v>
      </c>
      <c r="U473" s="925">
        <v>0</v>
      </c>
      <c r="V473" s="925">
        <v>0</v>
      </c>
      <c r="W473" s="925">
        <v>0</v>
      </c>
      <c r="X473" s="925">
        <v>0</v>
      </c>
      <c r="Y473" s="925">
        <v>0</v>
      </c>
      <c r="Z473" s="921">
        <v>456262.14</v>
      </c>
      <c r="AA473" s="925">
        <v>0</v>
      </c>
    </row>
    <row r="474" spans="1:27" s="867" customFormat="1" ht="90" customHeight="1">
      <c r="A474" s="927">
        <v>84</v>
      </c>
      <c r="B474" s="868" t="s">
        <v>1291</v>
      </c>
      <c r="C474" s="925">
        <f>D474+N474+P474+R474+T474+X474+Z474+L474</f>
        <v>7201525.9299999997</v>
      </c>
      <c r="D474" s="925">
        <f>SUM(E474:J474)</f>
        <v>0</v>
      </c>
      <c r="E474" s="925">
        <v>0</v>
      </c>
      <c r="F474" s="925">
        <v>0</v>
      </c>
      <c r="G474" s="925">
        <v>0</v>
      </c>
      <c r="H474" s="925">
        <v>0</v>
      </c>
      <c r="I474" s="925">
        <v>0</v>
      </c>
      <c r="J474" s="925">
        <v>0</v>
      </c>
      <c r="K474" s="861">
        <v>0</v>
      </c>
      <c r="L474" s="925">
        <v>0</v>
      </c>
      <c r="M474" s="925">
        <v>0</v>
      </c>
      <c r="N474" s="925">
        <v>0</v>
      </c>
      <c r="O474" s="925">
        <v>1240</v>
      </c>
      <c r="P474" s="925">
        <v>6678444.3300000001</v>
      </c>
      <c r="Q474" s="925">
        <v>0</v>
      </c>
      <c r="R474" s="925">
        <v>0</v>
      </c>
      <c r="S474" s="925">
        <v>0</v>
      </c>
      <c r="T474" s="925">
        <v>0</v>
      </c>
      <c r="U474" s="925">
        <v>0</v>
      </c>
      <c r="V474" s="925">
        <v>0</v>
      </c>
      <c r="W474" s="925">
        <v>0</v>
      </c>
      <c r="X474" s="925">
        <v>0</v>
      </c>
      <c r="Y474" s="925">
        <v>0</v>
      </c>
      <c r="Z474" s="921">
        <v>523081.6</v>
      </c>
      <c r="AA474" s="925">
        <v>0</v>
      </c>
    </row>
    <row r="475" spans="1:27" s="867" customFormat="1" ht="86.45" customHeight="1">
      <c r="A475" s="927">
        <v>85</v>
      </c>
      <c r="B475" s="868" t="s">
        <v>1293</v>
      </c>
      <c r="C475" s="925">
        <f>D475+N475+P475+R475+T475+X475+Z475+L475</f>
        <v>2787687.46</v>
      </c>
      <c r="D475" s="925">
        <f>SUM(E475:J475)</f>
        <v>0</v>
      </c>
      <c r="E475" s="925">
        <v>0</v>
      </c>
      <c r="F475" s="925">
        <v>0</v>
      </c>
      <c r="G475" s="925">
        <v>0</v>
      </c>
      <c r="H475" s="925">
        <v>0</v>
      </c>
      <c r="I475" s="925">
        <v>0</v>
      </c>
      <c r="J475" s="925">
        <v>0</v>
      </c>
      <c r="K475" s="861">
        <v>0</v>
      </c>
      <c r="L475" s="925">
        <v>0</v>
      </c>
      <c r="M475" s="925">
        <v>0</v>
      </c>
      <c r="N475" s="925">
        <v>0</v>
      </c>
      <c r="O475" s="925">
        <v>480</v>
      </c>
      <c r="P475" s="925">
        <v>2585204.2599999998</v>
      </c>
      <c r="Q475" s="925">
        <v>0</v>
      </c>
      <c r="R475" s="925">
        <v>0</v>
      </c>
      <c r="S475" s="925">
        <v>0</v>
      </c>
      <c r="T475" s="925">
        <v>0</v>
      </c>
      <c r="U475" s="925">
        <v>0</v>
      </c>
      <c r="V475" s="925">
        <v>0</v>
      </c>
      <c r="W475" s="925">
        <v>0</v>
      </c>
      <c r="X475" s="925">
        <v>0</v>
      </c>
      <c r="Y475" s="925">
        <v>0</v>
      </c>
      <c r="Z475" s="921">
        <v>202483.20000000001</v>
      </c>
      <c r="AA475" s="925">
        <v>0</v>
      </c>
    </row>
    <row r="476" spans="1:27" s="867" customFormat="1" ht="91.5" customHeight="1">
      <c r="A476" s="927">
        <v>86</v>
      </c>
      <c r="B476" s="868" t="s">
        <v>1296</v>
      </c>
      <c r="C476" s="925">
        <f>D476+N476+P476+R476+T476+X476+Z476+L476</f>
        <v>3929477.77</v>
      </c>
      <c r="D476" s="925">
        <f>SUM(E476:J476)</f>
        <v>0</v>
      </c>
      <c r="E476" s="925">
        <v>0</v>
      </c>
      <c r="F476" s="925">
        <v>0</v>
      </c>
      <c r="G476" s="925">
        <v>0</v>
      </c>
      <c r="H476" s="925">
        <v>0</v>
      </c>
      <c r="I476" s="925">
        <v>0</v>
      </c>
      <c r="J476" s="925">
        <v>0</v>
      </c>
      <c r="K476" s="861">
        <v>0</v>
      </c>
      <c r="L476" s="925">
        <v>0</v>
      </c>
      <c r="M476" s="925">
        <v>0</v>
      </c>
      <c r="N476" s="925">
        <v>0</v>
      </c>
      <c r="O476" s="925">
        <v>676.6</v>
      </c>
      <c r="P476" s="925">
        <v>3644060.83</v>
      </c>
      <c r="Q476" s="925">
        <v>0</v>
      </c>
      <c r="R476" s="925">
        <v>0</v>
      </c>
      <c r="S476" s="925">
        <v>0</v>
      </c>
      <c r="T476" s="925">
        <v>0</v>
      </c>
      <c r="U476" s="925">
        <v>0</v>
      </c>
      <c r="V476" s="925">
        <v>0</v>
      </c>
      <c r="W476" s="925">
        <v>0</v>
      </c>
      <c r="X476" s="925">
        <v>0</v>
      </c>
      <c r="Y476" s="925">
        <v>0</v>
      </c>
      <c r="Z476" s="921">
        <v>285416.94</v>
      </c>
      <c r="AA476" s="925">
        <v>0</v>
      </c>
    </row>
    <row r="477" spans="1:27" s="867" customFormat="1" ht="90" customHeight="1">
      <c r="A477" s="927">
        <v>87</v>
      </c>
      <c r="B477" s="868" t="s">
        <v>1294</v>
      </c>
      <c r="C477" s="925">
        <f>D477+N477+P477+R477+T477+X477+Z477+L477</f>
        <v>9615953.6500000004</v>
      </c>
      <c r="D477" s="925">
        <f>SUM(E477:J477)</f>
        <v>0</v>
      </c>
      <c r="E477" s="925">
        <v>0</v>
      </c>
      <c r="F477" s="925">
        <v>0</v>
      </c>
      <c r="G477" s="925">
        <v>0</v>
      </c>
      <c r="H477" s="925">
        <v>0</v>
      </c>
      <c r="I477" s="925">
        <v>0</v>
      </c>
      <c r="J477" s="925">
        <v>0</v>
      </c>
      <c r="K477" s="861">
        <v>0</v>
      </c>
      <c r="L477" s="925">
        <v>0</v>
      </c>
      <c r="M477" s="925">
        <v>0</v>
      </c>
      <c r="N477" s="925">
        <v>0</v>
      </c>
      <c r="O477" s="925">
        <v>1655.73</v>
      </c>
      <c r="P477" s="925">
        <v>8917500.5099999998</v>
      </c>
      <c r="Q477" s="925">
        <v>0</v>
      </c>
      <c r="R477" s="925">
        <v>0</v>
      </c>
      <c r="S477" s="925">
        <v>0</v>
      </c>
      <c r="T477" s="925">
        <v>0</v>
      </c>
      <c r="U477" s="925">
        <v>0</v>
      </c>
      <c r="V477" s="925">
        <v>0</v>
      </c>
      <c r="W477" s="925">
        <v>0</v>
      </c>
      <c r="X477" s="925">
        <v>0</v>
      </c>
      <c r="Y477" s="925">
        <v>0</v>
      </c>
      <c r="Z477" s="921">
        <v>698453.14</v>
      </c>
      <c r="AA477" s="925">
        <v>0</v>
      </c>
    </row>
    <row r="478" spans="1:27" s="867" customFormat="1" ht="94.9" customHeight="1">
      <c r="A478" s="1198" t="s">
        <v>1069</v>
      </c>
      <c r="B478" s="1199"/>
      <c r="C478" s="925">
        <f>C479</f>
        <v>6789799.4799999995</v>
      </c>
      <c r="D478" s="925">
        <f t="shared" ref="D478:AA478" si="126">D479</f>
        <v>0</v>
      </c>
      <c r="E478" s="925">
        <f t="shared" si="126"/>
        <v>0</v>
      </c>
      <c r="F478" s="925">
        <f t="shared" si="126"/>
        <v>0</v>
      </c>
      <c r="G478" s="925">
        <f t="shared" si="126"/>
        <v>0</v>
      </c>
      <c r="H478" s="925">
        <f t="shared" si="126"/>
        <v>0</v>
      </c>
      <c r="I478" s="925">
        <f t="shared" si="126"/>
        <v>0</v>
      </c>
      <c r="J478" s="925">
        <f t="shared" si="126"/>
        <v>0</v>
      </c>
      <c r="K478" s="861">
        <f t="shared" si="126"/>
        <v>0</v>
      </c>
      <c r="L478" s="925">
        <f t="shared" si="126"/>
        <v>0</v>
      </c>
      <c r="M478" s="925">
        <f t="shared" si="126"/>
        <v>0</v>
      </c>
      <c r="N478" s="925">
        <f t="shared" si="126"/>
        <v>0</v>
      </c>
      <c r="O478" s="925">
        <f t="shared" si="126"/>
        <v>777.8</v>
      </c>
      <c r="P478" s="925">
        <f t="shared" si="126"/>
        <v>6296623.5599999996</v>
      </c>
      <c r="Q478" s="925">
        <f t="shared" si="126"/>
        <v>0</v>
      </c>
      <c r="R478" s="925">
        <f t="shared" si="126"/>
        <v>0</v>
      </c>
      <c r="S478" s="925">
        <f t="shared" si="126"/>
        <v>0</v>
      </c>
      <c r="T478" s="925">
        <f t="shared" si="126"/>
        <v>0</v>
      </c>
      <c r="U478" s="925">
        <f t="shared" si="126"/>
        <v>0</v>
      </c>
      <c r="V478" s="925">
        <f t="shared" si="126"/>
        <v>0</v>
      </c>
      <c r="W478" s="925">
        <f t="shared" si="126"/>
        <v>0</v>
      </c>
      <c r="X478" s="925">
        <f t="shared" si="126"/>
        <v>0</v>
      </c>
      <c r="Y478" s="925">
        <f t="shared" si="126"/>
        <v>0</v>
      </c>
      <c r="Z478" s="921">
        <f t="shared" si="126"/>
        <v>493175.92</v>
      </c>
      <c r="AA478" s="925">
        <f t="shared" si="126"/>
        <v>0</v>
      </c>
    </row>
    <row r="479" spans="1:27" s="867" customFormat="1" ht="144.75" customHeight="1">
      <c r="A479" s="927">
        <v>88</v>
      </c>
      <c r="B479" s="863" t="s">
        <v>1377</v>
      </c>
      <c r="C479" s="925">
        <f>D479+N479+P479+R479+T479+X479+Z479+L479</f>
        <v>6789799.4799999995</v>
      </c>
      <c r="D479" s="925">
        <f>SUM(E479:J479)</f>
        <v>0</v>
      </c>
      <c r="E479" s="925">
        <v>0</v>
      </c>
      <c r="F479" s="925">
        <v>0</v>
      </c>
      <c r="G479" s="925">
        <v>0</v>
      </c>
      <c r="H479" s="925">
        <v>0</v>
      </c>
      <c r="I479" s="925">
        <v>0</v>
      </c>
      <c r="J479" s="925">
        <v>0</v>
      </c>
      <c r="K479" s="861">
        <v>0</v>
      </c>
      <c r="L479" s="925">
        <v>0</v>
      </c>
      <c r="M479" s="925">
        <v>0</v>
      </c>
      <c r="N479" s="925">
        <v>0</v>
      </c>
      <c r="O479" s="925">
        <v>777.8</v>
      </c>
      <c r="P479" s="925">
        <v>6296623.5599999996</v>
      </c>
      <c r="Q479" s="925">
        <v>0</v>
      </c>
      <c r="R479" s="925">
        <v>0</v>
      </c>
      <c r="S479" s="925">
        <v>0</v>
      </c>
      <c r="T479" s="925">
        <v>0</v>
      </c>
      <c r="U479" s="925">
        <v>0</v>
      </c>
      <c r="V479" s="925">
        <v>0</v>
      </c>
      <c r="W479" s="925">
        <v>0</v>
      </c>
      <c r="X479" s="925">
        <v>0</v>
      </c>
      <c r="Y479" s="925">
        <v>0</v>
      </c>
      <c r="Z479" s="921">
        <v>493175.92</v>
      </c>
      <c r="AA479" s="925">
        <v>0</v>
      </c>
    </row>
    <row r="480" spans="1:27" s="867" customFormat="1" ht="120" customHeight="1">
      <c r="A480" s="1198" t="s">
        <v>1794</v>
      </c>
      <c r="B480" s="1199"/>
      <c r="C480" s="925">
        <f>C481</f>
        <v>5436503.7899999991</v>
      </c>
      <c r="D480" s="925">
        <f t="shared" ref="D480:AA480" si="127">D481</f>
        <v>0</v>
      </c>
      <c r="E480" s="925">
        <f t="shared" si="127"/>
        <v>0</v>
      </c>
      <c r="F480" s="925">
        <f t="shared" si="127"/>
        <v>0</v>
      </c>
      <c r="G480" s="925">
        <f t="shared" si="127"/>
        <v>0</v>
      </c>
      <c r="H480" s="925">
        <f t="shared" si="127"/>
        <v>0</v>
      </c>
      <c r="I480" s="925">
        <f t="shared" si="127"/>
        <v>0</v>
      </c>
      <c r="J480" s="925">
        <f t="shared" si="127"/>
        <v>0</v>
      </c>
      <c r="K480" s="861">
        <f t="shared" si="127"/>
        <v>0</v>
      </c>
      <c r="L480" s="925">
        <f t="shared" si="127"/>
        <v>0</v>
      </c>
      <c r="M480" s="925">
        <f t="shared" si="127"/>
        <v>0</v>
      </c>
      <c r="N480" s="925">
        <f t="shared" si="127"/>
        <v>0</v>
      </c>
      <c r="O480" s="925">
        <f t="shared" si="127"/>
        <v>542</v>
      </c>
      <c r="P480" s="925">
        <f t="shared" si="127"/>
        <v>5041624.2699999996</v>
      </c>
      <c r="Q480" s="925">
        <f t="shared" si="127"/>
        <v>0</v>
      </c>
      <c r="R480" s="925">
        <f t="shared" si="127"/>
        <v>0</v>
      </c>
      <c r="S480" s="925">
        <f t="shared" si="127"/>
        <v>0</v>
      </c>
      <c r="T480" s="925">
        <f t="shared" si="127"/>
        <v>0</v>
      </c>
      <c r="U480" s="925">
        <f t="shared" si="127"/>
        <v>0</v>
      </c>
      <c r="V480" s="925">
        <f t="shared" si="127"/>
        <v>0</v>
      </c>
      <c r="W480" s="925">
        <f t="shared" si="127"/>
        <v>0</v>
      </c>
      <c r="X480" s="925">
        <f t="shared" si="127"/>
        <v>0</v>
      </c>
      <c r="Y480" s="925">
        <f t="shared" si="127"/>
        <v>0</v>
      </c>
      <c r="Z480" s="921">
        <f t="shared" si="127"/>
        <v>394879.52</v>
      </c>
      <c r="AA480" s="925">
        <f t="shared" si="127"/>
        <v>0</v>
      </c>
    </row>
    <row r="481" spans="1:27" s="867" customFormat="1" ht="128.25" customHeight="1">
      <c r="A481" s="927">
        <v>89</v>
      </c>
      <c r="B481" s="863" t="s">
        <v>1796</v>
      </c>
      <c r="C481" s="925">
        <f>D481+N481+P481+R481+T481+X481+Z481+L481</f>
        <v>5436503.7899999991</v>
      </c>
      <c r="D481" s="925">
        <f>SUM(E481:J481)</f>
        <v>0</v>
      </c>
      <c r="E481" s="925">
        <v>0</v>
      </c>
      <c r="F481" s="925">
        <v>0</v>
      </c>
      <c r="G481" s="925">
        <v>0</v>
      </c>
      <c r="H481" s="925">
        <v>0</v>
      </c>
      <c r="I481" s="925">
        <v>0</v>
      </c>
      <c r="J481" s="925">
        <v>0</v>
      </c>
      <c r="K481" s="861">
        <v>0</v>
      </c>
      <c r="L481" s="925">
        <v>0</v>
      </c>
      <c r="M481" s="925">
        <v>0</v>
      </c>
      <c r="N481" s="925">
        <v>0</v>
      </c>
      <c r="O481" s="925">
        <v>542</v>
      </c>
      <c r="P481" s="925">
        <v>5041624.2699999996</v>
      </c>
      <c r="Q481" s="925">
        <v>0</v>
      </c>
      <c r="R481" s="925">
        <v>0</v>
      </c>
      <c r="S481" s="925">
        <v>0</v>
      </c>
      <c r="T481" s="925">
        <v>0</v>
      </c>
      <c r="U481" s="925">
        <v>0</v>
      </c>
      <c r="V481" s="925">
        <v>0</v>
      </c>
      <c r="W481" s="925">
        <v>0</v>
      </c>
      <c r="X481" s="925">
        <v>0</v>
      </c>
      <c r="Y481" s="925">
        <v>0</v>
      </c>
      <c r="Z481" s="921">
        <v>394879.52</v>
      </c>
      <c r="AA481" s="925">
        <v>0</v>
      </c>
    </row>
    <row r="482" spans="1:27" s="867" customFormat="1" ht="93.6" customHeight="1">
      <c r="A482" s="1198" t="s">
        <v>1058</v>
      </c>
      <c r="B482" s="1199"/>
      <c r="C482" s="925">
        <f>C483</f>
        <v>4511094.49</v>
      </c>
      <c r="D482" s="925">
        <f t="shared" ref="D482:AA482" si="128">D483</f>
        <v>0</v>
      </c>
      <c r="E482" s="925">
        <f t="shared" si="128"/>
        <v>0</v>
      </c>
      <c r="F482" s="925">
        <f t="shared" si="128"/>
        <v>0</v>
      </c>
      <c r="G482" s="925">
        <f t="shared" si="128"/>
        <v>0</v>
      </c>
      <c r="H482" s="925">
        <f t="shared" si="128"/>
        <v>0</v>
      </c>
      <c r="I482" s="925">
        <f t="shared" si="128"/>
        <v>0</v>
      </c>
      <c r="J482" s="925">
        <f t="shared" si="128"/>
        <v>0</v>
      </c>
      <c r="K482" s="861">
        <f t="shared" si="128"/>
        <v>0</v>
      </c>
      <c r="L482" s="925">
        <f t="shared" si="128"/>
        <v>0</v>
      </c>
      <c r="M482" s="925">
        <f t="shared" si="128"/>
        <v>0</v>
      </c>
      <c r="N482" s="925">
        <f t="shared" si="128"/>
        <v>0</v>
      </c>
      <c r="O482" s="925">
        <f t="shared" si="128"/>
        <v>449.74</v>
      </c>
      <c r="P482" s="925">
        <f t="shared" si="128"/>
        <v>4183431.92</v>
      </c>
      <c r="Q482" s="925">
        <f t="shared" si="128"/>
        <v>0</v>
      </c>
      <c r="R482" s="925">
        <f t="shared" si="128"/>
        <v>0</v>
      </c>
      <c r="S482" s="925">
        <f t="shared" si="128"/>
        <v>0</v>
      </c>
      <c r="T482" s="925">
        <f t="shared" si="128"/>
        <v>0</v>
      </c>
      <c r="U482" s="925">
        <f t="shared" si="128"/>
        <v>0</v>
      </c>
      <c r="V482" s="925">
        <f t="shared" si="128"/>
        <v>0</v>
      </c>
      <c r="W482" s="925">
        <f t="shared" si="128"/>
        <v>0</v>
      </c>
      <c r="X482" s="925">
        <f t="shared" si="128"/>
        <v>0</v>
      </c>
      <c r="Y482" s="925">
        <f t="shared" si="128"/>
        <v>0</v>
      </c>
      <c r="Z482" s="921">
        <f t="shared" si="128"/>
        <v>327662.57</v>
      </c>
      <c r="AA482" s="925">
        <f t="shared" si="128"/>
        <v>0</v>
      </c>
    </row>
    <row r="483" spans="1:27" s="867" customFormat="1" ht="94.9" customHeight="1">
      <c r="A483" s="927">
        <v>90</v>
      </c>
      <c r="B483" s="863" t="s">
        <v>1577</v>
      </c>
      <c r="C483" s="925">
        <f>P483+Z483</f>
        <v>4511094.49</v>
      </c>
      <c r="D483" s="925">
        <v>0</v>
      </c>
      <c r="E483" s="925">
        <v>0</v>
      </c>
      <c r="F483" s="925">
        <v>0</v>
      </c>
      <c r="G483" s="925">
        <v>0</v>
      </c>
      <c r="H483" s="925">
        <v>0</v>
      </c>
      <c r="I483" s="925">
        <v>0</v>
      </c>
      <c r="J483" s="925">
        <v>0</v>
      </c>
      <c r="K483" s="861">
        <v>0</v>
      </c>
      <c r="L483" s="925">
        <v>0</v>
      </c>
      <c r="M483" s="925">
        <v>0</v>
      </c>
      <c r="N483" s="925">
        <v>0</v>
      </c>
      <c r="O483" s="925">
        <v>449.74</v>
      </c>
      <c r="P483" s="925">
        <v>4183431.92</v>
      </c>
      <c r="Q483" s="925">
        <v>0</v>
      </c>
      <c r="R483" s="925">
        <v>0</v>
      </c>
      <c r="S483" s="925">
        <v>0</v>
      </c>
      <c r="T483" s="925">
        <v>0</v>
      </c>
      <c r="U483" s="925">
        <v>0</v>
      </c>
      <c r="V483" s="925">
        <v>0</v>
      </c>
      <c r="W483" s="925">
        <v>0</v>
      </c>
      <c r="X483" s="925">
        <v>0</v>
      </c>
      <c r="Y483" s="925">
        <v>0</v>
      </c>
      <c r="Z483" s="921">
        <v>327662.57</v>
      </c>
      <c r="AA483" s="925">
        <v>0</v>
      </c>
    </row>
    <row r="484" spans="1:27" s="867" customFormat="1" ht="96" customHeight="1">
      <c r="A484" s="1198" t="s">
        <v>1068</v>
      </c>
      <c r="B484" s="1199"/>
      <c r="C484" s="925">
        <f t="shared" ref="C484:AA484" si="129">C350+C485</f>
        <v>5751075.0700000003</v>
      </c>
      <c r="D484" s="925">
        <f t="shared" si="129"/>
        <v>0</v>
      </c>
      <c r="E484" s="925">
        <f t="shared" si="129"/>
        <v>0</v>
      </c>
      <c r="F484" s="925">
        <f t="shared" si="129"/>
        <v>0</v>
      </c>
      <c r="G484" s="925">
        <f t="shared" si="129"/>
        <v>0</v>
      </c>
      <c r="H484" s="925">
        <f t="shared" si="129"/>
        <v>0</v>
      </c>
      <c r="I484" s="925">
        <f t="shared" si="129"/>
        <v>0</v>
      </c>
      <c r="J484" s="925">
        <f t="shared" si="129"/>
        <v>0</v>
      </c>
      <c r="K484" s="861">
        <f t="shared" si="129"/>
        <v>0</v>
      </c>
      <c r="L484" s="925">
        <f t="shared" si="129"/>
        <v>0</v>
      </c>
      <c r="M484" s="925">
        <f t="shared" si="129"/>
        <v>0</v>
      </c>
      <c r="N484" s="925">
        <f t="shared" si="129"/>
        <v>0</v>
      </c>
      <c r="O484" s="925">
        <f t="shared" si="129"/>
        <v>730.84</v>
      </c>
      <c r="P484" s="925">
        <f t="shared" si="129"/>
        <v>5333346.72</v>
      </c>
      <c r="Q484" s="925">
        <f t="shared" si="129"/>
        <v>0</v>
      </c>
      <c r="R484" s="925">
        <f t="shared" si="129"/>
        <v>0</v>
      </c>
      <c r="S484" s="925">
        <f t="shared" si="129"/>
        <v>0</v>
      </c>
      <c r="T484" s="925">
        <f t="shared" si="129"/>
        <v>0</v>
      </c>
      <c r="U484" s="925">
        <f t="shared" si="129"/>
        <v>0</v>
      </c>
      <c r="V484" s="925">
        <f t="shared" si="129"/>
        <v>0</v>
      </c>
      <c r="W484" s="925">
        <f t="shared" si="129"/>
        <v>0</v>
      </c>
      <c r="X484" s="925">
        <f t="shared" si="129"/>
        <v>0</v>
      </c>
      <c r="Y484" s="925">
        <f t="shared" si="129"/>
        <v>0</v>
      </c>
      <c r="Z484" s="921">
        <f t="shared" si="129"/>
        <v>417728.35</v>
      </c>
      <c r="AA484" s="925">
        <f t="shared" si="129"/>
        <v>0</v>
      </c>
    </row>
    <row r="485" spans="1:27" s="875" customFormat="1" ht="92.45" customHeight="1">
      <c r="A485" s="927">
        <v>91</v>
      </c>
      <c r="B485" s="863" t="s">
        <v>1278</v>
      </c>
      <c r="C485" s="925">
        <f>D485+N485+P485+R485+T485+X485+Z485+L485</f>
        <v>3577259.62</v>
      </c>
      <c r="D485" s="925">
        <f>SUM(E485:J485)</f>
        <v>0</v>
      </c>
      <c r="E485" s="925">
        <v>0</v>
      </c>
      <c r="F485" s="925">
        <v>0</v>
      </c>
      <c r="G485" s="925">
        <v>0</v>
      </c>
      <c r="H485" s="925">
        <v>0</v>
      </c>
      <c r="I485" s="925">
        <v>0</v>
      </c>
      <c r="J485" s="925">
        <v>0</v>
      </c>
      <c r="K485" s="861">
        <v>0</v>
      </c>
      <c r="L485" s="925">
        <v>0</v>
      </c>
      <c r="M485" s="925">
        <v>0</v>
      </c>
      <c r="N485" s="925">
        <v>0</v>
      </c>
      <c r="O485" s="925">
        <v>356.54</v>
      </c>
      <c r="P485" s="925">
        <v>3317425.98</v>
      </c>
      <c r="Q485" s="925">
        <v>0</v>
      </c>
      <c r="R485" s="925">
        <v>0</v>
      </c>
      <c r="S485" s="925">
        <v>0</v>
      </c>
      <c r="T485" s="925">
        <v>0</v>
      </c>
      <c r="U485" s="925">
        <v>0</v>
      </c>
      <c r="V485" s="925">
        <v>0</v>
      </c>
      <c r="W485" s="925">
        <v>0</v>
      </c>
      <c r="X485" s="925">
        <v>0</v>
      </c>
      <c r="Y485" s="925">
        <v>0</v>
      </c>
      <c r="Z485" s="921">
        <v>259833.64</v>
      </c>
      <c r="AA485" s="925">
        <v>0</v>
      </c>
    </row>
    <row r="486" spans="1:27" s="875" customFormat="1" ht="85.5" customHeight="1">
      <c r="A486" s="1198" t="s">
        <v>1187</v>
      </c>
      <c r="B486" s="1199"/>
      <c r="C486" s="925">
        <f>C487</f>
        <v>7602256</v>
      </c>
      <c r="D486" s="925">
        <f t="shared" ref="D486:AA486" si="130">D487</f>
        <v>0</v>
      </c>
      <c r="E486" s="925">
        <f t="shared" si="130"/>
        <v>0</v>
      </c>
      <c r="F486" s="925">
        <f t="shared" si="130"/>
        <v>0</v>
      </c>
      <c r="G486" s="925">
        <f t="shared" si="130"/>
        <v>0</v>
      </c>
      <c r="H486" s="925">
        <f t="shared" si="130"/>
        <v>0</v>
      </c>
      <c r="I486" s="925">
        <f t="shared" si="130"/>
        <v>0</v>
      </c>
      <c r="J486" s="925">
        <f t="shared" si="130"/>
        <v>0</v>
      </c>
      <c r="K486" s="861">
        <f t="shared" si="130"/>
        <v>0</v>
      </c>
      <c r="L486" s="925">
        <f t="shared" si="130"/>
        <v>0</v>
      </c>
      <c r="M486" s="925">
        <f t="shared" si="130"/>
        <v>0</v>
      </c>
      <c r="N486" s="925">
        <f t="shared" si="130"/>
        <v>0</v>
      </c>
      <c r="O486" s="925">
        <f t="shared" si="130"/>
        <v>1309</v>
      </c>
      <c r="P486" s="925">
        <f t="shared" si="130"/>
        <v>7050067.4400000004</v>
      </c>
      <c r="Q486" s="925">
        <f t="shared" si="130"/>
        <v>0</v>
      </c>
      <c r="R486" s="925">
        <f t="shared" si="130"/>
        <v>0</v>
      </c>
      <c r="S486" s="925">
        <f t="shared" si="130"/>
        <v>0</v>
      </c>
      <c r="T486" s="925">
        <f t="shared" si="130"/>
        <v>0</v>
      </c>
      <c r="U486" s="925">
        <f t="shared" si="130"/>
        <v>0</v>
      </c>
      <c r="V486" s="925">
        <f t="shared" si="130"/>
        <v>0</v>
      </c>
      <c r="W486" s="925">
        <f t="shared" si="130"/>
        <v>0</v>
      </c>
      <c r="X486" s="925">
        <f t="shared" si="130"/>
        <v>0</v>
      </c>
      <c r="Y486" s="925">
        <f t="shared" si="130"/>
        <v>0</v>
      </c>
      <c r="Z486" s="921">
        <f t="shared" si="130"/>
        <v>552188.56000000006</v>
      </c>
      <c r="AA486" s="925">
        <f t="shared" si="130"/>
        <v>0</v>
      </c>
    </row>
    <row r="487" spans="1:27" s="875" customFormat="1" ht="93" customHeight="1">
      <c r="A487" s="927">
        <v>92</v>
      </c>
      <c r="B487" s="863" t="s">
        <v>2191</v>
      </c>
      <c r="C487" s="925">
        <f>D487+N487+P487+R487+T487+X487+Z487+L487</f>
        <v>7602256</v>
      </c>
      <c r="D487" s="925">
        <f>SUM(E487:J487)</f>
        <v>0</v>
      </c>
      <c r="E487" s="925">
        <v>0</v>
      </c>
      <c r="F487" s="925">
        <v>0</v>
      </c>
      <c r="G487" s="925">
        <v>0</v>
      </c>
      <c r="H487" s="925">
        <v>0</v>
      </c>
      <c r="I487" s="925">
        <v>0</v>
      </c>
      <c r="J487" s="925">
        <v>0</v>
      </c>
      <c r="K487" s="861">
        <v>0</v>
      </c>
      <c r="L487" s="925">
        <v>0</v>
      </c>
      <c r="M487" s="925">
        <v>0</v>
      </c>
      <c r="N487" s="925">
        <v>0</v>
      </c>
      <c r="O487" s="925">
        <v>1309</v>
      </c>
      <c r="P487" s="925">
        <v>7050067.4400000004</v>
      </c>
      <c r="Q487" s="925">
        <v>0</v>
      </c>
      <c r="R487" s="925">
        <v>0</v>
      </c>
      <c r="S487" s="925">
        <v>0</v>
      </c>
      <c r="T487" s="925">
        <v>0</v>
      </c>
      <c r="U487" s="925">
        <v>0</v>
      </c>
      <c r="V487" s="925">
        <v>0</v>
      </c>
      <c r="W487" s="925">
        <v>0</v>
      </c>
      <c r="X487" s="925">
        <v>0</v>
      </c>
      <c r="Y487" s="925">
        <v>0</v>
      </c>
      <c r="Z487" s="921">
        <v>552188.56000000006</v>
      </c>
      <c r="AA487" s="925">
        <v>0</v>
      </c>
    </row>
    <row r="488" spans="1:27" s="867" customFormat="1" ht="99.75" customHeight="1">
      <c r="A488" s="1198" t="s">
        <v>207</v>
      </c>
      <c r="B488" s="1199"/>
      <c r="C488" s="925">
        <f>SUM(C489:C493)</f>
        <v>26406023.920000002</v>
      </c>
      <c r="D488" s="925">
        <f t="shared" ref="D488:AA488" si="131">SUM(D489:D493)</f>
        <v>0</v>
      </c>
      <c r="E488" s="925">
        <f t="shared" si="131"/>
        <v>0</v>
      </c>
      <c r="F488" s="925">
        <f t="shared" si="131"/>
        <v>0</v>
      </c>
      <c r="G488" s="925">
        <f t="shared" si="131"/>
        <v>0</v>
      </c>
      <c r="H488" s="925">
        <f t="shared" si="131"/>
        <v>0</v>
      </c>
      <c r="I488" s="925">
        <f t="shared" si="131"/>
        <v>0</v>
      </c>
      <c r="J488" s="925">
        <f t="shared" si="131"/>
        <v>0</v>
      </c>
      <c r="K488" s="861">
        <f t="shared" si="131"/>
        <v>0</v>
      </c>
      <c r="L488" s="925">
        <f t="shared" si="131"/>
        <v>0</v>
      </c>
      <c r="M488" s="925">
        <f t="shared" si="131"/>
        <v>4</v>
      </c>
      <c r="N488" s="925">
        <f t="shared" si="131"/>
        <v>12420354.74</v>
      </c>
      <c r="O488" s="925">
        <f t="shared" si="131"/>
        <v>1287.9000000000001</v>
      </c>
      <c r="P488" s="925">
        <f t="shared" si="131"/>
        <v>9622834.8200000003</v>
      </c>
      <c r="Q488" s="925">
        <f t="shared" si="131"/>
        <v>0</v>
      </c>
      <c r="R488" s="925">
        <f t="shared" si="131"/>
        <v>0</v>
      </c>
      <c r="S488" s="925">
        <f t="shared" si="131"/>
        <v>566</v>
      </c>
      <c r="T488" s="925">
        <f t="shared" si="131"/>
        <v>2444837.34</v>
      </c>
      <c r="U488" s="925">
        <f t="shared" si="131"/>
        <v>0</v>
      </c>
      <c r="V488" s="925">
        <f t="shared" si="131"/>
        <v>0</v>
      </c>
      <c r="W488" s="925">
        <f t="shared" si="131"/>
        <v>0</v>
      </c>
      <c r="X488" s="925">
        <f t="shared" si="131"/>
        <v>0</v>
      </c>
      <c r="Y488" s="925">
        <f t="shared" si="131"/>
        <v>0</v>
      </c>
      <c r="Z488" s="921">
        <f t="shared" si="131"/>
        <v>1917997.02</v>
      </c>
      <c r="AA488" s="925">
        <f t="shared" si="131"/>
        <v>0</v>
      </c>
    </row>
    <row r="489" spans="1:27" s="867" customFormat="1" ht="102" customHeight="1">
      <c r="A489" s="927">
        <v>93</v>
      </c>
      <c r="B489" s="863" t="s">
        <v>1566</v>
      </c>
      <c r="C489" s="925">
        <f>D489+N489+P489+R489+T489+X489+Z489+L489</f>
        <v>3495643.92</v>
      </c>
      <c r="D489" s="925">
        <f>SUM(E489:J489)</f>
        <v>0</v>
      </c>
      <c r="E489" s="925">
        <v>0</v>
      </c>
      <c r="F489" s="925">
        <v>0</v>
      </c>
      <c r="G489" s="925">
        <v>0</v>
      </c>
      <c r="H489" s="925">
        <v>0</v>
      </c>
      <c r="I489" s="925">
        <v>0</v>
      </c>
      <c r="J489" s="925">
        <v>0</v>
      </c>
      <c r="K489" s="861">
        <v>0</v>
      </c>
      <c r="L489" s="925">
        <v>0</v>
      </c>
      <c r="M489" s="925">
        <v>0</v>
      </c>
      <c r="N489" s="925">
        <v>0</v>
      </c>
      <c r="O489" s="925">
        <v>601.9</v>
      </c>
      <c r="P489" s="925">
        <v>3241738.42</v>
      </c>
      <c r="Q489" s="925">
        <v>0</v>
      </c>
      <c r="R489" s="925">
        <v>0</v>
      </c>
      <c r="S489" s="925">
        <v>0</v>
      </c>
      <c r="T489" s="925">
        <v>0</v>
      </c>
      <c r="U489" s="925">
        <v>0</v>
      </c>
      <c r="V489" s="925">
        <v>0</v>
      </c>
      <c r="W489" s="925">
        <v>0</v>
      </c>
      <c r="X489" s="925">
        <v>0</v>
      </c>
      <c r="Y489" s="925">
        <v>0</v>
      </c>
      <c r="Z489" s="921">
        <v>253905.5</v>
      </c>
      <c r="AA489" s="925">
        <v>0</v>
      </c>
    </row>
    <row r="490" spans="1:27" s="867" customFormat="1" ht="91.15" customHeight="1">
      <c r="A490" s="927">
        <v>94</v>
      </c>
      <c r="B490" s="863" t="s">
        <v>1567</v>
      </c>
      <c r="C490" s="925">
        <f>D490+N490+P490+R490+T490+X490+Z490+L490</f>
        <v>2636326.46</v>
      </c>
      <c r="D490" s="925">
        <f>SUM(E490:J490)</f>
        <v>0</v>
      </c>
      <c r="E490" s="925">
        <v>0</v>
      </c>
      <c r="F490" s="925">
        <v>0</v>
      </c>
      <c r="G490" s="925">
        <v>0</v>
      </c>
      <c r="H490" s="925">
        <v>0</v>
      </c>
      <c r="I490" s="925">
        <v>0</v>
      </c>
      <c r="J490" s="925">
        <v>0</v>
      </c>
      <c r="K490" s="861">
        <v>0</v>
      </c>
      <c r="L490" s="925">
        <v>0</v>
      </c>
      <c r="M490" s="925">
        <v>0</v>
      </c>
      <c r="N490" s="925">
        <v>0</v>
      </c>
      <c r="O490" s="925">
        <v>0</v>
      </c>
      <c r="P490" s="925">
        <v>0</v>
      </c>
      <c r="Q490" s="925">
        <v>0</v>
      </c>
      <c r="R490" s="925">
        <v>0</v>
      </c>
      <c r="S490" s="925">
        <v>566</v>
      </c>
      <c r="T490" s="925">
        <v>2444837.34</v>
      </c>
      <c r="U490" s="925">
        <v>0</v>
      </c>
      <c r="V490" s="925">
        <v>0</v>
      </c>
      <c r="W490" s="925">
        <v>0</v>
      </c>
      <c r="X490" s="925">
        <v>0</v>
      </c>
      <c r="Y490" s="925">
        <v>0</v>
      </c>
      <c r="Z490" s="921">
        <v>191489.12</v>
      </c>
      <c r="AA490" s="925">
        <v>0</v>
      </c>
    </row>
    <row r="491" spans="1:27" s="867" customFormat="1" ht="92.45" customHeight="1">
      <c r="A491" s="927">
        <v>95</v>
      </c>
      <c r="B491" s="863" t="s">
        <v>1568</v>
      </c>
      <c r="C491" s="925">
        <f>D491+N491+P491+R491+T491+X491+Z491+L491</f>
        <v>6880888.5600000005</v>
      </c>
      <c r="D491" s="925">
        <f>SUM(E491:J491)</f>
        <v>0</v>
      </c>
      <c r="E491" s="925">
        <v>0</v>
      </c>
      <c r="F491" s="925">
        <v>0</v>
      </c>
      <c r="G491" s="925">
        <v>0</v>
      </c>
      <c r="H491" s="925">
        <v>0</v>
      </c>
      <c r="I491" s="925">
        <v>0</v>
      </c>
      <c r="J491" s="925">
        <v>0</v>
      </c>
      <c r="K491" s="861">
        <v>0</v>
      </c>
      <c r="L491" s="925">
        <v>0</v>
      </c>
      <c r="M491" s="925">
        <v>0</v>
      </c>
      <c r="N491" s="925">
        <v>0</v>
      </c>
      <c r="O491" s="925">
        <v>686</v>
      </c>
      <c r="P491" s="925">
        <v>6381096.4000000004</v>
      </c>
      <c r="Q491" s="925">
        <v>0</v>
      </c>
      <c r="R491" s="925">
        <v>0</v>
      </c>
      <c r="S491" s="925">
        <v>0</v>
      </c>
      <c r="T491" s="925">
        <v>0</v>
      </c>
      <c r="U491" s="925">
        <v>0</v>
      </c>
      <c r="V491" s="925">
        <v>0</v>
      </c>
      <c r="W491" s="925">
        <v>0</v>
      </c>
      <c r="X491" s="925">
        <v>0</v>
      </c>
      <c r="Y491" s="925">
        <v>0</v>
      </c>
      <c r="Z491" s="921">
        <v>499792.16</v>
      </c>
      <c r="AA491" s="925">
        <v>0</v>
      </c>
    </row>
    <row r="492" spans="1:27" s="867" customFormat="1" ht="87.6" customHeight="1">
      <c r="A492" s="927">
        <v>96</v>
      </c>
      <c r="B492" s="863" t="s">
        <v>1569</v>
      </c>
      <c r="C492" s="925">
        <f>D492+N492+P492+R492+T492+X492+Z492+L492</f>
        <v>6696582.4900000002</v>
      </c>
      <c r="D492" s="925">
        <f>SUM(E492:J492)</f>
        <v>0</v>
      </c>
      <c r="E492" s="925">
        <v>0</v>
      </c>
      <c r="F492" s="925">
        <v>0</v>
      </c>
      <c r="G492" s="925">
        <v>0</v>
      </c>
      <c r="H492" s="925">
        <v>0</v>
      </c>
      <c r="I492" s="925">
        <v>0</v>
      </c>
      <c r="J492" s="925">
        <v>0</v>
      </c>
      <c r="K492" s="861">
        <v>0</v>
      </c>
      <c r="L492" s="925">
        <v>0</v>
      </c>
      <c r="M492" s="925">
        <v>2</v>
      </c>
      <c r="N492" s="925">
        <v>6210177.3700000001</v>
      </c>
      <c r="O492" s="925">
        <v>0</v>
      </c>
      <c r="P492" s="925">
        <v>0</v>
      </c>
      <c r="Q492" s="925">
        <v>0</v>
      </c>
      <c r="R492" s="925">
        <v>0</v>
      </c>
      <c r="S492" s="925">
        <v>0</v>
      </c>
      <c r="T492" s="925">
        <v>0</v>
      </c>
      <c r="U492" s="925">
        <v>0</v>
      </c>
      <c r="V492" s="925">
        <v>0</v>
      </c>
      <c r="W492" s="925">
        <v>0</v>
      </c>
      <c r="X492" s="925">
        <v>0</v>
      </c>
      <c r="Y492" s="925">
        <v>0</v>
      </c>
      <c r="Z492" s="921">
        <v>486405.12</v>
      </c>
      <c r="AA492" s="925">
        <v>0</v>
      </c>
    </row>
    <row r="493" spans="1:27" s="867" customFormat="1" ht="87.6" customHeight="1">
      <c r="A493" s="927">
        <v>97</v>
      </c>
      <c r="B493" s="863" t="s">
        <v>1570</v>
      </c>
      <c r="C493" s="925">
        <f>D493+N493+P493+R493+T493+X493+Z493+L493</f>
        <v>6696582.4900000002</v>
      </c>
      <c r="D493" s="925">
        <f>SUM(E493:J493)</f>
        <v>0</v>
      </c>
      <c r="E493" s="925">
        <v>0</v>
      </c>
      <c r="F493" s="925">
        <v>0</v>
      </c>
      <c r="G493" s="925">
        <v>0</v>
      </c>
      <c r="H493" s="925">
        <v>0</v>
      </c>
      <c r="I493" s="925">
        <v>0</v>
      </c>
      <c r="J493" s="925">
        <v>0</v>
      </c>
      <c r="K493" s="861">
        <v>0</v>
      </c>
      <c r="L493" s="925">
        <v>0</v>
      </c>
      <c r="M493" s="925">
        <v>2</v>
      </c>
      <c r="N493" s="925">
        <v>6210177.3700000001</v>
      </c>
      <c r="O493" s="925">
        <v>0</v>
      </c>
      <c r="P493" s="925">
        <v>0</v>
      </c>
      <c r="Q493" s="925">
        <v>0</v>
      </c>
      <c r="R493" s="925">
        <v>0</v>
      </c>
      <c r="S493" s="925">
        <v>0</v>
      </c>
      <c r="T493" s="925">
        <v>0</v>
      </c>
      <c r="U493" s="925">
        <v>0</v>
      </c>
      <c r="V493" s="925">
        <v>0</v>
      </c>
      <c r="W493" s="925">
        <v>0</v>
      </c>
      <c r="X493" s="925">
        <v>0</v>
      </c>
      <c r="Y493" s="925">
        <v>0</v>
      </c>
      <c r="Z493" s="921">
        <v>486405.12</v>
      </c>
      <c r="AA493" s="925">
        <v>0</v>
      </c>
    </row>
    <row r="494" spans="1:27" s="867" customFormat="1" ht="90.75" customHeight="1">
      <c r="A494" s="1198" t="s">
        <v>2056</v>
      </c>
      <c r="B494" s="1199"/>
      <c r="C494" s="925">
        <f>C495+C496</f>
        <v>10675920.869999999</v>
      </c>
      <c r="D494" s="925">
        <f t="shared" ref="D494:AA494" si="132">D495+D496</f>
        <v>0</v>
      </c>
      <c r="E494" s="925">
        <f t="shared" si="132"/>
        <v>0</v>
      </c>
      <c r="F494" s="925">
        <f t="shared" si="132"/>
        <v>0</v>
      </c>
      <c r="G494" s="925">
        <f t="shared" si="132"/>
        <v>0</v>
      </c>
      <c r="H494" s="925">
        <f t="shared" si="132"/>
        <v>0</v>
      </c>
      <c r="I494" s="925">
        <f t="shared" si="132"/>
        <v>0</v>
      </c>
      <c r="J494" s="925">
        <f t="shared" si="132"/>
        <v>0</v>
      </c>
      <c r="K494" s="861">
        <f t="shared" si="132"/>
        <v>0</v>
      </c>
      <c r="L494" s="925">
        <f t="shared" si="132"/>
        <v>0</v>
      </c>
      <c r="M494" s="925">
        <f t="shared" si="132"/>
        <v>0</v>
      </c>
      <c r="N494" s="925">
        <f t="shared" si="132"/>
        <v>0</v>
      </c>
      <c r="O494" s="925">
        <f t="shared" si="132"/>
        <v>1322</v>
      </c>
      <c r="P494" s="925">
        <f t="shared" si="132"/>
        <v>9900477.1899999995</v>
      </c>
      <c r="Q494" s="925">
        <f t="shared" si="132"/>
        <v>0</v>
      </c>
      <c r="R494" s="925">
        <f t="shared" si="132"/>
        <v>0</v>
      </c>
      <c r="S494" s="925">
        <f t="shared" si="132"/>
        <v>0</v>
      </c>
      <c r="T494" s="925">
        <f t="shared" si="132"/>
        <v>0</v>
      </c>
      <c r="U494" s="925">
        <f t="shared" si="132"/>
        <v>0</v>
      </c>
      <c r="V494" s="925">
        <f t="shared" si="132"/>
        <v>0</v>
      </c>
      <c r="W494" s="925">
        <f t="shared" si="132"/>
        <v>0</v>
      </c>
      <c r="X494" s="925">
        <f t="shared" si="132"/>
        <v>0</v>
      </c>
      <c r="Y494" s="925">
        <f t="shared" si="132"/>
        <v>0</v>
      </c>
      <c r="Z494" s="921">
        <f t="shared" si="132"/>
        <v>775443.67999999993</v>
      </c>
      <c r="AA494" s="925">
        <f t="shared" si="132"/>
        <v>0</v>
      </c>
    </row>
    <row r="495" spans="1:27" s="867" customFormat="1" ht="103.9" customHeight="1">
      <c r="A495" s="927">
        <v>98</v>
      </c>
      <c r="B495" s="863" t="s">
        <v>1272</v>
      </c>
      <c r="C495" s="925">
        <f>D495+N495+P495+R495+T495+X495+Z495</f>
        <v>7121619.3599999994</v>
      </c>
      <c r="D495" s="925">
        <v>0</v>
      </c>
      <c r="E495" s="925">
        <v>0</v>
      </c>
      <c r="F495" s="925">
        <v>0</v>
      </c>
      <c r="G495" s="925">
        <v>0</v>
      </c>
      <c r="H495" s="925">
        <v>0</v>
      </c>
      <c r="I495" s="925">
        <v>0</v>
      </c>
      <c r="J495" s="925">
        <v>0</v>
      </c>
      <c r="K495" s="861">
        <v>0</v>
      </c>
      <c r="L495" s="925">
        <v>0</v>
      </c>
      <c r="M495" s="925">
        <v>0</v>
      </c>
      <c r="N495" s="925">
        <v>0</v>
      </c>
      <c r="O495" s="925">
        <v>710</v>
      </c>
      <c r="P495" s="925">
        <v>6604341.7599999998</v>
      </c>
      <c r="Q495" s="925">
        <v>0</v>
      </c>
      <c r="R495" s="925">
        <v>0</v>
      </c>
      <c r="S495" s="925">
        <v>0</v>
      </c>
      <c r="T495" s="925">
        <v>0</v>
      </c>
      <c r="U495" s="925">
        <v>0</v>
      </c>
      <c r="V495" s="925">
        <v>0</v>
      </c>
      <c r="W495" s="925">
        <v>0</v>
      </c>
      <c r="X495" s="925">
        <v>0</v>
      </c>
      <c r="Y495" s="925">
        <v>0</v>
      </c>
      <c r="Z495" s="921">
        <v>517277.6</v>
      </c>
      <c r="AA495" s="925">
        <v>0</v>
      </c>
    </row>
    <row r="496" spans="1:27" s="867" customFormat="1" ht="103.9" customHeight="1">
      <c r="A496" s="927">
        <v>99</v>
      </c>
      <c r="B496" s="863" t="s">
        <v>1268</v>
      </c>
      <c r="C496" s="925">
        <f>D496+N496+P496+R496+T496+X496+Z496</f>
        <v>3554301.5100000002</v>
      </c>
      <c r="D496" s="925">
        <v>0</v>
      </c>
      <c r="E496" s="925">
        <v>0</v>
      </c>
      <c r="F496" s="925">
        <v>0</v>
      </c>
      <c r="G496" s="925">
        <v>0</v>
      </c>
      <c r="H496" s="925">
        <v>0</v>
      </c>
      <c r="I496" s="925">
        <v>0</v>
      </c>
      <c r="J496" s="925">
        <v>0</v>
      </c>
      <c r="K496" s="861">
        <v>0</v>
      </c>
      <c r="L496" s="925">
        <v>0</v>
      </c>
      <c r="M496" s="925">
        <v>0</v>
      </c>
      <c r="N496" s="925">
        <v>0</v>
      </c>
      <c r="O496" s="925">
        <v>612</v>
      </c>
      <c r="P496" s="925">
        <v>3296135.43</v>
      </c>
      <c r="Q496" s="925">
        <v>0</v>
      </c>
      <c r="R496" s="925">
        <v>0</v>
      </c>
      <c r="S496" s="925">
        <v>0</v>
      </c>
      <c r="T496" s="925">
        <v>0</v>
      </c>
      <c r="U496" s="925">
        <v>0</v>
      </c>
      <c r="V496" s="925">
        <v>0</v>
      </c>
      <c r="W496" s="925">
        <v>0</v>
      </c>
      <c r="X496" s="925">
        <v>0</v>
      </c>
      <c r="Y496" s="925">
        <v>0</v>
      </c>
      <c r="Z496" s="921">
        <v>258166.08</v>
      </c>
      <c r="AA496" s="925">
        <v>0</v>
      </c>
    </row>
    <row r="497" spans="1:27" s="867" customFormat="1" ht="80.45" customHeight="1">
      <c r="A497" s="1205" t="s">
        <v>1261</v>
      </c>
      <c r="B497" s="1205"/>
      <c r="C497" s="1205"/>
      <c r="D497" s="1205"/>
      <c r="E497" s="1205"/>
      <c r="F497" s="1205"/>
      <c r="G497" s="1205"/>
      <c r="H497" s="1205"/>
      <c r="I497" s="1205"/>
      <c r="J497" s="1205"/>
      <c r="K497" s="1205"/>
      <c r="L497" s="1205"/>
      <c r="M497" s="1205"/>
      <c r="N497" s="1205"/>
      <c r="O497" s="1205"/>
      <c r="P497" s="1205"/>
      <c r="Q497" s="1205"/>
      <c r="R497" s="1205"/>
      <c r="S497" s="1205"/>
      <c r="T497" s="1205"/>
      <c r="U497" s="1205"/>
      <c r="V497" s="1205"/>
      <c r="W497" s="1205"/>
      <c r="X497" s="1205"/>
      <c r="Y497" s="1205"/>
      <c r="Z497" s="1205"/>
      <c r="AA497" s="1205"/>
    </row>
    <row r="498" spans="1:27" s="867" customFormat="1" ht="96.6" customHeight="1">
      <c r="A498" s="1196" t="s">
        <v>205</v>
      </c>
      <c r="B498" s="1197"/>
      <c r="C498" s="925">
        <f t="shared" ref="C498:AA498" si="133">C499+C661+C703+C721+C732+C747+C749+C758+C770+C781+C804+C808+C812+C819+C823+C834+C837+C865+C872+C904+C911+C920+C945+C947+C956+C970+C973+C977+C980+C986+C989+C992+C1006+C1010+C1018</f>
        <v>1999614840.3539114</v>
      </c>
      <c r="D498" s="925">
        <f t="shared" si="133"/>
        <v>412940510.86199987</v>
      </c>
      <c r="E498" s="925">
        <f t="shared" si="133"/>
        <v>47509207.170000002</v>
      </c>
      <c r="F498" s="925">
        <f t="shared" si="133"/>
        <v>180315644.84999993</v>
      </c>
      <c r="G498" s="925">
        <f t="shared" si="133"/>
        <v>21029309.389999997</v>
      </c>
      <c r="H498" s="925">
        <f t="shared" si="133"/>
        <v>65518954.602000006</v>
      </c>
      <c r="I498" s="925">
        <f t="shared" si="133"/>
        <v>36995759.270000003</v>
      </c>
      <c r="J498" s="925">
        <f t="shared" si="133"/>
        <v>61571635.580000006</v>
      </c>
      <c r="K498" s="861">
        <f t="shared" si="133"/>
        <v>30</v>
      </c>
      <c r="L498" s="925">
        <f t="shared" si="133"/>
        <v>7882728.9800000004</v>
      </c>
      <c r="M498" s="925">
        <f t="shared" si="133"/>
        <v>44</v>
      </c>
      <c r="N498" s="925">
        <f t="shared" si="133"/>
        <v>115315155.06000002</v>
      </c>
      <c r="O498" s="925">
        <f t="shared" si="133"/>
        <v>174235.02000000002</v>
      </c>
      <c r="P498" s="925">
        <f t="shared" si="133"/>
        <v>843957068.14000022</v>
      </c>
      <c r="Q498" s="925">
        <f t="shared" si="133"/>
        <v>6204.5</v>
      </c>
      <c r="R498" s="925">
        <f t="shared" si="133"/>
        <v>7288999.2599999998</v>
      </c>
      <c r="S498" s="925">
        <f t="shared" si="133"/>
        <v>70562.559999999998</v>
      </c>
      <c r="T498" s="925">
        <f t="shared" si="133"/>
        <v>324314097.63454956</v>
      </c>
      <c r="U498" s="925">
        <f t="shared" si="133"/>
        <v>3869.79</v>
      </c>
      <c r="V498" s="925">
        <f t="shared" si="133"/>
        <v>18516367.52</v>
      </c>
      <c r="W498" s="925">
        <f t="shared" si="133"/>
        <v>0</v>
      </c>
      <c r="X498" s="925">
        <f t="shared" si="133"/>
        <v>0</v>
      </c>
      <c r="Y498" s="925">
        <f t="shared" si="133"/>
        <v>0</v>
      </c>
      <c r="Z498" s="921">
        <f t="shared" si="133"/>
        <v>119565872.92736195</v>
      </c>
      <c r="AA498" s="925">
        <f t="shared" si="133"/>
        <v>934020.91</v>
      </c>
    </row>
    <row r="499" spans="1:27" s="867" customFormat="1" ht="104.45" customHeight="1">
      <c r="A499" s="1198" t="s">
        <v>2271</v>
      </c>
      <c r="B499" s="1199"/>
      <c r="C499" s="925">
        <f>SUM(C500:C660)</f>
        <v>970456067.75777996</v>
      </c>
      <c r="D499" s="925">
        <f t="shared" ref="D499:T499" si="134">SUM(D500:D660)</f>
        <v>277123719.29199988</v>
      </c>
      <c r="E499" s="925">
        <f t="shared" si="134"/>
        <v>27659287.280000001</v>
      </c>
      <c r="F499" s="925">
        <f t="shared" si="134"/>
        <v>116372229.11999997</v>
      </c>
      <c r="G499" s="925">
        <f t="shared" si="134"/>
        <v>18331664.219999995</v>
      </c>
      <c r="H499" s="925">
        <f t="shared" si="134"/>
        <v>49830692.942000002</v>
      </c>
      <c r="I499" s="925">
        <f t="shared" si="134"/>
        <v>29582512.930000003</v>
      </c>
      <c r="J499" s="925">
        <f t="shared" si="134"/>
        <v>35347332.800000012</v>
      </c>
      <c r="K499" s="861">
        <f t="shared" si="134"/>
        <v>24</v>
      </c>
      <c r="L499" s="925">
        <f t="shared" si="134"/>
        <v>5835728.4900000002</v>
      </c>
      <c r="M499" s="925">
        <f t="shared" si="134"/>
        <v>29</v>
      </c>
      <c r="N499" s="925">
        <f t="shared" si="134"/>
        <v>73946880.070000008</v>
      </c>
      <c r="O499" s="925">
        <f t="shared" si="134"/>
        <v>39937.81</v>
      </c>
      <c r="P499" s="925">
        <f t="shared" si="134"/>
        <v>216144107.63</v>
      </c>
      <c r="Q499" s="925">
        <f t="shared" si="134"/>
        <v>3770</v>
      </c>
      <c r="R499" s="925">
        <f t="shared" si="134"/>
        <v>3464345.83</v>
      </c>
      <c r="S499" s="925">
        <f t="shared" si="134"/>
        <v>35147.609999999993</v>
      </c>
      <c r="T499" s="925">
        <f t="shared" si="134"/>
        <v>191969023.67777997</v>
      </c>
      <c r="U499" s="925">
        <v>0</v>
      </c>
      <c r="V499" s="925">
        <v>0</v>
      </c>
      <c r="W499" s="925">
        <f>SUM(W500:W660)</f>
        <v>0</v>
      </c>
      <c r="X499" s="925">
        <f>SUM(X500:X660)</f>
        <v>0</v>
      </c>
      <c r="Y499" s="925">
        <v>0</v>
      </c>
      <c r="Z499" s="921">
        <f>SUM(Z500:Z660)</f>
        <v>54462722.497999996</v>
      </c>
      <c r="AA499" s="925">
        <f>SUM(AA500:AA660)</f>
        <v>0</v>
      </c>
    </row>
    <row r="500" spans="1:27" s="867" customFormat="1" ht="102.75" customHeight="1">
      <c r="A500" s="927">
        <v>1</v>
      </c>
      <c r="B500" s="868" t="s">
        <v>1642</v>
      </c>
      <c r="C500" s="925">
        <f>D500+L500+N500+P500+R500+T500+V500+X500+Z500</f>
        <v>2381298</v>
      </c>
      <c r="D500" s="925">
        <f t="shared" ref="D500:D553" si="135">SUM(E500:J500)</f>
        <v>0</v>
      </c>
      <c r="E500" s="925">
        <v>0</v>
      </c>
      <c r="F500" s="929">
        <v>0</v>
      </c>
      <c r="G500" s="929">
        <v>0</v>
      </c>
      <c r="H500" s="925">
        <v>0</v>
      </c>
      <c r="I500" s="929">
        <v>0</v>
      </c>
      <c r="J500" s="929">
        <v>0</v>
      </c>
      <c r="K500" s="862">
        <v>0</v>
      </c>
      <c r="L500" s="929">
        <v>0</v>
      </c>
      <c r="M500" s="929">
        <v>0</v>
      </c>
      <c r="N500" s="929">
        <v>0</v>
      </c>
      <c r="O500" s="929">
        <v>0</v>
      </c>
      <c r="P500" s="929">
        <v>0</v>
      </c>
      <c r="Q500" s="929">
        <v>0</v>
      </c>
      <c r="R500" s="929">
        <v>0</v>
      </c>
      <c r="S500" s="929">
        <v>0</v>
      </c>
      <c r="T500" s="929">
        <v>0</v>
      </c>
      <c r="U500" s="929">
        <v>460.7</v>
      </c>
      <c r="V500" s="929">
        <v>2208333</v>
      </c>
      <c r="W500" s="929">
        <v>0</v>
      </c>
      <c r="X500" s="929">
        <v>0</v>
      </c>
      <c r="Y500" s="929">
        <v>0</v>
      </c>
      <c r="Z500" s="864">
        <v>172965</v>
      </c>
      <c r="AA500" s="925">
        <v>0</v>
      </c>
    </row>
    <row r="501" spans="1:27" s="867" customFormat="1" ht="102.75" customHeight="1">
      <c r="A501" s="927">
        <v>2</v>
      </c>
      <c r="B501" s="868" t="s">
        <v>1643</v>
      </c>
      <c r="C501" s="925">
        <f t="shared" ref="C501:C564" si="136">D501+L501+N501+P501+R501+T501+V501+X501+Z501</f>
        <v>4386000</v>
      </c>
      <c r="D501" s="925">
        <f t="shared" si="135"/>
        <v>4336505</v>
      </c>
      <c r="E501" s="925">
        <v>0</v>
      </c>
      <c r="F501" s="929">
        <v>4336505</v>
      </c>
      <c r="G501" s="929">
        <v>0</v>
      </c>
      <c r="H501" s="925">
        <v>0</v>
      </c>
      <c r="I501" s="929">
        <v>0</v>
      </c>
      <c r="J501" s="929">
        <v>0</v>
      </c>
      <c r="K501" s="862">
        <v>0</v>
      </c>
      <c r="L501" s="929">
        <v>0</v>
      </c>
      <c r="M501" s="929">
        <v>0</v>
      </c>
      <c r="N501" s="929">
        <v>0</v>
      </c>
      <c r="O501" s="929">
        <v>0</v>
      </c>
      <c r="P501" s="929">
        <v>0</v>
      </c>
      <c r="Q501" s="929">
        <v>0</v>
      </c>
      <c r="R501" s="929">
        <v>0</v>
      </c>
      <c r="S501" s="929">
        <v>0</v>
      </c>
      <c r="T501" s="929">
        <v>0</v>
      </c>
      <c r="U501" s="929">
        <v>0</v>
      </c>
      <c r="V501" s="929">
        <v>0</v>
      </c>
      <c r="W501" s="929">
        <v>0</v>
      </c>
      <c r="X501" s="929">
        <v>0</v>
      </c>
      <c r="Y501" s="929">
        <v>0</v>
      </c>
      <c r="Z501" s="864">
        <v>49495</v>
      </c>
      <c r="AA501" s="925">
        <v>0</v>
      </c>
    </row>
    <row r="502" spans="1:27" s="867" customFormat="1" ht="102.75" customHeight="1">
      <c r="A502" s="927">
        <v>3</v>
      </c>
      <c r="B502" s="868" t="s">
        <v>1644</v>
      </c>
      <c r="C502" s="925">
        <f t="shared" si="136"/>
        <v>7895157.5899999999</v>
      </c>
      <c r="D502" s="925">
        <f t="shared" si="135"/>
        <v>0</v>
      </c>
      <c r="E502" s="925">
        <v>0</v>
      </c>
      <c r="F502" s="929">
        <v>0</v>
      </c>
      <c r="G502" s="929">
        <v>0</v>
      </c>
      <c r="H502" s="925">
        <v>0</v>
      </c>
      <c r="I502" s="929">
        <v>0</v>
      </c>
      <c r="J502" s="929">
        <v>0</v>
      </c>
      <c r="K502" s="862">
        <v>0</v>
      </c>
      <c r="L502" s="929">
        <v>0</v>
      </c>
      <c r="M502" s="929">
        <v>0</v>
      </c>
      <c r="N502" s="929">
        <v>0</v>
      </c>
      <c r="O502" s="929">
        <v>1223</v>
      </c>
      <c r="P502" s="929">
        <v>7846050.5899999999</v>
      </c>
      <c r="Q502" s="929">
        <v>0</v>
      </c>
      <c r="R502" s="929">
        <v>0</v>
      </c>
      <c r="S502" s="929">
        <v>0</v>
      </c>
      <c r="T502" s="929">
        <v>0</v>
      </c>
      <c r="U502" s="929">
        <v>0</v>
      </c>
      <c r="V502" s="929">
        <v>0</v>
      </c>
      <c r="W502" s="929">
        <v>0</v>
      </c>
      <c r="X502" s="929">
        <v>0</v>
      </c>
      <c r="Y502" s="929">
        <v>0</v>
      </c>
      <c r="Z502" s="864">
        <v>49107</v>
      </c>
      <c r="AA502" s="925">
        <v>0</v>
      </c>
    </row>
    <row r="503" spans="1:27" s="867" customFormat="1" ht="102.75" customHeight="1">
      <c r="A503" s="927">
        <v>4</v>
      </c>
      <c r="B503" s="868" t="s">
        <v>1645</v>
      </c>
      <c r="C503" s="925">
        <f t="shared" si="136"/>
        <v>6945106.9900000002</v>
      </c>
      <c r="D503" s="925">
        <f t="shared" si="135"/>
        <v>0</v>
      </c>
      <c r="E503" s="925">
        <v>0</v>
      </c>
      <c r="F503" s="929">
        <v>0</v>
      </c>
      <c r="G503" s="929">
        <v>0</v>
      </c>
      <c r="H503" s="925">
        <v>0</v>
      </c>
      <c r="I503" s="929">
        <v>0</v>
      </c>
      <c r="J503" s="929">
        <v>0</v>
      </c>
      <c r="K503" s="862">
        <v>0</v>
      </c>
      <c r="L503" s="929">
        <v>0</v>
      </c>
      <c r="M503" s="929">
        <v>0</v>
      </c>
      <c r="N503" s="929">
        <v>0</v>
      </c>
      <c r="O503" s="929">
        <v>1074</v>
      </c>
      <c r="P503" s="929">
        <v>6890153.9900000002</v>
      </c>
      <c r="Q503" s="929">
        <v>0</v>
      </c>
      <c r="R503" s="929">
        <v>0</v>
      </c>
      <c r="S503" s="929">
        <v>0</v>
      </c>
      <c r="T503" s="929">
        <v>0</v>
      </c>
      <c r="U503" s="929">
        <v>0</v>
      </c>
      <c r="V503" s="929">
        <v>0</v>
      </c>
      <c r="W503" s="929">
        <v>0</v>
      </c>
      <c r="X503" s="929">
        <v>0</v>
      </c>
      <c r="Y503" s="929">
        <v>0</v>
      </c>
      <c r="Z503" s="864">
        <v>54953</v>
      </c>
      <c r="AA503" s="925">
        <v>0</v>
      </c>
    </row>
    <row r="504" spans="1:27" s="867" customFormat="1" ht="102.75" customHeight="1">
      <c r="A504" s="927">
        <v>5</v>
      </c>
      <c r="B504" s="868" t="s">
        <v>2192</v>
      </c>
      <c r="C504" s="925">
        <f t="shared" si="136"/>
        <v>659655.96</v>
      </c>
      <c r="D504" s="925">
        <f t="shared" si="135"/>
        <v>316071.96000000002</v>
      </c>
      <c r="E504" s="925">
        <v>0</v>
      </c>
      <c r="F504" s="929">
        <v>0</v>
      </c>
      <c r="G504" s="929">
        <v>0</v>
      </c>
      <c r="H504" s="925">
        <v>0</v>
      </c>
      <c r="I504" s="929">
        <v>0</v>
      </c>
      <c r="J504" s="925">
        <v>316071.96000000002</v>
      </c>
      <c r="K504" s="862">
        <v>0</v>
      </c>
      <c r="L504" s="929">
        <v>0</v>
      </c>
      <c r="M504" s="929">
        <v>0</v>
      </c>
      <c r="N504" s="929">
        <v>0</v>
      </c>
      <c r="O504" s="929">
        <v>0</v>
      </c>
      <c r="P504" s="929">
        <v>0</v>
      </c>
      <c r="Q504" s="929">
        <v>0</v>
      </c>
      <c r="R504" s="929">
        <v>0</v>
      </c>
      <c r="S504" s="929">
        <v>0</v>
      </c>
      <c r="T504" s="929">
        <v>0</v>
      </c>
      <c r="U504" s="929">
        <v>0</v>
      </c>
      <c r="V504" s="929">
        <v>0</v>
      </c>
      <c r="W504" s="929">
        <v>0</v>
      </c>
      <c r="X504" s="929">
        <v>0</v>
      </c>
      <c r="Y504" s="929">
        <v>0</v>
      </c>
      <c r="Z504" s="864">
        <v>343584</v>
      </c>
      <c r="AA504" s="925">
        <v>0</v>
      </c>
    </row>
    <row r="505" spans="1:27" s="867" customFormat="1" ht="102.75" customHeight="1">
      <c r="A505" s="927">
        <v>6</v>
      </c>
      <c r="B505" s="868" t="s">
        <v>1646</v>
      </c>
      <c r="C505" s="925">
        <f t="shared" si="136"/>
        <v>8665992</v>
      </c>
      <c r="D505" s="925">
        <f t="shared" si="135"/>
        <v>0</v>
      </c>
      <c r="E505" s="925">
        <v>0</v>
      </c>
      <c r="F505" s="929">
        <v>0</v>
      </c>
      <c r="G505" s="929">
        <v>0</v>
      </c>
      <c r="H505" s="925">
        <v>0</v>
      </c>
      <c r="I505" s="929">
        <v>0</v>
      </c>
      <c r="J505" s="929">
        <v>0</v>
      </c>
      <c r="K505" s="862">
        <v>0</v>
      </c>
      <c r="L505" s="929">
        <v>0</v>
      </c>
      <c r="M505" s="929">
        <v>0</v>
      </c>
      <c r="N505" s="929">
        <v>0</v>
      </c>
      <c r="O505" s="929">
        <v>0</v>
      </c>
      <c r="P505" s="929">
        <v>0</v>
      </c>
      <c r="Q505" s="929">
        <v>0</v>
      </c>
      <c r="R505" s="929">
        <v>0</v>
      </c>
      <c r="S505" s="929">
        <v>2880</v>
      </c>
      <c r="T505" s="929">
        <v>8036539</v>
      </c>
      <c r="U505" s="929">
        <v>0</v>
      </c>
      <c r="V505" s="929">
        <v>0</v>
      </c>
      <c r="W505" s="929">
        <v>0</v>
      </c>
      <c r="X505" s="929">
        <v>0</v>
      </c>
      <c r="Y505" s="929">
        <v>0</v>
      </c>
      <c r="Z505" s="864">
        <v>629453</v>
      </c>
      <c r="AA505" s="925">
        <v>0</v>
      </c>
    </row>
    <row r="506" spans="1:27" s="867" customFormat="1" ht="102.75" customHeight="1">
      <c r="A506" s="927">
        <v>7</v>
      </c>
      <c r="B506" s="868" t="s">
        <v>1647</v>
      </c>
      <c r="C506" s="925">
        <f t="shared" si="136"/>
        <v>813823.58000000007</v>
      </c>
      <c r="D506" s="925">
        <f t="shared" si="135"/>
        <v>754711.64</v>
      </c>
      <c r="E506" s="929">
        <v>0</v>
      </c>
      <c r="F506" s="929">
        <v>754711.64</v>
      </c>
      <c r="G506" s="929">
        <v>0</v>
      </c>
      <c r="H506" s="929">
        <v>0</v>
      </c>
      <c r="I506" s="929">
        <v>0</v>
      </c>
      <c r="J506" s="929">
        <v>0</v>
      </c>
      <c r="K506" s="862">
        <v>0</v>
      </c>
      <c r="L506" s="929">
        <v>0</v>
      </c>
      <c r="M506" s="929">
        <v>0</v>
      </c>
      <c r="N506" s="929">
        <v>0</v>
      </c>
      <c r="O506" s="929">
        <v>0</v>
      </c>
      <c r="P506" s="929">
        <v>0</v>
      </c>
      <c r="Q506" s="929">
        <v>0</v>
      </c>
      <c r="R506" s="929">
        <v>0</v>
      </c>
      <c r="S506" s="929">
        <v>0</v>
      </c>
      <c r="T506" s="929">
        <v>0</v>
      </c>
      <c r="U506" s="929">
        <v>0</v>
      </c>
      <c r="V506" s="929">
        <v>0</v>
      </c>
      <c r="W506" s="929">
        <v>0</v>
      </c>
      <c r="X506" s="929">
        <v>0</v>
      </c>
      <c r="Y506" s="929">
        <v>0</v>
      </c>
      <c r="Z506" s="864">
        <v>59111.94</v>
      </c>
      <c r="AA506" s="925">
        <v>0</v>
      </c>
    </row>
    <row r="507" spans="1:27" s="867" customFormat="1" ht="102.75" customHeight="1">
      <c r="A507" s="927">
        <v>8</v>
      </c>
      <c r="B507" s="868" t="s">
        <v>1648</v>
      </c>
      <c r="C507" s="925">
        <f t="shared" si="136"/>
        <v>2147502.0300000003</v>
      </c>
      <c r="D507" s="925">
        <f t="shared" si="135"/>
        <v>1732418.6</v>
      </c>
      <c r="E507" s="929">
        <v>0</v>
      </c>
      <c r="F507" s="929">
        <v>1732418.6</v>
      </c>
      <c r="G507" s="929">
        <v>0</v>
      </c>
      <c r="H507" s="929">
        <v>0</v>
      </c>
      <c r="I507" s="929">
        <v>0</v>
      </c>
      <c r="J507" s="929">
        <v>0</v>
      </c>
      <c r="K507" s="862">
        <v>1</v>
      </c>
      <c r="L507" s="929">
        <v>365936.98</v>
      </c>
      <c r="M507" s="929">
        <v>0</v>
      </c>
      <c r="N507" s="929">
        <v>0</v>
      </c>
      <c r="O507" s="929">
        <v>0</v>
      </c>
      <c r="P507" s="929">
        <v>0</v>
      </c>
      <c r="Q507" s="929">
        <v>0</v>
      </c>
      <c r="R507" s="929">
        <v>0</v>
      </c>
      <c r="S507" s="929">
        <v>0</v>
      </c>
      <c r="T507" s="929">
        <v>0</v>
      </c>
      <c r="U507" s="929">
        <v>0</v>
      </c>
      <c r="V507" s="929">
        <v>0</v>
      </c>
      <c r="W507" s="929">
        <v>0</v>
      </c>
      <c r="X507" s="929">
        <v>0</v>
      </c>
      <c r="Y507" s="929">
        <v>0</v>
      </c>
      <c r="Z507" s="864">
        <v>49146.45</v>
      </c>
      <c r="AA507" s="925">
        <v>0</v>
      </c>
    </row>
    <row r="508" spans="1:27" s="867" customFormat="1" ht="102.75" customHeight="1">
      <c r="A508" s="927">
        <v>9</v>
      </c>
      <c r="B508" s="868" t="s">
        <v>1640</v>
      </c>
      <c r="C508" s="925">
        <f t="shared" si="136"/>
        <v>5074660.51</v>
      </c>
      <c r="D508" s="925">
        <f t="shared" si="135"/>
        <v>0</v>
      </c>
      <c r="E508" s="929">
        <v>0</v>
      </c>
      <c r="F508" s="929">
        <v>0</v>
      </c>
      <c r="G508" s="929">
        <v>0</v>
      </c>
      <c r="H508" s="929">
        <v>0</v>
      </c>
      <c r="I508" s="929">
        <v>0</v>
      </c>
      <c r="J508" s="929">
        <v>0</v>
      </c>
      <c r="K508" s="862">
        <v>0</v>
      </c>
      <c r="L508" s="929">
        <v>0</v>
      </c>
      <c r="M508" s="929">
        <v>0</v>
      </c>
      <c r="N508" s="929">
        <v>0</v>
      </c>
      <c r="O508" s="929">
        <v>1278</v>
      </c>
      <c r="P508" s="929">
        <v>5053006.75</v>
      </c>
      <c r="Q508" s="929">
        <v>0</v>
      </c>
      <c r="R508" s="929">
        <v>0</v>
      </c>
      <c r="S508" s="929">
        <v>0</v>
      </c>
      <c r="T508" s="929">
        <v>0</v>
      </c>
      <c r="U508" s="929">
        <v>0</v>
      </c>
      <c r="V508" s="929">
        <v>0</v>
      </c>
      <c r="W508" s="929">
        <v>0</v>
      </c>
      <c r="X508" s="929">
        <v>0</v>
      </c>
      <c r="Y508" s="929">
        <v>0</v>
      </c>
      <c r="Z508" s="864">
        <v>21653.759999999998</v>
      </c>
      <c r="AA508" s="925">
        <v>0</v>
      </c>
    </row>
    <row r="509" spans="1:27" s="867" customFormat="1" ht="102.75" customHeight="1">
      <c r="A509" s="927">
        <v>10</v>
      </c>
      <c r="B509" s="868" t="s">
        <v>1931</v>
      </c>
      <c r="C509" s="925">
        <f t="shared" si="136"/>
        <v>3182659.2977800006</v>
      </c>
      <c r="D509" s="925">
        <f t="shared" si="135"/>
        <v>1076014.67</v>
      </c>
      <c r="E509" s="929">
        <v>0</v>
      </c>
      <c r="F509" s="929">
        <v>1076014.67</v>
      </c>
      <c r="G509" s="929">
        <v>0</v>
      </c>
      <c r="H509" s="929">
        <v>0</v>
      </c>
      <c r="I509" s="929">
        <v>0</v>
      </c>
      <c r="J509" s="929">
        <v>0</v>
      </c>
      <c r="K509" s="862">
        <v>1</v>
      </c>
      <c r="L509" s="929">
        <v>328781.51</v>
      </c>
      <c r="M509" s="929">
        <v>0</v>
      </c>
      <c r="N509" s="929">
        <v>0</v>
      </c>
      <c r="O509" s="929">
        <v>0</v>
      </c>
      <c r="P509" s="929">
        <v>0</v>
      </c>
      <c r="Q509" s="929">
        <v>0</v>
      </c>
      <c r="R509" s="929">
        <v>0</v>
      </c>
      <c r="S509" s="929">
        <v>760.3</v>
      </c>
      <c r="T509" s="929">
        <v>1711664.8777800002</v>
      </c>
      <c r="U509" s="929">
        <v>0</v>
      </c>
      <c r="V509" s="929">
        <v>0</v>
      </c>
      <c r="W509" s="929">
        <v>0</v>
      </c>
      <c r="X509" s="929">
        <v>0</v>
      </c>
      <c r="Y509" s="929">
        <v>0</v>
      </c>
      <c r="Z509" s="864">
        <v>66198.240000000005</v>
      </c>
      <c r="AA509" s="925">
        <v>0</v>
      </c>
    </row>
    <row r="510" spans="1:27" s="867" customFormat="1" ht="102.75" customHeight="1">
      <c r="A510" s="927">
        <v>11</v>
      </c>
      <c r="B510" s="868" t="s">
        <v>1649</v>
      </c>
      <c r="C510" s="925">
        <f t="shared" si="136"/>
        <v>1424732.4100000001</v>
      </c>
      <c r="D510" s="925">
        <f t="shared" si="135"/>
        <v>0</v>
      </c>
      <c r="E510" s="929">
        <v>0</v>
      </c>
      <c r="F510" s="929">
        <v>0</v>
      </c>
      <c r="G510" s="929">
        <v>0</v>
      </c>
      <c r="H510" s="929">
        <v>0</v>
      </c>
      <c r="I510" s="929">
        <v>0</v>
      </c>
      <c r="J510" s="929">
        <v>0</v>
      </c>
      <c r="K510" s="862">
        <v>0</v>
      </c>
      <c r="L510" s="929">
        <v>0</v>
      </c>
      <c r="M510" s="929">
        <v>0</v>
      </c>
      <c r="N510" s="929">
        <v>0</v>
      </c>
      <c r="O510" s="929">
        <v>0</v>
      </c>
      <c r="P510" s="929">
        <v>0</v>
      </c>
      <c r="Q510" s="929">
        <v>0</v>
      </c>
      <c r="R510" s="929">
        <v>0</v>
      </c>
      <c r="S510" s="929">
        <v>449</v>
      </c>
      <c r="T510" s="929">
        <v>1409799.57</v>
      </c>
      <c r="U510" s="929">
        <v>0</v>
      </c>
      <c r="V510" s="929">
        <v>0</v>
      </c>
      <c r="W510" s="929">
        <v>0</v>
      </c>
      <c r="X510" s="929">
        <v>0</v>
      </c>
      <c r="Y510" s="929">
        <v>0</v>
      </c>
      <c r="Z510" s="864">
        <v>14932.84</v>
      </c>
      <c r="AA510" s="925">
        <v>0</v>
      </c>
    </row>
    <row r="511" spans="1:27" s="867" customFormat="1" ht="102.75" customHeight="1">
      <c r="A511" s="927">
        <v>12</v>
      </c>
      <c r="B511" s="868" t="s">
        <v>1932</v>
      </c>
      <c r="C511" s="925">
        <f t="shared" si="136"/>
        <v>1554468.02</v>
      </c>
      <c r="D511" s="925">
        <f t="shared" si="135"/>
        <v>0</v>
      </c>
      <c r="E511" s="929">
        <v>0</v>
      </c>
      <c r="F511" s="929">
        <v>0</v>
      </c>
      <c r="G511" s="929">
        <v>0</v>
      </c>
      <c r="H511" s="929">
        <v>0</v>
      </c>
      <c r="I511" s="929">
        <v>0</v>
      </c>
      <c r="J511" s="929">
        <v>0</v>
      </c>
      <c r="K511" s="862">
        <v>0</v>
      </c>
      <c r="L511" s="929">
        <v>0</v>
      </c>
      <c r="M511" s="929">
        <v>0</v>
      </c>
      <c r="N511" s="929">
        <v>0</v>
      </c>
      <c r="O511" s="929">
        <v>0</v>
      </c>
      <c r="P511" s="929">
        <v>0</v>
      </c>
      <c r="Q511" s="929">
        <v>0</v>
      </c>
      <c r="R511" s="929">
        <v>0</v>
      </c>
      <c r="S511" s="929">
        <v>525</v>
      </c>
      <c r="T511" s="929">
        <v>1539530.69</v>
      </c>
      <c r="U511" s="929">
        <v>0</v>
      </c>
      <c r="V511" s="929">
        <v>0</v>
      </c>
      <c r="W511" s="929">
        <v>0</v>
      </c>
      <c r="X511" s="929">
        <v>0</v>
      </c>
      <c r="Y511" s="929">
        <v>0</v>
      </c>
      <c r="Z511" s="864">
        <v>14937.33</v>
      </c>
      <c r="AA511" s="925">
        <v>0</v>
      </c>
    </row>
    <row r="512" spans="1:27" s="867" customFormat="1" ht="102.75" customHeight="1">
      <c r="A512" s="927">
        <v>13</v>
      </c>
      <c r="B512" s="868" t="s">
        <v>1933</v>
      </c>
      <c r="C512" s="925">
        <f t="shared" si="136"/>
        <v>2351899.71</v>
      </c>
      <c r="D512" s="925">
        <f t="shared" si="135"/>
        <v>2302986</v>
      </c>
      <c r="E512" s="929">
        <v>2302986</v>
      </c>
      <c r="F512" s="929">
        <v>0</v>
      </c>
      <c r="G512" s="929">
        <v>0</v>
      </c>
      <c r="H512" s="929">
        <v>0</v>
      </c>
      <c r="I512" s="929">
        <v>0</v>
      </c>
      <c r="J512" s="929">
        <v>0</v>
      </c>
      <c r="K512" s="862">
        <v>0</v>
      </c>
      <c r="L512" s="929">
        <v>0</v>
      </c>
      <c r="M512" s="929">
        <v>0</v>
      </c>
      <c r="N512" s="929">
        <v>0</v>
      </c>
      <c r="O512" s="929">
        <v>0</v>
      </c>
      <c r="P512" s="929">
        <v>0</v>
      </c>
      <c r="Q512" s="929">
        <v>0</v>
      </c>
      <c r="R512" s="929">
        <v>0</v>
      </c>
      <c r="S512" s="929">
        <v>0</v>
      </c>
      <c r="T512" s="929">
        <v>0</v>
      </c>
      <c r="U512" s="929">
        <v>0</v>
      </c>
      <c r="V512" s="929">
        <v>0</v>
      </c>
      <c r="W512" s="929">
        <v>0</v>
      </c>
      <c r="X512" s="929">
        <v>0</v>
      </c>
      <c r="Y512" s="929">
        <v>0</v>
      </c>
      <c r="Z512" s="864">
        <v>48913.71</v>
      </c>
      <c r="AA512" s="925">
        <v>0</v>
      </c>
    </row>
    <row r="513" spans="1:27" s="867" customFormat="1" ht="102.75" customHeight="1">
      <c r="A513" s="927">
        <v>14</v>
      </c>
      <c r="B513" s="868" t="s">
        <v>1650</v>
      </c>
      <c r="C513" s="925">
        <f t="shared" si="136"/>
        <v>1481378.81</v>
      </c>
      <c r="D513" s="925">
        <f>F513</f>
        <v>1447570.57</v>
      </c>
      <c r="E513" s="929">
        <v>0</v>
      </c>
      <c r="F513" s="929">
        <v>1447570.57</v>
      </c>
      <c r="G513" s="929">
        <v>0</v>
      </c>
      <c r="H513" s="929">
        <v>0</v>
      </c>
      <c r="I513" s="929">
        <v>0</v>
      </c>
      <c r="J513" s="929">
        <v>0</v>
      </c>
      <c r="K513" s="862">
        <v>0</v>
      </c>
      <c r="L513" s="929">
        <v>0</v>
      </c>
      <c r="M513" s="929">
        <v>0</v>
      </c>
      <c r="N513" s="929">
        <v>0</v>
      </c>
      <c r="O513" s="929">
        <v>0</v>
      </c>
      <c r="P513" s="929">
        <v>0</v>
      </c>
      <c r="Q513" s="929">
        <v>0</v>
      </c>
      <c r="R513" s="929">
        <v>0</v>
      </c>
      <c r="S513" s="929">
        <v>0</v>
      </c>
      <c r="T513" s="929">
        <v>0</v>
      </c>
      <c r="U513" s="929">
        <v>0</v>
      </c>
      <c r="V513" s="929">
        <v>0</v>
      </c>
      <c r="W513" s="929">
        <v>0</v>
      </c>
      <c r="X513" s="929">
        <v>0</v>
      </c>
      <c r="Y513" s="929">
        <v>0</v>
      </c>
      <c r="Z513" s="864">
        <v>33808.239999999998</v>
      </c>
      <c r="AA513" s="925">
        <v>0</v>
      </c>
    </row>
    <row r="514" spans="1:27" s="867" customFormat="1" ht="102.75" customHeight="1">
      <c r="A514" s="927">
        <v>15</v>
      </c>
      <c r="B514" s="868" t="s">
        <v>1651</v>
      </c>
      <c r="C514" s="925">
        <f t="shared" si="136"/>
        <v>3832087.03</v>
      </c>
      <c r="D514" s="925">
        <f t="shared" si="135"/>
        <v>0</v>
      </c>
      <c r="E514" s="929">
        <v>0</v>
      </c>
      <c r="F514" s="929">
        <v>0</v>
      </c>
      <c r="G514" s="929">
        <v>0</v>
      </c>
      <c r="H514" s="929">
        <v>0</v>
      </c>
      <c r="I514" s="929">
        <v>0</v>
      </c>
      <c r="J514" s="929">
        <v>0</v>
      </c>
      <c r="K514" s="862">
        <v>0</v>
      </c>
      <c r="L514" s="929">
        <v>0</v>
      </c>
      <c r="M514" s="929">
        <v>0</v>
      </c>
      <c r="N514" s="929">
        <v>0</v>
      </c>
      <c r="O514" s="929">
        <v>378</v>
      </c>
      <c r="P514" s="929">
        <v>3805331</v>
      </c>
      <c r="Q514" s="929">
        <v>0</v>
      </c>
      <c r="R514" s="929">
        <v>0</v>
      </c>
      <c r="S514" s="929">
        <v>0</v>
      </c>
      <c r="T514" s="929">
        <v>0</v>
      </c>
      <c r="U514" s="929">
        <v>0</v>
      </c>
      <c r="V514" s="929">
        <v>0</v>
      </c>
      <c r="W514" s="929">
        <v>0</v>
      </c>
      <c r="X514" s="929">
        <v>0</v>
      </c>
      <c r="Y514" s="929">
        <v>0</v>
      </c>
      <c r="Z514" s="864">
        <v>26756.03</v>
      </c>
      <c r="AA514" s="925">
        <v>0</v>
      </c>
    </row>
    <row r="515" spans="1:27" s="867" customFormat="1" ht="102.75" customHeight="1">
      <c r="A515" s="927">
        <v>16</v>
      </c>
      <c r="B515" s="868" t="s">
        <v>1652</v>
      </c>
      <c r="C515" s="925">
        <f t="shared" si="136"/>
        <v>5363868.12</v>
      </c>
      <c r="D515" s="925">
        <f t="shared" si="135"/>
        <v>1916650</v>
      </c>
      <c r="E515" s="929">
        <v>1916650</v>
      </c>
      <c r="F515" s="929">
        <v>0</v>
      </c>
      <c r="G515" s="929">
        <v>0</v>
      </c>
      <c r="H515" s="929">
        <v>0</v>
      </c>
      <c r="I515" s="929">
        <v>0</v>
      </c>
      <c r="J515" s="929">
        <v>0</v>
      </c>
      <c r="K515" s="862">
        <v>0</v>
      </c>
      <c r="L515" s="929">
        <v>0</v>
      </c>
      <c r="M515" s="929">
        <v>0</v>
      </c>
      <c r="N515" s="929">
        <v>0</v>
      </c>
      <c r="O515" s="929">
        <v>0</v>
      </c>
      <c r="P515" s="929">
        <v>0</v>
      </c>
      <c r="Q515" s="929">
        <v>0</v>
      </c>
      <c r="R515" s="929">
        <v>0</v>
      </c>
      <c r="S515" s="929">
        <v>1359.5</v>
      </c>
      <c r="T515" s="929">
        <v>3354841</v>
      </c>
      <c r="U515" s="929">
        <v>0</v>
      </c>
      <c r="V515" s="929">
        <v>0</v>
      </c>
      <c r="W515" s="929">
        <v>0</v>
      </c>
      <c r="X515" s="929">
        <v>0</v>
      </c>
      <c r="Y515" s="929">
        <v>0</v>
      </c>
      <c r="Z515" s="864">
        <v>92377.12</v>
      </c>
      <c r="AA515" s="925">
        <v>0</v>
      </c>
    </row>
    <row r="516" spans="1:27" s="867" customFormat="1" ht="102.75" customHeight="1">
      <c r="A516" s="927">
        <v>17</v>
      </c>
      <c r="B516" s="868" t="s">
        <v>1653</v>
      </c>
      <c r="C516" s="925">
        <f t="shared" si="136"/>
        <v>1438136.92</v>
      </c>
      <c r="D516" s="925">
        <f t="shared" si="135"/>
        <v>0</v>
      </c>
      <c r="E516" s="929">
        <v>0</v>
      </c>
      <c r="F516" s="929">
        <v>0</v>
      </c>
      <c r="G516" s="929">
        <v>0</v>
      </c>
      <c r="H516" s="929">
        <v>0</v>
      </c>
      <c r="I516" s="929">
        <v>0</v>
      </c>
      <c r="J516" s="929">
        <v>0</v>
      </c>
      <c r="K516" s="862">
        <v>0</v>
      </c>
      <c r="L516" s="929">
        <v>0</v>
      </c>
      <c r="M516" s="929">
        <v>0</v>
      </c>
      <c r="N516" s="929">
        <v>0</v>
      </c>
      <c r="O516" s="929">
        <v>0</v>
      </c>
      <c r="P516" s="929">
        <v>0</v>
      </c>
      <c r="Q516" s="929">
        <v>0</v>
      </c>
      <c r="R516" s="929">
        <v>0</v>
      </c>
      <c r="S516" s="929">
        <v>492</v>
      </c>
      <c r="T516" s="929">
        <v>1423552.71</v>
      </c>
      <c r="U516" s="929">
        <v>0</v>
      </c>
      <c r="V516" s="929">
        <v>0</v>
      </c>
      <c r="W516" s="929">
        <v>0</v>
      </c>
      <c r="X516" s="929">
        <v>0</v>
      </c>
      <c r="Y516" s="929">
        <v>0</v>
      </c>
      <c r="Z516" s="864">
        <v>14584.21</v>
      </c>
      <c r="AA516" s="925">
        <v>0</v>
      </c>
    </row>
    <row r="517" spans="1:27" s="867" customFormat="1" ht="102.75" customHeight="1">
      <c r="A517" s="927">
        <v>18</v>
      </c>
      <c r="B517" s="868" t="s">
        <v>1654</v>
      </c>
      <c r="C517" s="925">
        <f t="shared" si="136"/>
        <v>7209185.5700000003</v>
      </c>
      <c r="D517" s="925">
        <f t="shared" si="135"/>
        <v>0</v>
      </c>
      <c r="E517" s="929">
        <v>0</v>
      </c>
      <c r="F517" s="929">
        <v>0</v>
      </c>
      <c r="G517" s="929">
        <v>0</v>
      </c>
      <c r="H517" s="929">
        <v>0</v>
      </c>
      <c r="I517" s="929">
        <v>0</v>
      </c>
      <c r="J517" s="929">
        <v>0</v>
      </c>
      <c r="K517" s="862">
        <v>0</v>
      </c>
      <c r="L517" s="929">
        <v>0</v>
      </c>
      <c r="M517" s="929">
        <v>0</v>
      </c>
      <c r="N517" s="929">
        <v>0</v>
      </c>
      <c r="O517" s="929">
        <v>0</v>
      </c>
      <c r="P517" s="929">
        <v>0</v>
      </c>
      <c r="Q517" s="929">
        <v>0</v>
      </c>
      <c r="R517" s="929">
        <v>0</v>
      </c>
      <c r="S517" s="929">
        <v>1729.6</v>
      </c>
      <c r="T517" s="929">
        <v>7175983.79</v>
      </c>
      <c r="U517" s="929">
        <v>0</v>
      </c>
      <c r="V517" s="929">
        <v>0</v>
      </c>
      <c r="W517" s="929">
        <v>0</v>
      </c>
      <c r="X517" s="929">
        <v>0</v>
      </c>
      <c r="Y517" s="929">
        <v>0</v>
      </c>
      <c r="Z517" s="864">
        <v>33201.78</v>
      </c>
      <c r="AA517" s="925">
        <v>0</v>
      </c>
    </row>
    <row r="518" spans="1:27" s="867" customFormat="1" ht="102.75" customHeight="1">
      <c r="A518" s="927">
        <v>19</v>
      </c>
      <c r="B518" s="868" t="s">
        <v>1655</v>
      </c>
      <c r="C518" s="925">
        <f t="shared" si="136"/>
        <v>12598670.41</v>
      </c>
      <c r="D518" s="925">
        <f t="shared" si="135"/>
        <v>0</v>
      </c>
      <c r="E518" s="929">
        <v>0</v>
      </c>
      <c r="F518" s="929">
        <v>0</v>
      </c>
      <c r="G518" s="929">
        <v>0</v>
      </c>
      <c r="H518" s="929">
        <v>0</v>
      </c>
      <c r="I518" s="929">
        <v>0</v>
      </c>
      <c r="J518" s="929">
        <v>0</v>
      </c>
      <c r="K518" s="862">
        <v>0</v>
      </c>
      <c r="L518" s="929">
        <v>0</v>
      </c>
      <c r="M518" s="929">
        <v>0</v>
      </c>
      <c r="N518" s="929">
        <v>0</v>
      </c>
      <c r="O518" s="929">
        <v>0</v>
      </c>
      <c r="P518" s="929">
        <v>0</v>
      </c>
      <c r="Q518" s="929">
        <v>0</v>
      </c>
      <c r="R518" s="929">
        <v>0</v>
      </c>
      <c r="S518" s="929">
        <v>2992.9</v>
      </c>
      <c r="T518" s="929">
        <v>12417323.02</v>
      </c>
      <c r="U518" s="929">
        <v>0</v>
      </c>
      <c r="V518" s="929">
        <v>0</v>
      </c>
      <c r="W518" s="929">
        <v>0</v>
      </c>
      <c r="X518" s="929">
        <v>0</v>
      </c>
      <c r="Y518" s="929">
        <v>0</v>
      </c>
      <c r="Z518" s="864">
        <v>181347.39</v>
      </c>
      <c r="AA518" s="925">
        <v>0</v>
      </c>
    </row>
    <row r="519" spans="1:27" s="867" customFormat="1" ht="102.75" customHeight="1">
      <c r="A519" s="927">
        <v>20</v>
      </c>
      <c r="B519" s="868" t="s">
        <v>1656</v>
      </c>
      <c r="C519" s="925">
        <f t="shared" si="136"/>
        <v>2224973.3199999998</v>
      </c>
      <c r="D519" s="925">
        <f t="shared" si="135"/>
        <v>2171746</v>
      </c>
      <c r="E519" s="929">
        <v>0</v>
      </c>
      <c r="F519" s="929">
        <v>0</v>
      </c>
      <c r="G519" s="929">
        <v>0</v>
      </c>
      <c r="H519" s="929">
        <v>0</v>
      </c>
      <c r="I519" s="929">
        <v>2171746</v>
      </c>
      <c r="J519" s="929">
        <v>0</v>
      </c>
      <c r="K519" s="862">
        <v>0</v>
      </c>
      <c r="L519" s="929">
        <v>0</v>
      </c>
      <c r="M519" s="929">
        <v>0</v>
      </c>
      <c r="N519" s="929">
        <v>0</v>
      </c>
      <c r="O519" s="929">
        <v>0</v>
      </c>
      <c r="P519" s="929">
        <v>0</v>
      </c>
      <c r="Q519" s="929">
        <v>0</v>
      </c>
      <c r="R519" s="929">
        <v>0</v>
      </c>
      <c r="S519" s="929">
        <v>0</v>
      </c>
      <c r="T519" s="929">
        <v>0</v>
      </c>
      <c r="U519" s="929">
        <v>0</v>
      </c>
      <c r="V519" s="929">
        <v>0</v>
      </c>
      <c r="W519" s="929">
        <v>0</v>
      </c>
      <c r="X519" s="929">
        <v>0</v>
      </c>
      <c r="Y519" s="929">
        <v>0</v>
      </c>
      <c r="Z519" s="864">
        <v>53227.32</v>
      </c>
      <c r="AA519" s="925">
        <v>0</v>
      </c>
    </row>
    <row r="520" spans="1:27" s="867" customFormat="1" ht="102.75" customHeight="1">
      <c r="A520" s="927">
        <v>21</v>
      </c>
      <c r="B520" s="868" t="s">
        <v>1657</v>
      </c>
      <c r="C520" s="925">
        <f t="shared" si="136"/>
        <v>2593045.9899999998</v>
      </c>
      <c r="D520" s="925">
        <f t="shared" si="135"/>
        <v>0</v>
      </c>
      <c r="E520" s="929">
        <v>0</v>
      </c>
      <c r="F520" s="929">
        <v>0</v>
      </c>
      <c r="G520" s="929">
        <v>0</v>
      </c>
      <c r="H520" s="929">
        <v>0</v>
      </c>
      <c r="I520" s="929">
        <v>0</v>
      </c>
      <c r="J520" s="929">
        <v>0</v>
      </c>
      <c r="K520" s="862">
        <v>0</v>
      </c>
      <c r="L520" s="929">
        <v>0</v>
      </c>
      <c r="M520" s="929">
        <v>0</v>
      </c>
      <c r="N520" s="929">
        <v>0</v>
      </c>
      <c r="O520" s="929">
        <v>790</v>
      </c>
      <c r="P520" s="929">
        <v>2518353.63</v>
      </c>
      <c r="Q520" s="929">
        <v>0</v>
      </c>
      <c r="R520" s="929">
        <v>0</v>
      </c>
      <c r="S520" s="929">
        <v>0</v>
      </c>
      <c r="T520" s="929">
        <v>0</v>
      </c>
      <c r="U520" s="929">
        <v>0</v>
      </c>
      <c r="V520" s="929">
        <v>0</v>
      </c>
      <c r="W520" s="929">
        <v>0</v>
      </c>
      <c r="X520" s="929">
        <v>0</v>
      </c>
      <c r="Y520" s="929">
        <v>0</v>
      </c>
      <c r="Z520" s="864">
        <v>74692.36</v>
      </c>
      <c r="AA520" s="925">
        <v>0</v>
      </c>
    </row>
    <row r="521" spans="1:27" s="867" customFormat="1" ht="102.75" customHeight="1">
      <c r="A521" s="927">
        <v>22</v>
      </c>
      <c r="B521" s="868" t="s">
        <v>1658</v>
      </c>
      <c r="C521" s="925">
        <f t="shared" si="136"/>
        <v>1805529.52</v>
      </c>
      <c r="D521" s="925">
        <f t="shared" si="135"/>
        <v>1776366.58</v>
      </c>
      <c r="E521" s="929">
        <v>0</v>
      </c>
      <c r="F521" s="929">
        <v>1776366.58</v>
      </c>
      <c r="G521" s="929">
        <v>0</v>
      </c>
      <c r="H521" s="929">
        <v>0</v>
      </c>
      <c r="I521" s="929">
        <v>0</v>
      </c>
      <c r="J521" s="929">
        <v>0</v>
      </c>
      <c r="K521" s="862">
        <v>0</v>
      </c>
      <c r="L521" s="929">
        <v>0</v>
      </c>
      <c r="M521" s="929">
        <v>0</v>
      </c>
      <c r="N521" s="929">
        <v>0</v>
      </c>
      <c r="O521" s="929">
        <v>0</v>
      </c>
      <c r="P521" s="929">
        <v>0</v>
      </c>
      <c r="Q521" s="929">
        <v>0</v>
      </c>
      <c r="R521" s="929">
        <v>0</v>
      </c>
      <c r="S521" s="929">
        <v>0</v>
      </c>
      <c r="T521" s="929">
        <v>0</v>
      </c>
      <c r="U521" s="929">
        <v>0</v>
      </c>
      <c r="V521" s="929">
        <v>0</v>
      </c>
      <c r="W521" s="929">
        <v>0</v>
      </c>
      <c r="X521" s="929">
        <v>0</v>
      </c>
      <c r="Y521" s="929">
        <v>0</v>
      </c>
      <c r="Z521" s="864">
        <v>29162.94</v>
      </c>
      <c r="AA521" s="925">
        <v>0</v>
      </c>
    </row>
    <row r="522" spans="1:27" s="867" customFormat="1" ht="102.75" customHeight="1">
      <c r="A522" s="927">
        <v>23</v>
      </c>
      <c r="B522" s="868" t="s">
        <v>1659</v>
      </c>
      <c r="C522" s="925">
        <f t="shared" si="136"/>
        <v>5790016.8200000003</v>
      </c>
      <c r="D522" s="925">
        <f t="shared" si="135"/>
        <v>5648553.8399999999</v>
      </c>
      <c r="E522" s="929">
        <v>0</v>
      </c>
      <c r="F522" s="929">
        <v>3859394.42</v>
      </c>
      <c r="G522" s="929">
        <v>0</v>
      </c>
      <c r="H522" s="929">
        <v>0</v>
      </c>
      <c r="I522" s="929">
        <v>1789159.42</v>
      </c>
      <c r="J522" s="929">
        <v>0</v>
      </c>
      <c r="K522" s="862">
        <v>0</v>
      </c>
      <c r="L522" s="929">
        <v>0</v>
      </c>
      <c r="M522" s="929">
        <v>0</v>
      </c>
      <c r="N522" s="929">
        <v>0</v>
      </c>
      <c r="O522" s="929">
        <v>0</v>
      </c>
      <c r="P522" s="929">
        <v>0</v>
      </c>
      <c r="Q522" s="929">
        <v>0</v>
      </c>
      <c r="R522" s="929">
        <v>0</v>
      </c>
      <c r="S522" s="929">
        <v>0</v>
      </c>
      <c r="T522" s="929">
        <v>0</v>
      </c>
      <c r="U522" s="929">
        <v>0</v>
      </c>
      <c r="V522" s="929">
        <v>0</v>
      </c>
      <c r="W522" s="929">
        <v>0</v>
      </c>
      <c r="X522" s="929">
        <v>0</v>
      </c>
      <c r="Y522" s="929">
        <v>0</v>
      </c>
      <c r="Z522" s="864">
        <v>141462.97999999998</v>
      </c>
      <c r="AA522" s="925">
        <v>0</v>
      </c>
    </row>
    <row r="523" spans="1:27" s="867" customFormat="1" ht="102.75" customHeight="1">
      <c r="A523" s="927">
        <v>24</v>
      </c>
      <c r="B523" s="868" t="s">
        <v>2193</v>
      </c>
      <c r="C523" s="925">
        <f t="shared" si="136"/>
        <v>1137886</v>
      </c>
      <c r="D523" s="925">
        <f t="shared" si="135"/>
        <v>0</v>
      </c>
      <c r="E523" s="929">
        <v>0</v>
      </c>
      <c r="F523" s="929">
        <v>0</v>
      </c>
      <c r="G523" s="929">
        <v>0</v>
      </c>
      <c r="H523" s="929">
        <v>0</v>
      </c>
      <c r="I523" s="929">
        <v>0</v>
      </c>
      <c r="J523" s="929">
        <v>0</v>
      </c>
      <c r="K523" s="862">
        <v>0</v>
      </c>
      <c r="L523" s="929">
        <v>0</v>
      </c>
      <c r="M523" s="929">
        <v>0</v>
      </c>
      <c r="N523" s="929">
        <v>0</v>
      </c>
      <c r="O523" s="929">
        <v>0</v>
      </c>
      <c r="P523" s="929">
        <v>0</v>
      </c>
      <c r="Q523" s="929">
        <v>0</v>
      </c>
      <c r="R523" s="929">
        <v>0</v>
      </c>
      <c r="S523" s="929">
        <v>785.5</v>
      </c>
      <c r="T523" s="929">
        <v>1119392.8600000001</v>
      </c>
      <c r="U523" s="929">
        <v>0</v>
      </c>
      <c r="V523" s="929">
        <v>0</v>
      </c>
      <c r="W523" s="929">
        <v>0</v>
      </c>
      <c r="X523" s="929">
        <v>0</v>
      </c>
      <c r="Y523" s="929">
        <v>0</v>
      </c>
      <c r="Z523" s="864">
        <v>18493.14</v>
      </c>
      <c r="AA523" s="925">
        <v>0</v>
      </c>
    </row>
    <row r="524" spans="1:27" s="867" customFormat="1" ht="102.75" customHeight="1">
      <c r="A524" s="927">
        <v>25</v>
      </c>
      <c r="B524" s="868" t="s">
        <v>1660</v>
      </c>
      <c r="C524" s="925">
        <f t="shared" si="136"/>
        <v>33628098.259999998</v>
      </c>
      <c r="D524" s="925">
        <f t="shared" si="135"/>
        <v>33479619.57</v>
      </c>
      <c r="E524" s="929">
        <v>0</v>
      </c>
      <c r="F524" s="929">
        <v>33479619.57</v>
      </c>
      <c r="G524" s="929">
        <v>0</v>
      </c>
      <c r="H524" s="929">
        <v>0</v>
      </c>
      <c r="I524" s="929">
        <v>0</v>
      </c>
      <c r="J524" s="929">
        <v>0</v>
      </c>
      <c r="K524" s="862">
        <v>0</v>
      </c>
      <c r="L524" s="929">
        <v>0</v>
      </c>
      <c r="M524" s="929">
        <v>0</v>
      </c>
      <c r="N524" s="929">
        <v>0</v>
      </c>
      <c r="O524" s="929">
        <v>0</v>
      </c>
      <c r="P524" s="929">
        <v>0</v>
      </c>
      <c r="Q524" s="929">
        <v>0</v>
      </c>
      <c r="R524" s="929">
        <v>0</v>
      </c>
      <c r="S524" s="929">
        <v>0</v>
      </c>
      <c r="T524" s="929">
        <v>0</v>
      </c>
      <c r="U524" s="929">
        <v>0</v>
      </c>
      <c r="V524" s="929">
        <v>0</v>
      </c>
      <c r="W524" s="929">
        <v>0</v>
      </c>
      <c r="X524" s="929">
        <v>0</v>
      </c>
      <c r="Y524" s="929">
        <v>0</v>
      </c>
      <c r="Z524" s="864">
        <v>148478.69</v>
      </c>
      <c r="AA524" s="925">
        <v>0</v>
      </c>
    </row>
    <row r="525" spans="1:27" s="867" customFormat="1" ht="102.75" customHeight="1">
      <c r="A525" s="927">
        <v>26</v>
      </c>
      <c r="B525" s="868" t="s">
        <v>2194</v>
      </c>
      <c r="C525" s="925">
        <f t="shared" si="136"/>
        <v>640928.1</v>
      </c>
      <c r="D525" s="925">
        <f t="shared" si="135"/>
        <v>631662.36</v>
      </c>
      <c r="E525" s="929">
        <v>0</v>
      </c>
      <c r="F525" s="929">
        <v>0</v>
      </c>
      <c r="G525" s="929">
        <v>0</v>
      </c>
      <c r="H525" s="929">
        <v>0</v>
      </c>
      <c r="I525" s="929">
        <v>0</v>
      </c>
      <c r="J525" s="929">
        <v>631662.36</v>
      </c>
      <c r="K525" s="862">
        <v>0</v>
      </c>
      <c r="L525" s="929">
        <v>0</v>
      </c>
      <c r="M525" s="929">
        <v>0</v>
      </c>
      <c r="N525" s="929">
        <v>0</v>
      </c>
      <c r="O525" s="929">
        <v>0</v>
      </c>
      <c r="P525" s="929">
        <v>0</v>
      </c>
      <c r="Q525" s="929">
        <v>0</v>
      </c>
      <c r="R525" s="929">
        <v>0</v>
      </c>
      <c r="S525" s="929">
        <v>0</v>
      </c>
      <c r="T525" s="929">
        <v>0</v>
      </c>
      <c r="U525" s="929">
        <v>0</v>
      </c>
      <c r="V525" s="929">
        <v>0</v>
      </c>
      <c r="W525" s="929">
        <v>0</v>
      </c>
      <c r="X525" s="929">
        <v>0</v>
      </c>
      <c r="Y525" s="929">
        <v>0</v>
      </c>
      <c r="Z525" s="864">
        <v>9265.74</v>
      </c>
      <c r="AA525" s="925">
        <v>0</v>
      </c>
    </row>
    <row r="526" spans="1:27" s="867" customFormat="1" ht="102.75" customHeight="1">
      <c r="A526" s="927">
        <v>27</v>
      </c>
      <c r="B526" s="868" t="s">
        <v>2195</v>
      </c>
      <c r="C526" s="925">
        <f t="shared" si="136"/>
        <v>5240312.92</v>
      </c>
      <c r="D526" s="925">
        <f t="shared" si="135"/>
        <v>3465440</v>
      </c>
      <c r="E526" s="929">
        <v>0</v>
      </c>
      <c r="F526" s="929">
        <v>0</v>
      </c>
      <c r="G526" s="929">
        <v>0</v>
      </c>
      <c r="H526" s="929">
        <v>1316489</v>
      </c>
      <c r="I526" s="929">
        <v>1316489</v>
      </c>
      <c r="J526" s="929">
        <v>832462</v>
      </c>
      <c r="K526" s="862">
        <v>0</v>
      </c>
      <c r="L526" s="929">
        <v>0</v>
      </c>
      <c r="M526" s="929">
        <v>0</v>
      </c>
      <c r="N526" s="929">
        <v>0</v>
      </c>
      <c r="O526" s="929">
        <v>526.79999999999995</v>
      </c>
      <c r="P526" s="929">
        <v>1653500</v>
      </c>
      <c r="Q526" s="929">
        <v>0</v>
      </c>
      <c r="R526" s="929">
        <v>0</v>
      </c>
      <c r="S526" s="929">
        <v>0</v>
      </c>
      <c r="T526" s="929">
        <v>0</v>
      </c>
      <c r="U526" s="929">
        <v>0</v>
      </c>
      <c r="V526" s="929">
        <v>0</v>
      </c>
      <c r="W526" s="929">
        <v>0</v>
      </c>
      <c r="X526" s="929">
        <v>0</v>
      </c>
      <c r="Y526" s="929">
        <v>0</v>
      </c>
      <c r="Z526" s="864">
        <v>121372.92000000001</v>
      </c>
      <c r="AA526" s="925">
        <v>0</v>
      </c>
    </row>
    <row r="527" spans="1:27" s="867" customFormat="1" ht="102.75" customHeight="1">
      <c r="A527" s="927">
        <v>28</v>
      </c>
      <c r="B527" s="868" t="s">
        <v>1662</v>
      </c>
      <c r="C527" s="925">
        <f t="shared" si="136"/>
        <v>9049205.0199999996</v>
      </c>
      <c r="D527" s="925">
        <f t="shared" si="135"/>
        <v>0</v>
      </c>
      <c r="E527" s="929">
        <v>0</v>
      </c>
      <c r="F527" s="929">
        <v>0</v>
      </c>
      <c r="G527" s="929">
        <v>0</v>
      </c>
      <c r="H527" s="929">
        <v>0</v>
      </c>
      <c r="I527" s="929">
        <v>0</v>
      </c>
      <c r="J527" s="929">
        <v>0</v>
      </c>
      <c r="K527" s="862">
        <v>0</v>
      </c>
      <c r="L527" s="929">
        <v>0</v>
      </c>
      <c r="M527" s="929">
        <v>0</v>
      </c>
      <c r="N527" s="929">
        <v>0</v>
      </c>
      <c r="O527" s="929">
        <v>2335</v>
      </c>
      <c r="P527" s="929">
        <v>8783840.8300000001</v>
      </c>
      <c r="Q527" s="929">
        <v>0</v>
      </c>
      <c r="R527" s="929">
        <v>0</v>
      </c>
      <c r="S527" s="929">
        <v>0</v>
      </c>
      <c r="T527" s="929">
        <v>0</v>
      </c>
      <c r="U527" s="929">
        <v>0</v>
      </c>
      <c r="V527" s="929">
        <v>0</v>
      </c>
      <c r="W527" s="929">
        <v>0</v>
      </c>
      <c r="X527" s="929">
        <v>0</v>
      </c>
      <c r="Y527" s="929">
        <v>0</v>
      </c>
      <c r="Z527" s="864">
        <v>265364.19</v>
      </c>
      <c r="AA527" s="925">
        <v>0</v>
      </c>
    </row>
    <row r="528" spans="1:27" s="867" customFormat="1" ht="102.75" customHeight="1">
      <c r="A528" s="927">
        <v>29</v>
      </c>
      <c r="B528" s="868" t="s">
        <v>1663</v>
      </c>
      <c r="C528" s="925">
        <f t="shared" si="136"/>
        <v>2583495.7799999998</v>
      </c>
      <c r="D528" s="925">
        <f t="shared" si="135"/>
        <v>0</v>
      </c>
      <c r="E528" s="929">
        <v>0</v>
      </c>
      <c r="F528" s="929">
        <v>0</v>
      </c>
      <c r="G528" s="929">
        <v>0</v>
      </c>
      <c r="H528" s="929">
        <v>0</v>
      </c>
      <c r="I528" s="929">
        <v>0</v>
      </c>
      <c r="J528" s="929">
        <v>0</v>
      </c>
      <c r="K528" s="862">
        <v>0</v>
      </c>
      <c r="L528" s="929">
        <v>0</v>
      </c>
      <c r="M528" s="929">
        <v>0</v>
      </c>
      <c r="N528" s="929">
        <v>0</v>
      </c>
      <c r="O528" s="929">
        <v>787.34</v>
      </c>
      <c r="P528" s="929">
        <v>2509874.11</v>
      </c>
      <c r="Q528" s="929">
        <v>0</v>
      </c>
      <c r="R528" s="929">
        <v>0</v>
      </c>
      <c r="S528" s="929">
        <v>0</v>
      </c>
      <c r="T528" s="929">
        <v>0</v>
      </c>
      <c r="U528" s="929">
        <v>0</v>
      </c>
      <c r="V528" s="929">
        <v>0</v>
      </c>
      <c r="W528" s="929">
        <v>0</v>
      </c>
      <c r="X528" s="929">
        <v>0</v>
      </c>
      <c r="Y528" s="929">
        <v>0</v>
      </c>
      <c r="Z528" s="864">
        <v>73621.67</v>
      </c>
      <c r="AA528" s="925">
        <v>0</v>
      </c>
    </row>
    <row r="529" spans="1:27" s="867" customFormat="1" ht="102.75" customHeight="1">
      <c r="A529" s="927">
        <v>30</v>
      </c>
      <c r="B529" s="868" t="s">
        <v>1664</v>
      </c>
      <c r="C529" s="925">
        <f t="shared" si="136"/>
        <v>1271010.81</v>
      </c>
      <c r="D529" s="925">
        <f t="shared" si="135"/>
        <v>1223384</v>
      </c>
      <c r="E529" s="929">
        <v>0</v>
      </c>
      <c r="F529" s="929">
        <v>1223384</v>
      </c>
      <c r="G529" s="929">
        <v>0</v>
      </c>
      <c r="H529" s="929">
        <v>0</v>
      </c>
      <c r="I529" s="929">
        <v>0</v>
      </c>
      <c r="J529" s="929">
        <v>0</v>
      </c>
      <c r="K529" s="862">
        <v>0</v>
      </c>
      <c r="L529" s="929">
        <v>0</v>
      </c>
      <c r="M529" s="929">
        <v>0</v>
      </c>
      <c r="N529" s="929">
        <v>0</v>
      </c>
      <c r="O529" s="929">
        <v>0</v>
      </c>
      <c r="P529" s="929">
        <v>0</v>
      </c>
      <c r="Q529" s="929">
        <v>0</v>
      </c>
      <c r="R529" s="929">
        <v>0</v>
      </c>
      <c r="S529" s="929">
        <v>0</v>
      </c>
      <c r="T529" s="929">
        <v>0</v>
      </c>
      <c r="U529" s="929">
        <v>0</v>
      </c>
      <c r="V529" s="929">
        <v>0</v>
      </c>
      <c r="W529" s="929">
        <v>0</v>
      </c>
      <c r="X529" s="929">
        <v>0</v>
      </c>
      <c r="Y529" s="929">
        <v>0</v>
      </c>
      <c r="Z529" s="864">
        <v>47626.81</v>
      </c>
      <c r="AA529" s="925">
        <v>0</v>
      </c>
    </row>
    <row r="530" spans="1:27" s="867" customFormat="1" ht="102.75" customHeight="1">
      <c r="A530" s="927">
        <v>31</v>
      </c>
      <c r="B530" s="868" t="s">
        <v>1665</v>
      </c>
      <c r="C530" s="925">
        <f t="shared" si="136"/>
        <v>2253297</v>
      </c>
      <c r="D530" s="925">
        <f t="shared" si="135"/>
        <v>0</v>
      </c>
      <c r="E530" s="929">
        <v>0</v>
      </c>
      <c r="F530" s="929">
        <v>0</v>
      </c>
      <c r="G530" s="929">
        <v>0</v>
      </c>
      <c r="H530" s="929">
        <v>0</v>
      </c>
      <c r="I530" s="929">
        <v>0</v>
      </c>
      <c r="J530" s="929">
        <v>0</v>
      </c>
      <c r="K530" s="862">
        <v>0</v>
      </c>
      <c r="L530" s="929">
        <v>0</v>
      </c>
      <c r="M530" s="929">
        <v>0</v>
      </c>
      <c r="N530" s="929">
        <v>0</v>
      </c>
      <c r="O530" s="929">
        <v>1126</v>
      </c>
      <c r="P530" s="929">
        <v>2198421.81</v>
      </c>
      <c r="Q530" s="929">
        <v>0</v>
      </c>
      <c r="R530" s="929">
        <v>0</v>
      </c>
      <c r="S530" s="929">
        <v>0</v>
      </c>
      <c r="T530" s="929">
        <v>0</v>
      </c>
      <c r="U530" s="929">
        <v>0</v>
      </c>
      <c r="V530" s="929">
        <v>0</v>
      </c>
      <c r="W530" s="929">
        <v>0</v>
      </c>
      <c r="X530" s="929">
        <v>0</v>
      </c>
      <c r="Y530" s="929">
        <v>0</v>
      </c>
      <c r="Z530" s="864">
        <v>54875.19</v>
      </c>
      <c r="AA530" s="925">
        <v>0</v>
      </c>
    </row>
    <row r="531" spans="1:27" s="867" customFormat="1" ht="102.75" customHeight="1">
      <c r="A531" s="927">
        <v>32</v>
      </c>
      <c r="B531" s="868" t="s">
        <v>1666</v>
      </c>
      <c r="C531" s="925">
        <f t="shared" si="136"/>
        <v>7523470.5799999991</v>
      </c>
      <c r="D531" s="925">
        <f t="shared" si="135"/>
        <v>7444527.5199999996</v>
      </c>
      <c r="E531" s="929">
        <v>0</v>
      </c>
      <c r="F531" s="929">
        <v>0</v>
      </c>
      <c r="G531" s="929">
        <v>0</v>
      </c>
      <c r="H531" s="929">
        <v>0</v>
      </c>
      <c r="I531" s="929">
        <v>7444527.5199999996</v>
      </c>
      <c r="J531" s="929">
        <v>0</v>
      </c>
      <c r="K531" s="862">
        <v>0</v>
      </c>
      <c r="L531" s="929">
        <v>0</v>
      </c>
      <c r="M531" s="929">
        <v>0</v>
      </c>
      <c r="N531" s="929">
        <v>0</v>
      </c>
      <c r="O531" s="929">
        <v>0</v>
      </c>
      <c r="P531" s="929">
        <v>0</v>
      </c>
      <c r="Q531" s="929">
        <v>0</v>
      </c>
      <c r="R531" s="929">
        <v>0</v>
      </c>
      <c r="S531" s="929">
        <v>0</v>
      </c>
      <c r="T531" s="929">
        <v>0</v>
      </c>
      <c r="U531" s="929">
        <v>0</v>
      </c>
      <c r="V531" s="929">
        <v>0</v>
      </c>
      <c r="W531" s="929">
        <v>0</v>
      </c>
      <c r="X531" s="929">
        <v>0</v>
      </c>
      <c r="Y531" s="929">
        <v>0</v>
      </c>
      <c r="Z531" s="864">
        <v>78943.06</v>
      </c>
      <c r="AA531" s="925">
        <v>0</v>
      </c>
    </row>
    <row r="532" spans="1:27" s="867" customFormat="1" ht="102.75" customHeight="1">
      <c r="A532" s="927">
        <v>33</v>
      </c>
      <c r="B532" s="868" t="s">
        <v>2196</v>
      </c>
      <c r="C532" s="925">
        <f t="shared" si="136"/>
        <v>2903468</v>
      </c>
      <c r="D532" s="925">
        <f t="shared" si="135"/>
        <v>0</v>
      </c>
      <c r="E532" s="929">
        <v>0</v>
      </c>
      <c r="F532" s="929">
        <v>0</v>
      </c>
      <c r="G532" s="929">
        <v>0</v>
      </c>
      <c r="H532" s="929">
        <v>0</v>
      </c>
      <c r="I532" s="929">
        <v>0</v>
      </c>
      <c r="J532" s="929">
        <v>0</v>
      </c>
      <c r="K532" s="862">
        <v>0</v>
      </c>
      <c r="L532" s="929">
        <v>0</v>
      </c>
      <c r="M532" s="929">
        <v>0</v>
      </c>
      <c r="N532" s="929">
        <v>0</v>
      </c>
      <c r="O532" s="929">
        <v>978</v>
      </c>
      <c r="P532" s="929">
        <v>2758739</v>
      </c>
      <c r="Q532" s="929">
        <v>0</v>
      </c>
      <c r="R532" s="929">
        <v>0</v>
      </c>
      <c r="S532" s="929">
        <v>0</v>
      </c>
      <c r="T532" s="929">
        <v>0</v>
      </c>
      <c r="U532" s="929">
        <v>0</v>
      </c>
      <c r="V532" s="929">
        <v>0</v>
      </c>
      <c r="W532" s="929">
        <v>0</v>
      </c>
      <c r="X532" s="929">
        <v>0</v>
      </c>
      <c r="Y532" s="929">
        <v>0</v>
      </c>
      <c r="Z532" s="864">
        <v>144729</v>
      </c>
      <c r="AA532" s="925">
        <v>0</v>
      </c>
    </row>
    <row r="533" spans="1:27" s="867" customFormat="1" ht="102.75" customHeight="1">
      <c r="A533" s="927">
        <v>34</v>
      </c>
      <c r="B533" s="868" t="s">
        <v>1668</v>
      </c>
      <c r="C533" s="925">
        <f t="shared" si="136"/>
        <v>1967436</v>
      </c>
      <c r="D533" s="925">
        <f t="shared" si="135"/>
        <v>1824531.62</v>
      </c>
      <c r="E533" s="929">
        <v>0</v>
      </c>
      <c r="F533" s="929">
        <v>0</v>
      </c>
      <c r="G533" s="929">
        <v>0</v>
      </c>
      <c r="H533" s="929">
        <v>0</v>
      </c>
      <c r="I533" s="929">
        <v>0</v>
      </c>
      <c r="J533" s="929">
        <v>1824531.62</v>
      </c>
      <c r="K533" s="885">
        <v>0</v>
      </c>
      <c r="L533" s="929">
        <v>0</v>
      </c>
      <c r="M533" s="929">
        <v>0</v>
      </c>
      <c r="N533" s="929">
        <v>0</v>
      </c>
      <c r="O533" s="929">
        <v>0</v>
      </c>
      <c r="P533" s="929">
        <v>0</v>
      </c>
      <c r="Q533" s="929">
        <v>0</v>
      </c>
      <c r="R533" s="929">
        <v>0</v>
      </c>
      <c r="S533" s="929">
        <v>0</v>
      </c>
      <c r="T533" s="929">
        <v>0</v>
      </c>
      <c r="U533" s="929">
        <v>0</v>
      </c>
      <c r="V533" s="929">
        <v>0</v>
      </c>
      <c r="W533" s="929">
        <v>0</v>
      </c>
      <c r="X533" s="929">
        <v>0</v>
      </c>
      <c r="Y533" s="929">
        <v>0</v>
      </c>
      <c r="Z533" s="864">
        <v>142904.38</v>
      </c>
      <c r="AA533" s="925">
        <v>0</v>
      </c>
    </row>
    <row r="534" spans="1:27" s="867" customFormat="1" ht="102.75" customHeight="1">
      <c r="A534" s="927">
        <v>35</v>
      </c>
      <c r="B534" s="868" t="s">
        <v>1669</v>
      </c>
      <c r="C534" s="925">
        <f t="shared" si="136"/>
        <v>9914209.8100000005</v>
      </c>
      <c r="D534" s="925">
        <f t="shared" si="135"/>
        <v>9447892.9000000004</v>
      </c>
      <c r="E534" s="929">
        <v>0</v>
      </c>
      <c r="F534" s="929">
        <v>3611969.47</v>
      </c>
      <c r="G534" s="886">
        <v>0</v>
      </c>
      <c r="H534" s="929">
        <v>2217248.58</v>
      </c>
      <c r="I534" s="886">
        <v>2217248.58</v>
      </c>
      <c r="J534" s="886">
        <v>1401426.27</v>
      </c>
      <c r="K534" s="885">
        <v>0</v>
      </c>
      <c r="L534" s="929">
        <v>0</v>
      </c>
      <c r="M534" s="929">
        <v>0</v>
      </c>
      <c r="N534" s="929">
        <v>0</v>
      </c>
      <c r="O534" s="929">
        <v>0</v>
      </c>
      <c r="P534" s="929">
        <v>0</v>
      </c>
      <c r="Q534" s="929">
        <v>0</v>
      </c>
      <c r="R534" s="929">
        <v>0</v>
      </c>
      <c r="S534" s="929">
        <v>0</v>
      </c>
      <c r="T534" s="929">
        <v>0</v>
      </c>
      <c r="U534" s="929">
        <v>0</v>
      </c>
      <c r="V534" s="929">
        <v>0</v>
      </c>
      <c r="W534" s="929">
        <v>0</v>
      </c>
      <c r="X534" s="929">
        <v>0</v>
      </c>
      <c r="Y534" s="929">
        <v>0</v>
      </c>
      <c r="Z534" s="864">
        <v>466316.91000000003</v>
      </c>
      <c r="AA534" s="925">
        <v>0</v>
      </c>
    </row>
    <row r="535" spans="1:27" s="867" customFormat="1" ht="102.75" customHeight="1">
      <c r="A535" s="927">
        <v>36</v>
      </c>
      <c r="B535" s="868" t="s">
        <v>2197</v>
      </c>
      <c r="C535" s="925">
        <f t="shared" si="136"/>
        <v>19552943.849999998</v>
      </c>
      <c r="D535" s="925">
        <f t="shared" si="135"/>
        <v>0</v>
      </c>
      <c r="E535" s="929">
        <v>0</v>
      </c>
      <c r="F535" s="929">
        <v>0</v>
      </c>
      <c r="G535" s="929">
        <v>0</v>
      </c>
      <c r="H535" s="929">
        <v>0</v>
      </c>
      <c r="I535" s="929">
        <v>0</v>
      </c>
      <c r="J535" s="929">
        <v>0</v>
      </c>
      <c r="K535" s="862">
        <v>0</v>
      </c>
      <c r="L535" s="929">
        <v>0</v>
      </c>
      <c r="M535" s="929">
        <v>0</v>
      </c>
      <c r="N535" s="929">
        <v>0</v>
      </c>
      <c r="O535" s="929">
        <v>1301.2</v>
      </c>
      <c r="P535" s="929">
        <v>5808032.0599999996</v>
      </c>
      <c r="Q535" s="886">
        <v>0</v>
      </c>
      <c r="R535" s="929">
        <v>0</v>
      </c>
      <c r="S535" s="929">
        <v>2443.1999999999998</v>
      </c>
      <c r="T535" s="929">
        <v>13181134.199999999</v>
      </c>
      <c r="U535" s="886">
        <v>0</v>
      </c>
      <c r="V535" s="929">
        <v>0</v>
      </c>
      <c r="W535" s="886">
        <v>0</v>
      </c>
      <c r="X535" s="929">
        <v>0</v>
      </c>
      <c r="Y535" s="929">
        <v>0</v>
      </c>
      <c r="Z535" s="864">
        <v>563777.59</v>
      </c>
      <c r="AA535" s="925">
        <v>0</v>
      </c>
    </row>
    <row r="536" spans="1:27" s="867" customFormat="1" ht="102.75" customHeight="1">
      <c r="A536" s="927">
        <v>37</v>
      </c>
      <c r="B536" s="868" t="s">
        <v>2198</v>
      </c>
      <c r="C536" s="925">
        <f t="shared" si="136"/>
        <v>3712475</v>
      </c>
      <c r="D536" s="925">
        <f t="shared" si="135"/>
        <v>2463652.23</v>
      </c>
      <c r="E536" s="929">
        <v>392537.91</v>
      </c>
      <c r="F536" s="886">
        <v>525518.37</v>
      </c>
      <c r="G536" s="886">
        <v>325537.63</v>
      </c>
      <c r="H536" s="886">
        <v>460634.33999999997</v>
      </c>
      <c r="I536" s="886">
        <v>460634.33999999997</v>
      </c>
      <c r="J536" s="886">
        <v>298789.64</v>
      </c>
      <c r="K536" s="885">
        <v>0</v>
      </c>
      <c r="L536" s="929">
        <v>0</v>
      </c>
      <c r="M536" s="929">
        <v>0</v>
      </c>
      <c r="N536" s="929">
        <v>0</v>
      </c>
      <c r="O536" s="929">
        <v>0</v>
      </c>
      <c r="P536" s="929">
        <v>0</v>
      </c>
      <c r="Q536" s="929">
        <v>0</v>
      </c>
      <c r="R536" s="929">
        <v>0</v>
      </c>
      <c r="S536" s="929">
        <v>700.6</v>
      </c>
      <c r="T536" s="929">
        <v>979167.79</v>
      </c>
      <c r="U536" s="886">
        <v>0</v>
      </c>
      <c r="V536" s="929">
        <v>0</v>
      </c>
      <c r="W536" s="886">
        <v>0</v>
      </c>
      <c r="X536" s="929">
        <v>0</v>
      </c>
      <c r="Y536" s="929">
        <v>0</v>
      </c>
      <c r="Z536" s="864">
        <v>269654.98000000004</v>
      </c>
      <c r="AA536" s="925">
        <v>0</v>
      </c>
    </row>
    <row r="537" spans="1:27" s="867" customFormat="1" ht="102.75" customHeight="1">
      <c r="A537" s="927">
        <v>38</v>
      </c>
      <c r="B537" s="868" t="s">
        <v>2199</v>
      </c>
      <c r="C537" s="925">
        <f t="shared" si="136"/>
        <v>438645.23</v>
      </c>
      <c r="D537" s="925">
        <f t="shared" si="135"/>
        <v>419465.49</v>
      </c>
      <c r="E537" s="929">
        <v>419465.49</v>
      </c>
      <c r="F537" s="886">
        <v>0</v>
      </c>
      <c r="G537" s="929">
        <v>0</v>
      </c>
      <c r="H537" s="929">
        <v>0</v>
      </c>
      <c r="I537" s="929">
        <v>0</v>
      </c>
      <c r="J537" s="929">
        <v>0</v>
      </c>
      <c r="K537" s="862">
        <v>0</v>
      </c>
      <c r="L537" s="929">
        <v>0</v>
      </c>
      <c r="M537" s="929">
        <v>0</v>
      </c>
      <c r="N537" s="929">
        <v>0</v>
      </c>
      <c r="O537" s="929">
        <v>0</v>
      </c>
      <c r="P537" s="929">
        <v>0</v>
      </c>
      <c r="Q537" s="929">
        <v>0</v>
      </c>
      <c r="R537" s="929">
        <v>0</v>
      </c>
      <c r="S537" s="929">
        <v>0</v>
      </c>
      <c r="T537" s="929">
        <v>0</v>
      </c>
      <c r="U537" s="886">
        <v>0</v>
      </c>
      <c r="V537" s="929">
        <v>0</v>
      </c>
      <c r="W537" s="886">
        <v>0</v>
      </c>
      <c r="X537" s="929">
        <v>0</v>
      </c>
      <c r="Y537" s="929">
        <v>0</v>
      </c>
      <c r="Z537" s="864">
        <v>19179.740000000002</v>
      </c>
      <c r="AA537" s="925">
        <v>0</v>
      </c>
    </row>
    <row r="538" spans="1:27" s="867" customFormat="1" ht="102.75" customHeight="1">
      <c r="A538" s="927">
        <v>39</v>
      </c>
      <c r="B538" s="868" t="s">
        <v>2200</v>
      </c>
      <c r="C538" s="925">
        <f t="shared" si="136"/>
        <v>794152.46</v>
      </c>
      <c r="D538" s="925">
        <f t="shared" si="135"/>
        <v>766774.07</v>
      </c>
      <c r="E538" s="929">
        <v>0</v>
      </c>
      <c r="F538" s="929">
        <v>0</v>
      </c>
      <c r="G538" s="929">
        <v>0</v>
      </c>
      <c r="H538" s="929">
        <v>766774.07</v>
      </c>
      <c r="I538" s="886">
        <v>0</v>
      </c>
      <c r="J538" s="929">
        <v>0</v>
      </c>
      <c r="K538" s="862">
        <v>0</v>
      </c>
      <c r="L538" s="929">
        <v>0</v>
      </c>
      <c r="M538" s="929">
        <v>0</v>
      </c>
      <c r="N538" s="929">
        <v>0</v>
      </c>
      <c r="O538" s="929">
        <v>0</v>
      </c>
      <c r="P538" s="929">
        <v>0</v>
      </c>
      <c r="Q538" s="929">
        <v>0</v>
      </c>
      <c r="R538" s="929">
        <v>0</v>
      </c>
      <c r="S538" s="929">
        <v>0</v>
      </c>
      <c r="T538" s="929">
        <v>0</v>
      </c>
      <c r="U538" s="929">
        <v>0</v>
      </c>
      <c r="V538" s="929">
        <v>0</v>
      </c>
      <c r="W538" s="929">
        <v>0</v>
      </c>
      <c r="X538" s="929">
        <v>0</v>
      </c>
      <c r="Y538" s="929">
        <v>0</v>
      </c>
      <c r="Z538" s="864">
        <v>27378.39</v>
      </c>
      <c r="AA538" s="925">
        <v>0</v>
      </c>
    </row>
    <row r="539" spans="1:27" s="867" customFormat="1" ht="102.75" customHeight="1">
      <c r="A539" s="927">
        <v>40</v>
      </c>
      <c r="B539" s="868" t="s">
        <v>2201</v>
      </c>
      <c r="C539" s="925">
        <f t="shared" si="136"/>
        <v>447464</v>
      </c>
      <c r="D539" s="925">
        <f t="shared" si="135"/>
        <v>414962.53</v>
      </c>
      <c r="E539" s="929">
        <v>0</v>
      </c>
      <c r="F539" s="929">
        <v>0</v>
      </c>
      <c r="G539" s="929">
        <v>0</v>
      </c>
      <c r="H539" s="929">
        <v>414962.53</v>
      </c>
      <c r="I539" s="886">
        <v>0</v>
      </c>
      <c r="J539" s="929">
        <v>0</v>
      </c>
      <c r="K539" s="862">
        <v>0</v>
      </c>
      <c r="L539" s="929">
        <v>0</v>
      </c>
      <c r="M539" s="929">
        <v>0</v>
      </c>
      <c r="N539" s="929">
        <v>0</v>
      </c>
      <c r="O539" s="929">
        <v>0</v>
      </c>
      <c r="P539" s="929">
        <v>0</v>
      </c>
      <c r="Q539" s="929">
        <v>0</v>
      </c>
      <c r="R539" s="929">
        <v>0</v>
      </c>
      <c r="S539" s="929">
        <v>0</v>
      </c>
      <c r="T539" s="929">
        <v>0</v>
      </c>
      <c r="U539" s="929">
        <v>0</v>
      </c>
      <c r="V539" s="929">
        <v>0</v>
      </c>
      <c r="W539" s="929">
        <v>0</v>
      </c>
      <c r="X539" s="929">
        <v>0</v>
      </c>
      <c r="Y539" s="929">
        <v>0</v>
      </c>
      <c r="Z539" s="864">
        <v>32501.47</v>
      </c>
      <c r="AA539" s="925">
        <v>0</v>
      </c>
    </row>
    <row r="540" spans="1:27" s="867" customFormat="1" ht="102.75" customHeight="1">
      <c r="A540" s="927">
        <v>41</v>
      </c>
      <c r="B540" s="868" t="s">
        <v>1673</v>
      </c>
      <c r="C540" s="925">
        <f t="shared" si="136"/>
        <v>26223875.760000002</v>
      </c>
      <c r="D540" s="925">
        <f t="shared" si="135"/>
        <v>0</v>
      </c>
      <c r="E540" s="929">
        <v>0</v>
      </c>
      <c r="F540" s="929">
        <v>0</v>
      </c>
      <c r="G540" s="929">
        <v>0</v>
      </c>
      <c r="H540" s="929">
        <v>0</v>
      </c>
      <c r="I540" s="929">
        <v>0</v>
      </c>
      <c r="J540" s="929">
        <v>0</v>
      </c>
      <c r="K540" s="862">
        <v>0</v>
      </c>
      <c r="L540" s="929">
        <v>0</v>
      </c>
      <c r="M540" s="929">
        <v>0</v>
      </c>
      <c r="N540" s="929">
        <v>0</v>
      </c>
      <c r="O540" s="929">
        <v>0</v>
      </c>
      <c r="P540" s="929">
        <v>0</v>
      </c>
      <c r="Q540" s="929">
        <v>0</v>
      </c>
      <c r="R540" s="929">
        <v>0</v>
      </c>
      <c r="S540" s="929">
        <v>0</v>
      </c>
      <c r="T540" s="929">
        <v>0</v>
      </c>
      <c r="U540" s="929">
        <v>4400</v>
      </c>
      <c r="V540" s="929">
        <v>25553793.760000002</v>
      </c>
      <c r="W540" s="886">
        <v>0</v>
      </c>
      <c r="X540" s="929">
        <v>0</v>
      </c>
      <c r="Y540" s="929">
        <v>0</v>
      </c>
      <c r="Z540" s="864">
        <v>670082</v>
      </c>
      <c r="AA540" s="925">
        <v>0</v>
      </c>
    </row>
    <row r="541" spans="1:27" s="867" customFormat="1" ht="102.75" customHeight="1">
      <c r="A541" s="927">
        <v>42</v>
      </c>
      <c r="B541" s="868" t="s">
        <v>2202</v>
      </c>
      <c r="C541" s="925">
        <f t="shared" si="136"/>
        <v>454703</v>
      </c>
      <c r="D541" s="925">
        <f t="shared" si="135"/>
        <v>421675.73</v>
      </c>
      <c r="E541" s="929">
        <v>421675.73</v>
      </c>
      <c r="F541" s="886">
        <v>0</v>
      </c>
      <c r="G541" s="929">
        <v>0</v>
      </c>
      <c r="H541" s="929">
        <v>0</v>
      </c>
      <c r="I541" s="929">
        <v>0</v>
      </c>
      <c r="J541" s="929">
        <v>0</v>
      </c>
      <c r="K541" s="862">
        <v>0</v>
      </c>
      <c r="L541" s="929">
        <v>0</v>
      </c>
      <c r="M541" s="929">
        <v>0</v>
      </c>
      <c r="N541" s="929">
        <v>0</v>
      </c>
      <c r="O541" s="929">
        <v>0</v>
      </c>
      <c r="P541" s="929">
        <v>0</v>
      </c>
      <c r="Q541" s="929">
        <v>0</v>
      </c>
      <c r="R541" s="929">
        <v>0</v>
      </c>
      <c r="S541" s="929">
        <v>0</v>
      </c>
      <c r="T541" s="929">
        <v>0</v>
      </c>
      <c r="U541" s="929">
        <v>0</v>
      </c>
      <c r="V541" s="929">
        <v>0</v>
      </c>
      <c r="W541" s="929">
        <v>0</v>
      </c>
      <c r="X541" s="929">
        <v>0</v>
      </c>
      <c r="Y541" s="929">
        <v>0</v>
      </c>
      <c r="Z541" s="864">
        <v>33027.269999999997</v>
      </c>
      <c r="AA541" s="925">
        <v>0</v>
      </c>
    </row>
    <row r="542" spans="1:27" s="867" customFormat="1" ht="102.75" customHeight="1">
      <c r="A542" s="927">
        <v>43</v>
      </c>
      <c r="B542" s="868" t="s">
        <v>2040</v>
      </c>
      <c r="C542" s="925">
        <f t="shared" si="136"/>
        <v>3635931.0000000005</v>
      </c>
      <c r="D542" s="925">
        <f t="shared" si="135"/>
        <v>0</v>
      </c>
      <c r="E542" s="929">
        <v>0</v>
      </c>
      <c r="F542" s="929">
        <v>0</v>
      </c>
      <c r="G542" s="929">
        <v>0</v>
      </c>
      <c r="H542" s="929">
        <v>0</v>
      </c>
      <c r="I542" s="929">
        <v>0</v>
      </c>
      <c r="J542" s="929">
        <v>0</v>
      </c>
      <c r="K542" s="862">
        <v>0</v>
      </c>
      <c r="L542" s="929">
        <v>0</v>
      </c>
      <c r="M542" s="929">
        <v>0</v>
      </c>
      <c r="N542" s="929">
        <v>0</v>
      </c>
      <c r="O542" s="929">
        <v>713.4</v>
      </c>
      <c r="P542" s="929">
        <v>2084983.99</v>
      </c>
      <c r="Q542" s="886">
        <v>0</v>
      </c>
      <c r="R542" s="929">
        <v>0</v>
      </c>
      <c r="S542" s="929">
        <v>921.24</v>
      </c>
      <c r="T542" s="929">
        <v>1286851.79</v>
      </c>
      <c r="U542" s="886">
        <v>0</v>
      </c>
      <c r="V542" s="929">
        <v>0</v>
      </c>
      <c r="W542" s="886">
        <v>0</v>
      </c>
      <c r="X542" s="929">
        <v>0</v>
      </c>
      <c r="Y542" s="929">
        <v>0</v>
      </c>
      <c r="Z542" s="864">
        <v>264095.22000000003</v>
      </c>
      <c r="AA542" s="925">
        <v>0</v>
      </c>
    </row>
    <row r="543" spans="1:27" s="867" customFormat="1" ht="102.75" customHeight="1">
      <c r="A543" s="927">
        <v>44</v>
      </c>
      <c r="B543" s="868" t="s">
        <v>1675</v>
      </c>
      <c r="C543" s="925">
        <f t="shared" si="136"/>
        <v>593036</v>
      </c>
      <c r="D543" s="925">
        <f t="shared" si="135"/>
        <v>549960.93000000005</v>
      </c>
      <c r="E543" s="929">
        <v>549960.93000000005</v>
      </c>
      <c r="F543" s="886">
        <v>0</v>
      </c>
      <c r="G543" s="929">
        <v>0</v>
      </c>
      <c r="H543" s="929">
        <v>0</v>
      </c>
      <c r="I543" s="929">
        <v>0</v>
      </c>
      <c r="J543" s="929">
        <v>0</v>
      </c>
      <c r="K543" s="862">
        <v>0</v>
      </c>
      <c r="L543" s="929">
        <v>0</v>
      </c>
      <c r="M543" s="929">
        <v>0</v>
      </c>
      <c r="N543" s="929">
        <v>0</v>
      </c>
      <c r="O543" s="929">
        <v>0</v>
      </c>
      <c r="P543" s="929">
        <v>0</v>
      </c>
      <c r="Q543" s="929">
        <v>0</v>
      </c>
      <c r="R543" s="929">
        <v>0</v>
      </c>
      <c r="S543" s="929">
        <v>0</v>
      </c>
      <c r="T543" s="929">
        <v>0</v>
      </c>
      <c r="U543" s="929">
        <v>0</v>
      </c>
      <c r="V543" s="929">
        <v>0</v>
      </c>
      <c r="W543" s="929">
        <v>0</v>
      </c>
      <c r="X543" s="929">
        <v>0</v>
      </c>
      <c r="Y543" s="929">
        <v>0</v>
      </c>
      <c r="Z543" s="864">
        <v>43075.07</v>
      </c>
      <c r="AA543" s="925">
        <v>0</v>
      </c>
    </row>
    <row r="544" spans="1:27" s="867" customFormat="1" ht="102.75" customHeight="1">
      <c r="A544" s="927">
        <v>45</v>
      </c>
      <c r="B544" s="868" t="s">
        <v>1676</v>
      </c>
      <c r="C544" s="925">
        <f t="shared" si="136"/>
        <v>948145</v>
      </c>
      <c r="D544" s="925">
        <f t="shared" si="135"/>
        <v>879276.66</v>
      </c>
      <c r="E544" s="929">
        <v>0</v>
      </c>
      <c r="F544" s="929">
        <v>360705.18</v>
      </c>
      <c r="G544" s="886">
        <v>0</v>
      </c>
      <c r="H544" s="929">
        <v>316913.14</v>
      </c>
      <c r="I544" s="886">
        <v>0</v>
      </c>
      <c r="J544" s="929">
        <v>201658.34</v>
      </c>
      <c r="K544" s="885">
        <v>0</v>
      </c>
      <c r="L544" s="929">
        <v>0</v>
      </c>
      <c r="M544" s="929">
        <v>0</v>
      </c>
      <c r="N544" s="929">
        <v>0</v>
      </c>
      <c r="O544" s="929">
        <v>0</v>
      </c>
      <c r="P544" s="929">
        <v>0</v>
      </c>
      <c r="Q544" s="929">
        <v>0</v>
      </c>
      <c r="R544" s="929">
        <v>0</v>
      </c>
      <c r="S544" s="929">
        <v>0</v>
      </c>
      <c r="T544" s="929">
        <v>0</v>
      </c>
      <c r="U544" s="929">
        <v>0</v>
      </c>
      <c r="V544" s="929">
        <v>0</v>
      </c>
      <c r="W544" s="929">
        <v>0</v>
      </c>
      <c r="X544" s="929">
        <v>0</v>
      </c>
      <c r="Y544" s="929">
        <v>0</v>
      </c>
      <c r="Z544" s="864">
        <v>68868.34</v>
      </c>
      <c r="AA544" s="925">
        <v>0</v>
      </c>
    </row>
    <row r="545" spans="1:27" s="867" customFormat="1" ht="102.75" customHeight="1">
      <c r="A545" s="927">
        <v>46</v>
      </c>
      <c r="B545" s="868" t="s">
        <v>2037</v>
      </c>
      <c r="C545" s="925">
        <f t="shared" si="136"/>
        <v>3895244.8800000004</v>
      </c>
      <c r="D545" s="925">
        <f t="shared" si="135"/>
        <v>3612314.4400000004</v>
      </c>
      <c r="E545" s="929">
        <v>322107.32</v>
      </c>
      <c r="F545" s="886">
        <v>2052804.82</v>
      </c>
      <c r="G545" s="886">
        <v>0</v>
      </c>
      <c r="H545" s="929">
        <v>0</v>
      </c>
      <c r="I545" s="929">
        <v>1237402.3</v>
      </c>
      <c r="J545" s="886">
        <v>0</v>
      </c>
      <c r="K545" s="862">
        <v>0</v>
      </c>
      <c r="L545" s="929">
        <v>0</v>
      </c>
      <c r="M545" s="929">
        <v>0</v>
      </c>
      <c r="N545" s="929">
        <v>0</v>
      </c>
      <c r="O545" s="929">
        <v>0</v>
      </c>
      <c r="P545" s="929">
        <v>0</v>
      </c>
      <c r="Q545" s="929">
        <v>0</v>
      </c>
      <c r="R545" s="929">
        <v>0</v>
      </c>
      <c r="S545" s="929">
        <v>0</v>
      </c>
      <c r="T545" s="929">
        <v>0</v>
      </c>
      <c r="U545" s="929">
        <v>0</v>
      </c>
      <c r="V545" s="929">
        <v>0</v>
      </c>
      <c r="W545" s="929">
        <v>0</v>
      </c>
      <c r="X545" s="929">
        <v>0</v>
      </c>
      <c r="Y545" s="929">
        <v>0</v>
      </c>
      <c r="Z545" s="929">
        <v>282930.44</v>
      </c>
      <c r="AA545" s="929">
        <v>0</v>
      </c>
    </row>
    <row r="546" spans="1:27" s="867" customFormat="1" ht="102.75" customHeight="1">
      <c r="A546" s="927">
        <v>47</v>
      </c>
      <c r="B546" s="868" t="s">
        <v>1677</v>
      </c>
      <c r="C546" s="925">
        <f t="shared" si="136"/>
        <v>4930704.99</v>
      </c>
      <c r="D546" s="925">
        <f t="shared" si="135"/>
        <v>0</v>
      </c>
      <c r="E546" s="929">
        <v>0</v>
      </c>
      <c r="F546" s="929">
        <v>0</v>
      </c>
      <c r="G546" s="929">
        <v>0</v>
      </c>
      <c r="H546" s="929">
        <v>0</v>
      </c>
      <c r="I546" s="929">
        <v>0</v>
      </c>
      <c r="J546" s="929">
        <v>0</v>
      </c>
      <c r="K546" s="862">
        <v>0</v>
      </c>
      <c r="L546" s="929">
        <v>0</v>
      </c>
      <c r="M546" s="929">
        <v>0</v>
      </c>
      <c r="N546" s="929">
        <v>0</v>
      </c>
      <c r="O546" s="929">
        <v>0</v>
      </c>
      <c r="P546" s="929">
        <v>0</v>
      </c>
      <c r="Q546" s="929">
        <v>0</v>
      </c>
      <c r="R546" s="929">
        <v>0</v>
      </c>
      <c r="S546" s="929">
        <v>1157.8499999999999</v>
      </c>
      <c r="T546" s="929">
        <v>4803834.9000000004</v>
      </c>
      <c r="U546" s="886">
        <v>0</v>
      </c>
      <c r="V546" s="929">
        <v>0</v>
      </c>
      <c r="W546" s="886">
        <v>0</v>
      </c>
      <c r="X546" s="929">
        <v>0</v>
      </c>
      <c r="Y546" s="929">
        <v>0</v>
      </c>
      <c r="Z546" s="864">
        <v>126870.09</v>
      </c>
      <c r="AA546" s="925">
        <v>0</v>
      </c>
    </row>
    <row r="547" spans="1:27" s="867" customFormat="1" ht="102.75" customHeight="1">
      <c r="A547" s="927">
        <v>48</v>
      </c>
      <c r="B547" s="868" t="s">
        <v>1678</v>
      </c>
      <c r="C547" s="925">
        <f t="shared" si="136"/>
        <v>1459916</v>
      </c>
      <c r="D547" s="925">
        <f t="shared" si="135"/>
        <v>0</v>
      </c>
      <c r="E547" s="929">
        <v>0</v>
      </c>
      <c r="F547" s="929">
        <v>0</v>
      </c>
      <c r="G547" s="929">
        <v>0</v>
      </c>
      <c r="H547" s="929">
        <v>0</v>
      </c>
      <c r="I547" s="929">
        <v>0</v>
      </c>
      <c r="J547" s="929">
        <v>0</v>
      </c>
      <c r="K547" s="862">
        <v>0</v>
      </c>
      <c r="L547" s="929">
        <v>0</v>
      </c>
      <c r="M547" s="929">
        <v>0</v>
      </c>
      <c r="N547" s="929">
        <v>0</v>
      </c>
      <c r="O547" s="929">
        <v>578</v>
      </c>
      <c r="P547" s="929">
        <v>1353875.25</v>
      </c>
      <c r="Q547" s="886">
        <v>0</v>
      </c>
      <c r="R547" s="929">
        <v>0</v>
      </c>
      <c r="S547" s="929">
        <v>0</v>
      </c>
      <c r="T547" s="929">
        <v>0</v>
      </c>
      <c r="U547" s="929">
        <v>0</v>
      </c>
      <c r="V547" s="929">
        <v>0</v>
      </c>
      <c r="W547" s="929">
        <v>0</v>
      </c>
      <c r="X547" s="929">
        <v>0</v>
      </c>
      <c r="Y547" s="929">
        <v>0</v>
      </c>
      <c r="Z547" s="864">
        <v>106040.75</v>
      </c>
      <c r="AA547" s="925">
        <v>0</v>
      </c>
    </row>
    <row r="548" spans="1:27" s="867" customFormat="1" ht="102.75" customHeight="1">
      <c r="A548" s="927">
        <v>49</v>
      </c>
      <c r="B548" s="868" t="s">
        <v>1679</v>
      </c>
      <c r="C548" s="925">
        <f t="shared" si="136"/>
        <v>1168390</v>
      </c>
      <c r="D548" s="925">
        <f t="shared" si="135"/>
        <v>0</v>
      </c>
      <c r="E548" s="929">
        <v>0</v>
      </c>
      <c r="F548" s="929">
        <v>0</v>
      </c>
      <c r="G548" s="929">
        <v>0</v>
      </c>
      <c r="H548" s="929">
        <v>0</v>
      </c>
      <c r="I548" s="929">
        <v>0</v>
      </c>
      <c r="J548" s="929">
        <v>0</v>
      </c>
      <c r="K548" s="862">
        <v>0</v>
      </c>
      <c r="L548" s="929">
        <v>0</v>
      </c>
      <c r="M548" s="929">
        <v>0</v>
      </c>
      <c r="N548" s="929">
        <v>0</v>
      </c>
      <c r="O548" s="929">
        <v>0</v>
      </c>
      <c r="P548" s="929">
        <v>0</v>
      </c>
      <c r="Q548" s="929">
        <v>0</v>
      </c>
      <c r="R548" s="929">
        <v>0</v>
      </c>
      <c r="S548" s="929">
        <v>775</v>
      </c>
      <c r="T548" s="929">
        <v>1083524.19</v>
      </c>
      <c r="U548" s="886">
        <v>0</v>
      </c>
      <c r="V548" s="929">
        <v>0</v>
      </c>
      <c r="W548" s="886">
        <v>0</v>
      </c>
      <c r="X548" s="929">
        <v>0</v>
      </c>
      <c r="Y548" s="929">
        <v>0</v>
      </c>
      <c r="Z548" s="864">
        <v>84865.81</v>
      </c>
      <c r="AA548" s="925">
        <v>0</v>
      </c>
    </row>
    <row r="549" spans="1:27" s="867" customFormat="1" ht="102.75" customHeight="1">
      <c r="A549" s="927">
        <v>50</v>
      </c>
      <c r="B549" s="868" t="s">
        <v>1680</v>
      </c>
      <c r="C549" s="925">
        <f t="shared" si="136"/>
        <v>2540822</v>
      </c>
      <c r="D549" s="925">
        <f t="shared" si="135"/>
        <v>0</v>
      </c>
      <c r="E549" s="929">
        <v>0</v>
      </c>
      <c r="F549" s="925">
        <v>0</v>
      </c>
      <c r="G549" s="925">
        <v>0</v>
      </c>
      <c r="H549" s="925">
        <v>0</v>
      </c>
      <c r="I549" s="925">
        <v>0</v>
      </c>
      <c r="J549" s="925">
        <v>0</v>
      </c>
      <c r="K549" s="861">
        <v>0</v>
      </c>
      <c r="L549" s="929">
        <v>0</v>
      </c>
      <c r="M549" s="925">
        <v>0</v>
      </c>
      <c r="N549" s="925">
        <v>0</v>
      </c>
      <c r="O549" s="929">
        <v>0</v>
      </c>
      <c r="P549" s="925">
        <v>0</v>
      </c>
      <c r="Q549" s="925">
        <v>2950</v>
      </c>
      <c r="R549" s="925">
        <v>2356269.83</v>
      </c>
      <c r="S549" s="925">
        <v>0</v>
      </c>
      <c r="T549" s="925">
        <v>0</v>
      </c>
      <c r="U549" s="925">
        <v>0</v>
      </c>
      <c r="V549" s="929">
        <v>0</v>
      </c>
      <c r="W549" s="925">
        <v>0</v>
      </c>
      <c r="X549" s="925">
        <v>0</v>
      </c>
      <c r="Y549" s="925">
        <v>0</v>
      </c>
      <c r="Z549" s="921">
        <v>184552.17</v>
      </c>
      <c r="AA549" s="929">
        <v>0</v>
      </c>
    </row>
    <row r="550" spans="1:27" s="867" customFormat="1" ht="102.75" customHeight="1">
      <c r="A550" s="927">
        <v>51</v>
      </c>
      <c r="B550" s="868" t="s">
        <v>1681</v>
      </c>
      <c r="C550" s="925">
        <f t="shared" si="136"/>
        <v>2518802</v>
      </c>
      <c r="D550" s="925">
        <f t="shared" si="135"/>
        <v>0</v>
      </c>
      <c r="E550" s="929">
        <v>0</v>
      </c>
      <c r="F550" s="925">
        <v>0</v>
      </c>
      <c r="G550" s="925">
        <v>0</v>
      </c>
      <c r="H550" s="925">
        <v>0</v>
      </c>
      <c r="I550" s="925">
        <v>0</v>
      </c>
      <c r="J550" s="925">
        <v>0</v>
      </c>
      <c r="K550" s="861">
        <v>0</v>
      </c>
      <c r="L550" s="929">
        <v>0</v>
      </c>
      <c r="M550" s="925">
        <v>0</v>
      </c>
      <c r="N550" s="925">
        <v>0</v>
      </c>
      <c r="O550" s="929">
        <v>927</v>
      </c>
      <c r="P550" s="925">
        <v>2335849</v>
      </c>
      <c r="Q550" s="925">
        <v>0</v>
      </c>
      <c r="R550" s="925">
        <v>0</v>
      </c>
      <c r="S550" s="925">
        <v>0</v>
      </c>
      <c r="T550" s="925">
        <v>0</v>
      </c>
      <c r="U550" s="925">
        <v>0</v>
      </c>
      <c r="V550" s="929">
        <v>0</v>
      </c>
      <c r="W550" s="925">
        <v>0</v>
      </c>
      <c r="X550" s="925">
        <v>0</v>
      </c>
      <c r="Y550" s="925">
        <v>0</v>
      </c>
      <c r="Z550" s="921">
        <v>182953</v>
      </c>
      <c r="AA550" s="929">
        <v>0</v>
      </c>
    </row>
    <row r="551" spans="1:27" s="867" customFormat="1" ht="102.75" customHeight="1">
      <c r="A551" s="927">
        <v>52</v>
      </c>
      <c r="B551" s="868" t="s">
        <v>2203</v>
      </c>
      <c r="C551" s="925">
        <f t="shared" si="136"/>
        <v>1243453</v>
      </c>
      <c r="D551" s="925">
        <f t="shared" si="135"/>
        <v>1153135</v>
      </c>
      <c r="E551" s="929">
        <v>0</v>
      </c>
      <c r="F551" s="925">
        <v>0</v>
      </c>
      <c r="G551" s="925">
        <v>0</v>
      </c>
      <c r="H551" s="925">
        <v>699364.1</v>
      </c>
      <c r="I551" s="925">
        <v>0</v>
      </c>
      <c r="J551" s="925">
        <v>453770.9</v>
      </c>
      <c r="K551" s="861">
        <v>0</v>
      </c>
      <c r="L551" s="929">
        <v>0</v>
      </c>
      <c r="M551" s="925">
        <v>0</v>
      </c>
      <c r="N551" s="925">
        <v>0</v>
      </c>
      <c r="O551" s="929">
        <v>0</v>
      </c>
      <c r="P551" s="925">
        <v>0</v>
      </c>
      <c r="Q551" s="925">
        <v>0</v>
      </c>
      <c r="R551" s="925">
        <v>0</v>
      </c>
      <c r="S551" s="925">
        <v>0</v>
      </c>
      <c r="T551" s="925">
        <v>0</v>
      </c>
      <c r="U551" s="925">
        <v>0</v>
      </c>
      <c r="V551" s="929">
        <v>0</v>
      </c>
      <c r="W551" s="925">
        <v>0</v>
      </c>
      <c r="X551" s="925">
        <v>0</v>
      </c>
      <c r="Y551" s="925">
        <v>0</v>
      </c>
      <c r="Z551" s="921">
        <v>90318</v>
      </c>
      <c r="AA551" s="929">
        <v>0</v>
      </c>
    </row>
    <row r="552" spans="1:27" s="867" customFormat="1" ht="102.75" customHeight="1">
      <c r="A552" s="927">
        <v>53</v>
      </c>
      <c r="B552" s="868" t="s">
        <v>1683</v>
      </c>
      <c r="C552" s="925">
        <f t="shared" si="136"/>
        <v>2875428.66</v>
      </c>
      <c r="D552" s="925">
        <f t="shared" si="135"/>
        <v>2813114.95</v>
      </c>
      <c r="E552" s="929">
        <v>0</v>
      </c>
      <c r="F552" s="925">
        <v>1139663.4099999999</v>
      </c>
      <c r="G552" s="925">
        <v>0</v>
      </c>
      <c r="H552" s="925">
        <v>686973.31</v>
      </c>
      <c r="I552" s="925">
        <v>686973.31</v>
      </c>
      <c r="J552" s="925">
        <v>299504.92</v>
      </c>
      <c r="K552" s="861">
        <v>0</v>
      </c>
      <c r="L552" s="929">
        <v>0</v>
      </c>
      <c r="M552" s="925">
        <v>0</v>
      </c>
      <c r="N552" s="925">
        <v>0</v>
      </c>
      <c r="O552" s="929">
        <v>0</v>
      </c>
      <c r="P552" s="925">
        <v>0</v>
      </c>
      <c r="Q552" s="925">
        <v>0</v>
      </c>
      <c r="R552" s="925">
        <v>0</v>
      </c>
      <c r="S552" s="925">
        <v>0</v>
      </c>
      <c r="T552" s="925">
        <v>0</v>
      </c>
      <c r="U552" s="925">
        <v>0</v>
      </c>
      <c r="V552" s="929">
        <v>0</v>
      </c>
      <c r="W552" s="925">
        <v>0</v>
      </c>
      <c r="X552" s="925">
        <v>0</v>
      </c>
      <c r="Y552" s="925">
        <v>0</v>
      </c>
      <c r="Z552" s="921">
        <v>62313.71</v>
      </c>
      <c r="AA552" s="929">
        <v>0</v>
      </c>
    </row>
    <row r="553" spans="1:27" s="867" customFormat="1" ht="102.75" customHeight="1">
      <c r="A553" s="927">
        <v>54</v>
      </c>
      <c r="B553" s="868" t="s">
        <v>1684</v>
      </c>
      <c r="C553" s="925">
        <f t="shared" si="136"/>
        <v>2676796.31</v>
      </c>
      <c r="D553" s="925">
        <f t="shared" si="135"/>
        <v>221112.61</v>
      </c>
      <c r="E553" s="929">
        <v>0</v>
      </c>
      <c r="F553" s="925">
        <v>0</v>
      </c>
      <c r="G553" s="925">
        <v>0</v>
      </c>
      <c r="H553" s="925">
        <v>0</v>
      </c>
      <c r="I553" s="925">
        <v>0</v>
      </c>
      <c r="J553" s="925">
        <v>221112.61</v>
      </c>
      <c r="K553" s="861">
        <v>0</v>
      </c>
      <c r="L553" s="929">
        <v>0</v>
      </c>
      <c r="M553" s="925">
        <v>0</v>
      </c>
      <c r="N553" s="925">
        <v>0</v>
      </c>
      <c r="O553" s="929">
        <v>0</v>
      </c>
      <c r="P553" s="925">
        <v>0</v>
      </c>
      <c r="Q553" s="925">
        <v>0</v>
      </c>
      <c r="R553" s="925">
        <v>0</v>
      </c>
      <c r="S553" s="925">
        <v>992.95</v>
      </c>
      <c r="T553" s="925">
        <v>1404045.7</v>
      </c>
      <c r="U553" s="925">
        <v>0</v>
      </c>
      <c r="V553" s="929">
        <v>0</v>
      </c>
      <c r="W553" s="925">
        <v>0</v>
      </c>
      <c r="X553" s="925">
        <v>0</v>
      </c>
      <c r="Y553" s="925">
        <v>0</v>
      </c>
      <c r="Z553" s="921">
        <v>1051638</v>
      </c>
      <c r="AA553" s="929">
        <v>0</v>
      </c>
    </row>
    <row r="554" spans="1:27" s="867" customFormat="1" ht="102.75" customHeight="1">
      <c r="A554" s="927">
        <v>55</v>
      </c>
      <c r="B554" s="868" t="s">
        <v>2204</v>
      </c>
      <c r="C554" s="925">
        <f t="shared" si="136"/>
        <v>899225</v>
      </c>
      <c r="D554" s="925">
        <f t="shared" ref="D554:D588" si="137">SUM(E554:J554)</f>
        <v>833909.95</v>
      </c>
      <c r="E554" s="929">
        <v>0</v>
      </c>
      <c r="F554" s="925">
        <v>0</v>
      </c>
      <c r="G554" s="925">
        <v>0</v>
      </c>
      <c r="H554" s="925">
        <v>0</v>
      </c>
      <c r="I554" s="925">
        <v>0</v>
      </c>
      <c r="J554" s="925">
        <v>833909.95</v>
      </c>
      <c r="K554" s="861">
        <v>0</v>
      </c>
      <c r="L554" s="929">
        <v>0</v>
      </c>
      <c r="M554" s="925">
        <v>0</v>
      </c>
      <c r="N554" s="925">
        <v>0</v>
      </c>
      <c r="O554" s="929">
        <v>0</v>
      </c>
      <c r="P554" s="925">
        <v>0</v>
      </c>
      <c r="Q554" s="925">
        <v>0</v>
      </c>
      <c r="R554" s="925">
        <v>0</v>
      </c>
      <c r="S554" s="925">
        <v>0</v>
      </c>
      <c r="T554" s="925">
        <v>0</v>
      </c>
      <c r="U554" s="925">
        <v>0</v>
      </c>
      <c r="V554" s="929">
        <v>0</v>
      </c>
      <c r="W554" s="925">
        <v>0</v>
      </c>
      <c r="X554" s="925">
        <v>0</v>
      </c>
      <c r="Y554" s="925">
        <v>0</v>
      </c>
      <c r="Z554" s="921">
        <v>65315.05</v>
      </c>
      <c r="AA554" s="929">
        <v>0</v>
      </c>
    </row>
    <row r="555" spans="1:27" s="867" customFormat="1" ht="102.75" customHeight="1">
      <c r="A555" s="927">
        <v>56</v>
      </c>
      <c r="B555" s="868" t="s">
        <v>2205</v>
      </c>
      <c r="C555" s="925">
        <f t="shared" si="136"/>
        <v>8338382</v>
      </c>
      <c r="D555" s="925">
        <f t="shared" si="137"/>
        <v>7732725</v>
      </c>
      <c r="E555" s="929">
        <v>0</v>
      </c>
      <c r="F555" s="925">
        <v>7732725</v>
      </c>
      <c r="G555" s="925">
        <v>0</v>
      </c>
      <c r="H555" s="925">
        <v>0</v>
      </c>
      <c r="I555" s="925">
        <v>0</v>
      </c>
      <c r="J555" s="925">
        <v>0</v>
      </c>
      <c r="K555" s="861">
        <v>0</v>
      </c>
      <c r="L555" s="929">
        <v>0</v>
      </c>
      <c r="M555" s="925">
        <v>0</v>
      </c>
      <c r="N555" s="925">
        <v>0</v>
      </c>
      <c r="O555" s="929">
        <v>0</v>
      </c>
      <c r="P555" s="925">
        <v>0</v>
      </c>
      <c r="Q555" s="925">
        <v>0</v>
      </c>
      <c r="R555" s="925">
        <v>0</v>
      </c>
      <c r="S555" s="925">
        <v>0</v>
      </c>
      <c r="T555" s="925">
        <v>0</v>
      </c>
      <c r="U555" s="925">
        <v>0</v>
      </c>
      <c r="V555" s="929">
        <v>0</v>
      </c>
      <c r="W555" s="925">
        <v>0</v>
      </c>
      <c r="X555" s="925">
        <v>0</v>
      </c>
      <c r="Y555" s="925">
        <v>0</v>
      </c>
      <c r="Z555" s="921">
        <v>605657</v>
      </c>
      <c r="AA555" s="929">
        <v>0</v>
      </c>
    </row>
    <row r="556" spans="1:27" s="867" customFormat="1" ht="102.75" customHeight="1">
      <c r="A556" s="927">
        <v>57</v>
      </c>
      <c r="B556" s="868" t="s">
        <v>1687</v>
      </c>
      <c r="C556" s="925">
        <f t="shared" si="136"/>
        <v>1750958</v>
      </c>
      <c r="D556" s="925">
        <f t="shared" si="137"/>
        <v>0</v>
      </c>
      <c r="E556" s="929">
        <v>0</v>
      </c>
      <c r="F556" s="925">
        <v>0</v>
      </c>
      <c r="G556" s="925">
        <v>0</v>
      </c>
      <c r="H556" s="925">
        <v>0</v>
      </c>
      <c r="I556" s="925">
        <v>0</v>
      </c>
      <c r="J556" s="925">
        <v>0</v>
      </c>
      <c r="K556" s="861">
        <v>0</v>
      </c>
      <c r="L556" s="929">
        <v>0</v>
      </c>
      <c r="M556" s="925">
        <v>0</v>
      </c>
      <c r="N556" s="925">
        <v>0</v>
      </c>
      <c r="O556" s="929">
        <v>0</v>
      </c>
      <c r="P556" s="925">
        <v>0</v>
      </c>
      <c r="Q556" s="925">
        <v>0</v>
      </c>
      <c r="R556" s="925">
        <v>0</v>
      </c>
      <c r="S556" s="925">
        <v>1142.5999999999999</v>
      </c>
      <c r="T556" s="925">
        <v>1623777.47</v>
      </c>
      <c r="U556" s="925">
        <v>0</v>
      </c>
      <c r="V556" s="929">
        <v>0</v>
      </c>
      <c r="W556" s="925">
        <v>0</v>
      </c>
      <c r="X556" s="925">
        <v>0</v>
      </c>
      <c r="Y556" s="925">
        <v>0</v>
      </c>
      <c r="Z556" s="921">
        <v>127180.53</v>
      </c>
      <c r="AA556" s="929">
        <v>0</v>
      </c>
    </row>
    <row r="557" spans="1:27" s="867" customFormat="1" ht="102.75" customHeight="1">
      <c r="A557" s="927">
        <v>58</v>
      </c>
      <c r="B557" s="868" t="s">
        <v>2206</v>
      </c>
      <c r="C557" s="925">
        <f t="shared" si="136"/>
        <v>982113</v>
      </c>
      <c r="D557" s="925">
        <f t="shared" si="137"/>
        <v>0</v>
      </c>
      <c r="E557" s="929">
        <v>0</v>
      </c>
      <c r="F557" s="925">
        <v>0</v>
      </c>
      <c r="G557" s="925">
        <v>0</v>
      </c>
      <c r="H557" s="925">
        <v>0</v>
      </c>
      <c r="I557" s="925">
        <v>0</v>
      </c>
      <c r="J557" s="925">
        <v>0</v>
      </c>
      <c r="K557" s="861">
        <v>0</v>
      </c>
      <c r="L557" s="929">
        <v>0</v>
      </c>
      <c r="M557" s="925">
        <v>0</v>
      </c>
      <c r="N557" s="925">
        <v>0</v>
      </c>
      <c r="O557" s="929">
        <v>0</v>
      </c>
      <c r="P557" s="925">
        <v>0</v>
      </c>
      <c r="Q557" s="925">
        <v>0</v>
      </c>
      <c r="R557" s="925">
        <v>0</v>
      </c>
      <c r="S557" s="925">
        <v>642.29999999999995</v>
      </c>
      <c r="T557" s="925">
        <v>910777.39</v>
      </c>
      <c r="U557" s="925">
        <v>0</v>
      </c>
      <c r="V557" s="929">
        <v>0</v>
      </c>
      <c r="W557" s="925">
        <v>0</v>
      </c>
      <c r="X557" s="925">
        <v>0</v>
      </c>
      <c r="Y557" s="925">
        <v>0</v>
      </c>
      <c r="Z557" s="921">
        <v>71335.61</v>
      </c>
      <c r="AA557" s="929">
        <v>0</v>
      </c>
    </row>
    <row r="558" spans="1:27" s="867" customFormat="1" ht="102.75" customHeight="1">
      <c r="A558" s="927">
        <v>59</v>
      </c>
      <c r="B558" s="868" t="s">
        <v>1641</v>
      </c>
      <c r="C558" s="925">
        <f t="shared" si="136"/>
        <v>14351824.439999999</v>
      </c>
      <c r="D558" s="925">
        <f t="shared" si="137"/>
        <v>0</v>
      </c>
      <c r="E558" s="929">
        <v>0</v>
      </c>
      <c r="F558" s="925">
        <v>0</v>
      </c>
      <c r="G558" s="925">
        <v>0</v>
      </c>
      <c r="H558" s="925">
        <v>0</v>
      </c>
      <c r="I558" s="925">
        <v>0</v>
      </c>
      <c r="J558" s="925">
        <v>0</v>
      </c>
      <c r="K558" s="861">
        <v>0</v>
      </c>
      <c r="L558" s="929">
        <v>0</v>
      </c>
      <c r="M558" s="925">
        <v>0</v>
      </c>
      <c r="N558" s="925">
        <v>0</v>
      </c>
      <c r="O558" s="929">
        <v>0</v>
      </c>
      <c r="P558" s="925">
        <v>0</v>
      </c>
      <c r="Q558" s="925">
        <v>0</v>
      </c>
      <c r="R558" s="925">
        <v>0</v>
      </c>
      <c r="S558" s="925">
        <v>0</v>
      </c>
      <c r="T558" s="925">
        <v>0</v>
      </c>
      <c r="U558" s="925">
        <v>2560</v>
      </c>
      <c r="V558" s="925">
        <v>14145981.439999999</v>
      </c>
      <c r="W558" s="925">
        <v>0</v>
      </c>
      <c r="X558" s="925">
        <v>0</v>
      </c>
      <c r="Y558" s="925">
        <v>0</v>
      </c>
      <c r="Z558" s="921">
        <v>205843</v>
      </c>
      <c r="AA558" s="929">
        <v>0</v>
      </c>
    </row>
    <row r="559" spans="1:27" s="867" customFormat="1" ht="102.75" customHeight="1">
      <c r="A559" s="927">
        <v>60</v>
      </c>
      <c r="B559" s="868" t="s">
        <v>1689</v>
      </c>
      <c r="C559" s="925">
        <f t="shared" si="136"/>
        <v>9021133.9199999999</v>
      </c>
      <c r="D559" s="925">
        <f t="shared" si="137"/>
        <v>8753881.3300000001</v>
      </c>
      <c r="E559" s="929">
        <v>0</v>
      </c>
      <c r="F559" s="925">
        <v>0</v>
      </c>
      <c r="G559" s="925">
        <v>0</v>
      </c>
      <c r="H559" s="925">
        <v>8753881.3300000001</v>
      </c>
      <c r="I559" s="925">
        <v>0</v>
      </c>
      <c r="J559" s="925">
        <v>0</v>
      </c>
      <c r="K559" s="861">
        <v>0</v>
      </c>
      <c r="L559" s="929">
        <v>0</v>
      </c>
      <c r="M559" s="925">
        <v>0</v>
      </c>
      <c r="N559" s="925">
        <v>0</v>
      </c>
      <c r="O559" s="929">
        <v>0</v>
      </c>
      <c r="P559" s="925">
        <v>0</v>
      </c>
      <c r="Q559" s="925">
        <v>0</v>
      </c>
      <c r="R559" s="925">
        <v>0</v>
      </c>
      <c r="S559" s="925">
        <v>0</v>
      </c>
      <c r="T559" s="925">
        <v>0</v>
      </c>
      <c r="U559" s="925">
        <v>0</v>
      </c>
      <c r="V559" s="929">
        <v>0</v>
      </c>
      <c r="W559" s="925">
        <v>0</v>
      </c>
      <c r="X559" s="925">
        <v>0</v>
      </c>
      <c r="Y559" s="925">
        <v>0</v>
      </c>
      <c r="Z559" s="921">
        <v>267252.59000000003</v>
      </c>
      <c r="AA559" s="929">
        <v>0</v>
      </c>
    </row>
    <row r="560" spans="1:27" s="867" customFormat="1" ht="102.75" customHeight="1">
      <c r="A560" s="927">
        <v>61</v>
      </c>
      <c r="B560" s="868" t="s">
        <v>1657</v>
      </c>
      <c r="C560" s="925">
        <f t="shared" si="136"/>
        <v>1960392</v>
      </c>
      <c r="D560" s="925">
        <f t="shared" si="137"/>
        <v>1817999.26</v>
      </c>
      <c r="E560" s="929">
        <v>0</v>
      </c>
      <c r="F560" s="925">
        <v>0</v>
      </c>
      <c r="G560" s="925">
        <v>0</v>
      </c>
      <c r="H560" s="925">
        <v>1817999.26</v>
      </c>
      <c r="I560" s="925">
        <v>0</v>
      </c>
      <c r="J560" s="925">
        <v>0</v>
      </c>
      <c r="K560" s="861">
        <v>0</v>
      </c>
      <c r="L560" s="929">
        <v>0</v>
      </c>
      <c r="M560" s="925">
        <v>0</v>
      </c>
      <c r="N560" s="925">
        <v>0</v>
      </c>
      <c r="O560" s="929">
        <v>0</v>
      </c>
      <c r="P560" s="925">
        <v>0</v>
      </c>
      <c r="Q560" s="925">
        <v>0</v>
      </c>
      <c r="R560" s="925">
        <v>0</v>
      </c>
      <c r="S560" s="925">
        <v>0</v>
      </c>
      <c r="T560" s="925">
        <v>0</v>
      </c>
      <c r="U560" s="925">
        <v>0</v>
      </c>
      <c r="V560" s="929">
        <v>0</v>
      </c>
      <c r="W560" s="925">
        <v>0</v>
      </c>
      <c r="X560" s="925">
        <v>0</v>
      </c>
      <c r="Y560" s="925">
        <v>0</v>
      </c>
      <c r="Z560" s="921">
        <v>142392.74</v>
      </c>
      <c r="AA560" s="929">
        <v>0</v>
      </c>
    </row>
    <row r="561" spans="1:27" s="867" customFormat="1" ht="102.75" customHeight="1">
      <c r="A561" s="927">
        <v>62</v>
      </c>
      <c r="B561" s="868" t="s">
        <v>1690</v>
      </c>
      <c r="C561" s="925">
        <f t="shared" si="136"/>
        <v>5336490</v>
      </c>
      <c r="D561" s="925">
        <f t="shared" si="137"/>
        <v>0</v>
      </c>
      <c r="E561" s="929">
        <v>0</v>
      </c>
      <c r="F561" s="925">
        <v>0</v>
      </c>
      <c r="G561" s="925">
        <v>0</v>
      </c>
      <c r="H561" s="925">
        <v>0</v>
      </c>
      <c r="I561" s="925">
        <v>0</v>
      </c>
      <c r="J561" s="925">
        <v>0</v>
      </c>
      <c r="K561" s="861">
        <v>0</v>
      </c>
      <c r="L561" s="929">
        <v>0</v>
      </c>
      <c r="M561" s="925">
        <v>0</v>
      </c>
      <c r="N561" s="925">
        <v>0</v>
      </c>
      <c r="O561" s="929">
        <v>1964</v>
      </c>
      <c r="P561" s="925">
        <v>4948875</v>
      </c>
      <c r="Q561" s="925">
        <v>0</v>
      </c>
      <c r="R561" s="925">
        <v>0</v>
      </c>
      <c r="S561" s="925">
        <v>0</v>
      </c>
      <c r="T561" s="925">
        <v>0</v>
      </c>
      <c r="U561" s="925">
        <v>0</v>
      </c>
      <c r="V561" s="929">
        <v>0</v>
      </c>
      <c r="W561" s="925">
        <v>0</v>
      </c>
      <c r="X561" s="925">
        <v>0</v>
      </c>
      <c r="Y561" s="925">
        <v>0</v>
      </c>
      <c r="Z561" s="921">
        <v>387615</v>
      </c>
      <c r="AA561" s="929">
        <v>0</v>
      </c>
    </row>
    <row r="562" spans="1:27" s="867" customFormat="1" ht="102.75" customHeight="1">
      <c r="A562" s="927">
        <v>63</v>
      </c>
      <c r="B562" s="868" t="s">
        <v>1691</v>
      </c>
      <c r="C562" s="925">
        <f t="shared" si="136"/>
        <v>20545653.079999998</v>
      </c>
      <c r="D562" s="925">
        <f t="shared" si="137"/>
        <v>0</v>
      </c>
      <c r="E562" s="929">
        <v>0</v>
      </c>
      <c r="F562" s="925">
        <v>0</v>
      </c>
      <c r="G562" s="925">
        <v>0</v>
      </c>
      <c r="H562" s="925">
        <v>0</v>
      </c>
      <c r="I562" s="925">
        <v>0</v>
      </c>
      <c r="J562" s="925">
        <v>0</v>
      </c>
      <c r="K562" s="861">
        <v>0</v>
      </c>
      <c r="L562" s="929">
        <v>0</v>
      </c>
      <c r="M562" s="925">
        <v>0</v>
      </c>
      <c r="N562" s="925">
        <v>0</v>
      </c>
      <c r="O562" s="929">
        <v>2738</v>
      </c>
      <c r="P562" s="925">
        <v>20349108.899999999</v>
      </c>
      <c r="Q562" s="925">
        <v>0</v>
      </c>
      <c r="R562" s="925">
        <v>0</v>
      </c>
      <c r="S562" s="925">
        <v>0</v>
      </c>
      <c r="T562" s="925">
        <v>0</v>
      </c>
      <c r="U562" s="925">
        <v>0</v>
      </c>
      <c r="V562" s="929">
        <v>0</v>
      </c>
      <c r="W562" s="925">
        <v>0</v>
      </c>
      <c r="X562" s="925">
        <v>0</v>
      </c>
      <c r="Y562" s="925">
        <v>0</v>
      </c>
      <c r="Z562" s="921">
        <v>196544.18</v>
      </c>
      <c r="AA562" s="929">
        <v>0</v>
      </c>
    </row>
    <row r="563" spans="1:27" s="867" customFormat="1" ht="102.75" customHeight="1">
      <c r="A563" s="927">
        <v>64</v>
      </c>
      <c r="B563" s="868" t="s">
        <v>1692</v>
      </c>
      <c r="C563" s="925">
        <f t="shared" si="136"/>
        <v>36550059.109999999</v>
      </c>
      <c r="D563" s="925">
        <f t="shared" si="137"/>
        <v>20722305.82</v>
      </c>
      <c r="E563" s="929">
        <v>3009729.37</v>
      </c>
      <c r="F563" s="925">
        <v>6098726.9900000002</v>
      </c>
      <c r="G563" s="925">
        <v>2442178.16</v>
      </c>
      <c r="H563" s="925">
        <v>3476437</v>
      </c>
      <c r="I563" s="925">
        <v>3476437</v>
      </c>
      <c r="J563" s="925">
        <v>2218797.2999999998</v>
      </c>
      <c r="K563" s="861">
        <v>0</v>
      </c>
      <c r="L563" s="929">
        <v>0</v>
      </c>
      <c r="M563" s="925">
        <v>0</v>
      </c>
      <c r="N563" s="925">
        <v>0</v>
      </c>
      <c r="O563" s="929">
        <v>2800</v>
      </c>
      <c r="P563" s="925">
        <v>13809308.369999999</v>
      </c>
      <c r="Q563" s="925">
        <v>0</v>
      </c>
      <c r="R563" s="925">
        <v>0</v>
      </c>
      <c r="S563" s="925">
        <v>0</v>
      </c>
      <c r="T563" s="925">
        <v>0</v>
      </c>
      <c r="U563" s="925">
        <v>0</v>
      </c>
      <c r="V563" s="929">
        <v>0</v>
      </c>
      <c r="W563" s="925">
        <v>0</v>
      </c>
      <c r="X563" s="925">
        <v>0</v>
      </c>
      <c r="Y563" s="925">
        <v>0</v>
      </c>
      <c r="Z563" s="921">
        <v>2018444.92</v>
      </c>
      <c r="AA563" s="929">
        <v>0</v>
      </c>
    </row>
    <row r="564" spans="1:27" s="867" customFormat="1" ht="102.75" customHeight="1">
      <c r="A564" s="927">
        <v>65</v>
      </c>
      <c r="B564" s="868" t="s">
        <v>1693</v>
      </c>
      <c r="C564" s="925">
        <f t="shared" si="136"/>
        <v>1187834</v>
      </c>
      <c r="D564" s="925">
        <f t="shared" si="137"/>
        <v>1101555.8899999999</v>
      </c>
      <c r="E564" s="929">
        <v>0</v>
      </c>
      <c r="F564" s="925">
        <v>0</v>
      </c>
      <c r="G564" s="925">
        <v>0</v>
      </c>
      <c r="H564" s="925">
        <v>0</v>
      </c>
      <c r="I564" s="925">
        <v>0</v>
      </c>
      <c r="J564" s="925">
        <v>1101555.8899999999</v>
      </c>
      <c r="K564" s="861">
        <v>0</v>
      </c>
      <c r="L564" s="929">
        <v>0</v>
      </c>
      <c r="M564" s="925">
        <v>0</v>
      </c>
      <c r="N564" s="925">
        <v>0</v>
      </c>
      <c r="O564" s="929">
        <v>0</v>
      </c>
      <c r="P564" s="925">
        <v>0</v>
      </c>
      <c r="Q564" s="925">
        <v>0</v>
      </c>
      <c r="R564" s="925">
        <v>0</v>
      </c>
      <c r="S564" s="925">
        <v>0</v>
      </c>
      <c r="T564" s="925">
        <v>0</v>
      </c>
      <c r="U564" s="925">
        <v>0</v>
      </c>
      <c r="V564" s="929">
        <v>0</v>
      </c>
      <c r="W564" s="925">
        <v>0</v>
      </c>
      <c r="X564" s="925">
        <v>0</v>
      </c>
      <c r="Y564" s="925">
        <v>0</v>
      </c>
      <c r="Z564" s="921">
        <v>86278.11</v>
      </c>
      <c r="AA564" s="929">
        <v>0</v>
      </c>
    </row>
    <row r="565" spans="1:27" s="867" customFormat="1" ht="102.75" customHeight="1">
      <c r="A565" s="927">
        <v>66</v>
      </c>
      <c r="B565" s="868" t="s">
        <v>2207</v>
      </c>
      <c r="C565" s="925">
        <f t="shared" ref="C565:C628" si="138">D565+L565+N565+P565+R565+T565+V565+X565+Z565</f>
        <v>7357760.8399999999</v>
      </c>
      <c r="D565" s="925">
        <f t="shared" si="137"/>
        <v>6823331.1399999997</v>
      </c>
      <c r="E565" s="929">
        <v>0</v>
      </c>
      <c r="F565" s="925">
        <v>6823331.1399999997</v>
      </c>
      <c r="G565" s="925">
        <v>0</v>
      </c>
      <c r="H565" s="925">
        <v>0</v>
      </c>
      <c r="I565" s="925">
        <v>0</v>
      </c>
      <c r="J565" s="925">
        <v>0</v>
      </c>
      <c r="K565" s="861">
        <v>0</v>
      </c>
      <c r="L565" s="929">
        <v>0</v>
      </c>
      <c r="M565" s="925">
        <v>0</v>
      </c>
      <c r="N565" s="925">
        <v>0</v>
      </c>
      <c r="O565" s="929">
        <v>0</v>
      </c>
      <c r="P565" s="925">
        <v>0</v>
      </c>
      <c r="Q565" s="925">
        <v>0</v>
      </c>
      <c r="R565" s="925">
        <v>0</v>
      </c>
      <c r="S565" s="925">
        <v>0</v>
      </c>
      <c r="T565" s="925">
        <v>0</v>
      </c>
      <c r="U565" s="925">
        <v>0</v>
      </c>
      <c r="V565" s="929">
        <v>0</v>
      </c>
      <c r="W565" s="925">
        <v>0</v>
      </c>
      <c r="X565" s="925">
        <v>0</v>
      </c>
      <c r="Y565" s="925">
        <v>0</v>
      </c>
      <c r="Z565" s="921">
        <v>534429.69999999995</v>
      </c>
      <c r="AA565" s="929">
        <v>0</v>
      </c>
    </row>
    <row r="566" spans="1:27" s="867" customFormat="1" ht="102.75" customHeight="1">
      <c r="A566" s="927">
        <v>67</v>
      </c>
      <c r="B566" s="868" t="s">
        <v>2208</v>
      </c>
      <c r="C566" s="925">
        <f t="shared" si="138"/>
        <v>3470236</v>
      </c>
      <c r="D566" s="925">
        <f t="shared" si="137"/>
        <v>3218176.01</v>
      </c>
      <c r="E566" s="929">
        <v>0</v>
      </c>
      <c r="F566" s="925">
        <v>0</v>
      </c>
      <c r="G566" s="925">
        <v>0</v>
      </c>
      <c r="H566" s="925">
        <v>1959959.4</v>
      </c>
      <c r="I566" s="925">
        <v>0</v>
      </c>
      <c r="J566" s="925">
        <v>1258216.6100000001</v>
      </c>
      <c r="K566" s="861">
        <v>0</v>
      </c>
      <c r="L566" s="929">
        <v>0</v>
      </c>
      <c r="M566" s="925">
        <v>0</v>
      </c>
      <c r="N566" s="925">
        <v>0</v>
      </c>
      <c r="O566" s="929">
        <v>0</v>
      </c>
      <c r="P566" s="925">
        <v>0</v>
      </c>
      <c r="Q566" s="925">
        <v>0</v>
      </c>
      <c r="R566" s="925">
        <v>0</v>
      </c>
      <c r="S566" s="925">
        <v>0</v>
      </c>
      <c r="T566" s="925">
        <v>0</v>
      </c>
      <c r="U566" s="925">
        <v>0</v>
      </c>
      <c r="V566" s="929">
        <v>0</v>
      </c>
      <c r="W566" s="925">
        <v>0</v>
      </c>
      <c r="X566" s="925">
        <v>0</v>
      </c>
      <c r="Y566" s="925">
        <v>0</v>
      </c>
      <c r="Z566" s="921">
        <v>252059.99</v>
      </c>
      <c r="AA566" s="929">
        <v>0</v>
      </c>
    </row>
    <row r="567" spans="1:27" s="867" customFormat="1" ht="102.75" customHeight="1">
      <c r="A567" s="927">
        <v>68</v>
      </c>
      <c r="B567" s="868" t="s">
        <v>1695</v>
      </c>
      <c r="C567" s="925">
        <f t="shared" si="138"/>
        <v>3275213</v>
      </c>
      <c r="D567" s="925">
        <f t="shared" si="137"/>
        <v>3037298.45</v>
      </c>
      <c r="E567" s="929">
        <v>0</v>
      </c>
      <c r="F567" s="925">
        <v>0</v>
      </c>
      <c r="G567" s="925">
        <v>0</v>
      </c>
      <c r="H567" s="925">
        <v>1849306.57</v>
      </c>
      <c r="I567" s="925">
        <v>0</v>
      </c>
      <c r="J567" s="925">
        <v>1187991.8799999999</v>
      </c>
      <c r="K567" s="861">
        <v>0</v>
      </c>
      <c r="L567" s="929">
        <v>0</v>
      </c>
      <c r="M567" s="925">
        <v>0</v>
      </c>
      <c r="N567" s="925">
        <v>0</v>
      </c>
      <c r="O567" s="929">
        <v>0</v>
      </c>
      <c r="P567" s="925">
        <v>0</v>
      </c>
      <c r="Q567" s="925">
        <v>0</v>
      </c>
      <c r="R567" s="925">
        <v>0</v>
      </c>
      <c r="S567" s="925">
        <v>0</v>
      </c>
      <c r="T567" s="925">
        <v>0</v>
      </c>
      <c r="U567" s="925">
        <v>0</v>
      </c>
      <c r="V567" s="929">
        <v>0</v>
      </c>
      <c r="W567" s="925">
        <v>0</v>
      </c>
      <c r="X567" s="925">
        <v>0</v>
      </c>
      <c r="Y567" s="925">
        <v>0</v>
      </c>
      <c r="Z567" s="921">
        <v>237914.55</v>
      </c>
      <c r="AA567" s="929">
        <v>0</v>
      </c>
    </row>
    <row r="568" spans="1:27" s="867" customFormat="1" ht="102.75" customHeight="1">
      <c r="A568" s="927">
        <v>69</v>
      </c>
      <c r="B568" s="868" t="s">
        <v>2209</v>
      </c>
      <c r="C568" s="925">
        <f t="shared" si="138"/>
        <v>2749421.9619999998</v>
      </c>
      <c r="D568" s="925">
        <f t="shared" si="137"/>
        <v>2549718.17</v>
      </c>
      <c r="E568" s="929">
        <v>2549718.17</v>
      </c>
      <c r="F568" s="925">
        <v>0</v>
      </c>
      <c r="G568" s="925">
        <v>0</v>
      </c>
      <c r="H568" s="925">
        <v>0</v>
      </c>
      <c r="I568" s="925">
        <v>0</v>
      </c>
      <c r="J568" s="925">
        <v>0</v>
      </c>
      <c r="K568" s="861">
        <v>0</v>
      </c>
      <c r="L568" s="929">
        <v>0</v>
      </c>
      <c r="M568" s="925">
        <v>0</v>
      </c>
      <c r="N568" s="925">
        <v>0</v>
      </c>
      <c r="O568" s="929">
        <v>0</v>
      </c>
      <c r="P568" s="925">
        <v>0</v>
      </c>
      <c r="Q568" s="925">
        <v>0</v>
      </c>
      <c r="R568" s="925">
        <v>0</v>
      </c>
      <c r="S568" s="925">
        <v>0</v>
      </c>
      <c r="T568" s="925">
        <v>0</v>
      </c>
      <c r="U568" s="925">
        <v>0</v>
      </c>
      <c r="V568" s="929">
        <v>0</v>
      </c>
      <c r="W568" s="925">
        <v>0</v>
      </c>
      <c r="X568" s="925">
        <v>0</v>
      </c>
      <c r="Y568" s="925">
        <v>0</v>
      </c>
      <c r="Z568" s="921">
        <v>199703.79199999999</v>
      </c>
      <c r="AA568" s="929">
        <v>0</v>
      </c>
    </row>
    <row r="569" spans="1:27" s="867" customFormat="1" ht="102.75" customHeight="1">
      <c r="A569" s="927">
        <v>70</v>
      </c>
      <c r="B569" s="868" t="s">
        <v>1697</v>
      </c>
      <c r="C569" s="925">
        <f t="shared" si="138"/>
        <v>5603275.5800000001</v>
      </c>
      <c r="D569" s="925">
        <f t="shared" si="137"/>
        <v>0</v>
      </c>
      <c r="E569" s="929">
        <v>0</v>
      </c>
      <c r="F569" s="925">
        <v>0</v>
      </c>
      <c r="G569" s="925">
        <v>0</v>
      </c>
      <c r="H569" s="925">
        <v>0</v>
      </c>
      <c r="I569" s="925">
        <v>0</v>
      </c>
      <c r="J569" s="925">
        <v>0</v>
      </c>
      <c r="K569" s="861">
        <v>0</v>
      </c>
      <c r="L569" s="929">
        <v>0</v>
      </c>
      <c r="M569" s="925">
        <v>0</v>
      </c>
      <c r="N569" s="925">
        <v>0</v>
      </c>
      <c r="O569" s="929">
        <v>0</v>
      </c>
      <c r="P569" s="925">
        <v>0</v>
      </c>
      <c r="Q569" s="925">
        <v>0</v>
      </c>
      <c r="R569" s="925">
        <v>0</v>
      </c>
      <c r="S569" s="925">
        <v>1772</v>
      </c>
      <c r="T569" s="925">
        <v>5196282.62</v>
      </c>
      <c r="U569" s="925">
        <v>0</v>
      </c>
      <c r="V569" s="929">
        <v>0</v>
      </c>
      <c r="W569" s="925">
        <v>0</v>
      </c>
      <c r="X569" s="925">
        <v>0</v>
      </c>
      <c r="Y569" s="925">
        <v>0</v>
      </c>
      <c r="Z569" s="921">
        <v>406992.96</v>
      </c>
      <c r="AA569" s="929">
        <v>0</v>
      </c>
    </row>
    <row r="570" spans="1:27" s="867" customFormat="1" ht="102.75" customHeight="1">
      <c r="A570" s="927">
        <v>71</v>
      </c>
      <c r="B570" s="868" t="s">
        <v>1638</v>
      </c>
      <c r="C570" s="925">
        <f t="shared" si="138"/>
        <v>780672</v>
      </c>
      <c r="D570" s="925">
        <f t="shared" si="137"/>
        <v>0</v>
      </c>
      <c r="E570" s="929">
        <v>0</v>
      </c>
      <c r="F570" s="925">
        <v>0</v>
      </c>
      <c r="G570" s="925">
        <v>0</v>
      </c>
      <c r="H570" s="925">
        <v>0</v>
      </c>
      <c r="I570" s="925">
        <v>0</v>
      </c>
      <c r="J570" s="925">
        <v>0</v>
      </c>
      <c r="K570" s="861">
        <v>0</v>
      </c>
      <c r="L570" s="929">
        <v>0</v>
      </c>
      <c r="M570" s="925">
        <v>0</v>
      </c>
      <c r="N570" s="925">
        <v>0</v>
      </c>
      <c r="O570" s="929">
        <v>0</v>
      </c>
      <c r="P570" s="925">
        <v>0</v>
      </c>
      <c r="Q570" s="925">
        <v>0</v>
      </c>
      <c r="R570" s="925">
        <v>0</v>
      </c>
      <c r="S570" s="925">
        <v>501.6</v>
      </c>
      <c r="T570" s="925">
        <v>723968.02</v>
      </c>
      <c r="U570" s="925">
        <v>0</v>
      </c>
      <c r="V570" s="929">
        <v>0</v>
      </c>
      <c r="W570" s="925">
        <v>0</v>
      </c>
      <c r="X570" s="925">
        <v>0</v>
      </c>
      <c r="Y570" s="925">
        <v>0</v>
      </c>
      <c r="Z570" s="921">
        <v>56703.98</v>
      </c>
      <c r="AA570" s="929">
        <v>0</v>
      </c>
    </row>
    <row r="571" spans="1:27" s="867" customFormat="1" ht="102.75" customHeight="1">
      <c r="A571" s="927">
        <v>72</v>
      </c>
      <c r="B571" s="868" t="s">
        <v>1679</v>
      </c>
      <c r="C571" s="925">
        <f t="shared" si="138"/>
        <v>1864763</v>
      </c>
      <c r="D571" s="925">
        <f t="shared" si="137"/>
        <v>1729316.26</v>
      </c>
      <c r="E571" s="929">
        <v>0</v>
      </c>
      <c r="F571" s="925">
        <v>922234.99</v>
      </c>
      <c r="G571" s="925">
        <v>0</v>
      </c>
      <c r="H571" s="925">
        <v>807081.27</v>
      </c>
      <c r="I571" s="925">
        <v>0</v>
      </c>
      <c r="J571" s="925">
        <v>0</v>
      </c>
      <c r="K571" s="861">
        <v>0</v>
      </c>
      <c r="L571" s="929">
        <v>0</v>
      </c>
      <c r="M571" s="925">
        <v>0</v>
      </c>
      <c r="N571" s="925">
        <v>0</v>
      </c>
      <c r="O571" s="929">
        <v>0</v>
      </c>
      <c r="P571" s="925">
        <v>0</v>
      </c>
      <c r="Q571" s="925">
        <v>0</v>
      </c>
      <c r="R571" s="925">
        <v>0</v>
      </c>
      <c r="S571" s="925">
        <v>0</v>
      </c>
      <c r="T571" s="925">
        <v>0</v>
      </c>
      <c r="U571" s="925">
        <v>0</v>
      </c>
      <c r="V571" s="929">
        <v>0</v>
      </c>
      <c r="W571" s="925">
        <v>0</v>
      </c>
      <c r="X571" s="925">
        <v>0</v>
      </c>
      <c r="Y571" s="925">
        <v>0</v>
      </c>
      <c r="Z571" s="921">
        <v>135446.74</v>
      </c>
      <c r="AA571" s="929">
        <v>0</v>
      </c>
    </row>
    <row r="572" spans="1:27" s="867" customFormat="1" ht="102.75" customHeight="1">
      <c r="A572" s="927">
        <v>73</v>
      </c>
      <c r="B572" s="868" t="s">
        <v>1636</v>
      </c>
      <c r="C572" s="925">
        <f t="shared" si="138"/>
        <v>2627267</v>
      </c>
      <c r="D572" s="925">
        <f t="shared" si="137"/>
        <v>2436436</v>
      </c>
      <c r="E572" s="929">
        <v>0</v>
      </c>
      <c r="F572" s="925">
        <v>1509591</v>
      </c>
      <c r="G572" s="925">
        <v>0</v>
      </c>
      <c r="H572" s="925">
        <v>0</v>
      </c>
      <c r="I572" s="925">
        <v>926845</v>
      </c>
      <c r="J572" s="925">
        <v>0</v>
      </c>
      <c r="K572" s="861">
        <v>0</v>
      </c>
      <c r="L572" s="929">
        <v>0</v>
      </c>
      <c r="M572" s="925">
        <v>0</v>
      </c>
      <c r="N572" s="925">
        <v>0</v>
      </c>
      <c r="O572" s="929">
        <v>0</v>
      </c>
      <c r="P572" s="925">
        <v>0</v>
      </c>
      <c r="Q572" s="925">
        <v>0</v>
      </c>
      <c r="R572" s="925">
        <v>0</v>
      </c>
      <c r="S572" s="925">
        <v>0</v>
      </c>
      <c r="T572" s="925">
        <v>0</v>
      </c>
      <c r="U572" s="925">
        <v>0</v>
      </c>
      <c r="V572" s="929">
        <v>0</v>
      </c>
      <c r="W572" s="925">
        <v>0</v>
      </c>
      <c r="X572" s="925">
        <v>0</v>
      </c>
      <c r="Y572" s="925">
        <v>0</v>
      </c>
      <c r="Z572" s="921">
        <v>190831</v>
      </c>
      <c r="AA572" s="929">
        <v>0</v>
      </c>
    </row>
    <row r="573" spans="1:27" s="867" customFormat="1" ht="102.75" customHeight="1">
      <c r="A573" s="927">
        <v>74</v>
      </c>
      <c r="B573" s="868" t="s">
        <v>1698</v>
      </c>
      <c r="C573" s="925">
        <f t="shared" si="138"/>
        <v>193341</v>
      </c>
      <c r="D573" s="925">
        <f t="shared" si="137"/>
        <v>179297.71</v>
      </c>
      <c r="E573" s="929">
        <v>0</v>
      </c>
      <c r="F573" s="925">
        <v>0</v>
      </c>
      <c r="G573" s="925">
        <v>0</v>
      </c>
      <c r="H573" s="925">
        <v>179297.71</v>
      </c>
      <c r="I573" s="925">
        <v>0</v>
      </c>
      <c r="J573" s="925">
        <v>0</v>
      </c>
      <c r="K573" s="861">
        <v>0</v>
      </c>
      <c r="L573" s="929">
        <v>0</v>
      </c>
      <c r="M573" s="925">
        <v>0</v>
      </c>
      <c r="N573" s="925">
        <v>0</v>
      </c>
      <c r="O573" s="929">
        <v>0</v>
      </c>
      <c r="P573" s="925">
        <v>0</v>
      </c>
      <c r="Q573" s="925">
        <v>0</v>
      </c>
      <c r="R573" s="925">
        <v>0</v>
      </c>
      <c r="S573" s="925">
        <v>0</v>
      </c>
      <c r="T573" s="925">
        <v>0</v>
      </c>
      <c r="U573" s="925">
        <v>0</v>
      </c>
      <c r="V573" s="929">
        <v>0</v>
      </c>
      <c r="W573" s="925">
        <v>0</v>
      </c>
      <c r="X573" s="925">
        <v>0</v>
      </c>
      <c r="Y573" s="925">
        <v>0</v>
      </c>
      <c r="Z573" s="921">
        <v>14043.29</v>
      </c>
      <c r="AA573" s="929">
        <v>0</v>
      </c>
    </row>
    <row r="574" spans="1:27" s="867" customFormat="1" ht="102.75" customHeight="1">
      <c r="A574" s="927">
        <v>75</v>
      </c>
      <c r="B574" s="868" t="s">
        <v>1699</v>
      </c>
      <c r="C574" s="925">
        <f t="shared" si="138"/>
        <v>3835417.8000000003</v>
      </c>
      <c r="D574" s="925">
        <f t="shared" si="137"/>
        <v>3556832.89</v>
      </c>
      <c r="E574" s="929">
        <v>3556832.89</v>
      </c>
      <c r="F574" s="925">
        <v>0</v>
      </c>
      <c r="G574" s="925">
        <v>0</v>
      </c>
      <c r="H574" s="925">
        <v>0</v>
      </c>
      <c r="I574" s="925">
        <v>0</v>
      </c>
      <c r="J574" s="925">
        <v>0</v>
      </c>
      <c r="K574" s="861">
        <v>0</v>
      </c>
      <c r="L574" s="929">
        <v>0</v>
      </c>
      <c r="M574" s="925">
        <v>0</v>
      </c>
      <c r="N574" s="925">
        <v>0</v>
      </c>
      <c r="O574" s="929">
        <v>0</v>
      </c>
      <c r="P574" s="925">
        <v>0</v>
      </c>
      <c r="Q574" s="925">
        <v>0</v>
      </c>
      <c r="R574" s="925">
        <v>0</v>
      </c>
      <c r="S574" s="925">
        <v>0</v>
      </c>
      <c r="T574" s="925">
        <v>0</v>
      </c>
      <c r="U574" s="925">
        <v>0</v>
      </c>
      <c r="V574" s="929">
        <v>0</v>
      </c>
      <c r="W574" s="925">
        <v>0</v>
      </c>
      <c r="X574" s="925">
        <v>0</v>
      </c>
      <c r="Y574" s="925">
        <v>0</v>
      </c>
      <c r="Z574" s="921">
        <v>278584.90999999997</v>
      </c>
      <c r="AA574" s="929">
        <v>0</v>
      </c>
    </row>
    <row r="575" spans="1:27" s="867" customFormat="1" ht="102.75" customHeight="1">
      <c r="A575" s="927">
        <v>76</v>
      </c>
      <c r="B575" s="868" t="s">
        <v>1700</v>
      </c>
      <c r="C575" s="925">
        <f t="shared" si="138"/>
        <v>1300391</v>
      </c>
      <c r="D575" s="925">
        <f t="shared" si="137"/>
        <v>0</v>
      </c>
      <c r="E575" s="929">
        <v>0</v>
      </c>
      <c r="F575" s="925">
        <v>0</v>
      </c>
      <c r="G575" s="925">
        <v>0</v>
      </c>
      <c r="H575" s="925">
        <v>0</v>
      </c>
      <c r="I575" s="925">
        <v>0</v>
      </c>
      <c r="J575" s="925">
        <v>0</v>
      </c>
      <c r="K575" s="861">
        <v>0</v>
      </c>
      <c r="L575" s="929">
        <v>0</v>
      </c>
      <c r="M575" s="925">
        <v>0</v>
      </c>
      <c r="N575" s="925">
        <v>0</v>
      </c>
      <c r="O575" s="929">
        <v>0</v>
      </c>
      <c r="P575" s="925">
        <v>0</v>
      </c>
      <c r="Q575" s="925">
        <v>0</v>
      </c>
      <c r="R575" s="925">
        <v>0</v>
      </c>
      <c r="S575" s="925">
        <v>853.25</v>
      </c>
      <c r="T575" s="925">
        <v>1205937.32</v>
      </c>
      <c r="U575" s="925">
        <v>0</v>
      </c>
      <c r="V575" s="929">
        <v>0</v>
      </c>
      <c r="W575" s="925">
        <v>0</v>
      </c>
      <c r="X575" s="925">
        <v>0</v>
      </c>
      <c r="Y575" s="925">
        <v>0</v>
      </c>
      <c r="Z575" s="921">
        <v>94453.68</v>
      </c>
      <c r="AA575" s="929">
        <v>0</v>
      </c>
    </row>
    <row r="576" spans="1:27" s="867" customFormat="1" ht="102.75" customHeight="1">
      <c r="A576" s="927">
        <v>77</v>
      </c>
      <c r="B576" s="868" t="s">
        <v>1701</v>
      </c>
      <c r="C576" s="925">
        <f t="shared" si="138"/>
        <v>7569129.8099999996</v>
      </c>
      <c r="D576" s="925">
        <f t="shared" si="137"/>
        <v>537728.06000000006</v>
      </c>
      <c r="E576" s="929">
        <v>0</v>
      </c>
      <c r="F576" s="925">
        <v>0</v>
      </c>
      <c r="G576" s="925">
        <v>0</v>
      </c>
      <c r="H576" s="925">
        <v>0</v>
      </c>
      <c r="I576" s="925">
        <v>0</v>
      </c>
      <c r="J576" s="925">
        <v>537728.06000000006</v>
      </c>
      <c r="K576" s="861">
        <v>0</v>
      </c>
      <c r="L576" s="929">
        <v>0</v>
      </c>
      <c r="M576" s="925">
        <v>0</v>
      </c>
      <c r="N576" s="925">
        <v>0</v>
      </c>
      <c r="O576" s="929">
        <v>1268</v>
      </c>
      <c r="P576" s="925">
        <v>6702328.0499999998</v>
      </c>
      <c r="Q576" s="925">
        <v>0</v>
      </c>
      <c r="R576" s="925">
        <v>0</v>
      </c>
      <c r="S576" s="925">
        <v>0</v>
      </c>
      <c r="T576" s="925">
        <v>0</v>
      </c>
      <c r="U576" s="925">
        <v>0</v>
      </c>
      <c r="V576" s="929">
        <v>0</v>
      </c>
      <c r="W576" s="925">
        <v>0</v>
      </c>
      <c r="X576" s="925">
        <v>0</v>
      </c>
      <c r="Y576" s="925">
        <v>0</v>
      </c>
      <c r="Z576" s="921">
        <v>329073.7</v>
      </c>
      <c r="AA576" s="929">
        <v>0</v>
      </c>
    </row>
    <row r="577" spans="1:27" s="867" customFormat="1" ht="102.75" customHeight="1">
      <c r="A577" s="927">
        <v>78</v>
      </c>
      <c r="B577" s="868" t="s">
        <v>1702</v>
      </c>
      <c r="C577" s="925">
        <f t="shared" si="138"/>
        <v>16234608.260000002</v>
      </c>
      <c r="D577" s="925">
        <f t="shared" si="137"/>
        <v>15936754.260000002</v>
      </c>
      <c r="E577" s="929">
        <v>0</v>
      </c>
      <c r="F577" s="925">
        <v>0</v>
      </c>
      <c r="G577" s="925">
        <v>0</v>
      </c>
      <c r="H577" s="925">
        <v>11098192.07</v>
      </c>
      <c r="I577" s="925">
        <v>0</v>
      </c>
      <c r="J577" s="925">
        <v>4838562.1900000004</v>
      </c>
      <c r="K577" s="861">
        <v>0</v>
      </c>
      <c r="L577" s="929">
        <v>0</v>
      </c>
      <c r="M577" s="925">
        <v>0</v>
      </c>
      <c r="N577" s="925">
        <v>0</v>
      </c>
      <c r="O577" s="929">
        <v>0</v>
      </c>
      <c r="P577" s="925">
        <v>0</v>
      </c>
      <c r="Q577" s="925">
        <v>0</v>
      </c>
      <c r="R577" s="925">
        <v>0</v>
      </c>
      <c r="S577" s="925">
        <v>0</v>
      </c>
      <c r="T577" s="925">
        <v>0</v>
      </c>
      <c r="U577" s="925">
        <v>0</v>
      </c>
      <c r="V577" s="929">
        <v>0</v>
      </c>
      <c r="W577" s="925">
        <v>0</v>
      </c>
      <c r="X577" s="925">
        <v>0</v>
      </c>
      <c r="Y577" s="925">
        <v>0</v>
      </c>
      <c r="Z577" s="921">
        <v>297854</v>
      </c>
      <c r="AA577" s="929">
        <v>0</v>
      </c>
    </row>
    <row r="578" spans="1:27" s="867" customFormat="1" ht="102.75" customHeight="1">
      <c r="A578" s="927">
        <v>79</v>
      </c>
      <c r="B578" s="868" t="s">
        <v>1665</v>
      </c>
      <c r="C578" s="925">
        <f t="shared" si="138"/>
        <v>467928</v>
      </c>
      <c r="D578" s="925">
        <f t="shared" si="137"/>
        <v>0</v>
      </c>
      <c r="E578" s="929">
        <v>0</v>
      </c>
      <c r="F578" s="925">
        <v>0</v>
      </c>
      <c r="G578" s="925">
        <v>0</v>
      </c>
      <c r="H578" s="925">
        <v>0</v>
      </c>
      <c r="I578" s="925">
        <v>0</v>
      </c>
      <c r="J578" s="925">
        <v>0</v>
      </c>
      <c r="K578" s="861">
        <v>0</v>
      </c>
      <c r="L578" s="929">
        <v>0</v>
      </c>
      <c r="M578" s="925">
        <v>0</v>
      </c>
      <c r="N578" s="925">
        <v>0</v>
      </c>
      <c r="O578" s="929">
        <v>0</v>
      </c>
      <c r="P578" s="925">
        <v>0</v>
      </c>
      <c r="Q578" s="925">
        <v>0</v>
      </c>
      <c r="R578" s="925">
        <v>0</v>
      </c>
      <c r="S578" s="925">
        <v>294.7</v>
      </c>
      <c r="T578" s="925">
        <v>433248.3</v>
      </c>
      <c r="U578" s="925">
        <v>0</v>
      </c>
      <c r="V578" s="929">
        <v>0</v>
      </c>
      <c r="W578" s="925">
        <v>0</v>
      </c>
      <c r="X578" s="925">
        <v>0</v>
      </c>
      <c r="Y578" s="925">
        <v>0</v>
      </c>
      <c r="Z578" s="921">
        <v>34679.699999999997</v>
      </c>
      <c r="AA578" s="929">
        <v>0</v>
      </c>
    </row>
    <row r="579" spans="1:27" s="867" customFormat="1" ht="102.75" customHeight="1">
      <c r="A579" s="927">
        <v>80</v>
      </c>
      <c r="B579" s="868" t="s">
        <v>1703</v>
      </c>
      <c r="C579" s="925">
        <f t="shared" si="138"/>
        <v>720823</v>
      </c>
      <c r="D579" s="925">
        <f t="shared" si="137"/>
        <v>0</v>
      </c>
      <c r="E579" s="929">
        <v>0</v>
      </c>
      <c r="F579" s="925">
        <v>0</v>
      </c>
      <c r="G579" s="925">
        <v>0</v>
      </c>
      <c r="H579" s="925">
        <v>0</v>
      </c>
      <c r="I579" s="925">
        <v>0</v>
      </c>
      <c r="J579" s="925">
        <v>0</v>
      </c>
      <c r="K579" s="861">
        <v>0</v>
      </c>
      <c r="L579" s="929">
        <v>0</v>
      </c>
      <c r="M579" s="925">
        <v>0</v>
      </c>
      <c r="N579" s="925">
        <v>0</v>
      </c>
      <c r="O579" s="929">
        <v>0</v>
      </c>
      <c r="P579" s="925">
        <v>0</v>
      </c>
      <c r="Q579" s="925">
        <v>0</v>
      </c>
      <c r="R579" s="925">
        <v>0</v>
      </c>
      <c r="S579" s="925">
        <v>469.8</v>
      </c>
      <c r="T579" s="925">
        <v>668466.14</v>
      </c>
      <c r="U579" s="925">
        <v>0</v>
      </c>
      <c r="V579" s="929">
        <v>0</v>
      </c>
      <c r="W579" s="925">
        <v>0</v>
      </c>
      <c r="X579" s="925">
        <v>0</v>
      </c>
      <c r="Y579" s="925">
        <v>0</v>
      </c>
      <c r="Z579" s="921">
        <v>52356.86</v>
      </c>
      <c r="AA579" s="929">
        <v>0</v>
      </c>
    </row>
    <row r="580" spans="1:27" s="867" customFormat="1" ht="102.75" customHeight="1">
      <c r="A580" s="927">
        <v>81</v>
      </c>
      <c r="B580" s="868" t="s">
        <v>1704</v>
      </c>
      <c r="C580" s="925">
        <f t="shared" si="138"/>
        <v>691750</v>
      </c>
      <c r="D580" s="925">
        <f t="shared" si="137"/>
        <v>641504.86</v>
      </c>
      <c r="E580" s="929">
        <v>0</v>
      </c>
      <c r="F580" s="925">
        <v>0</v>
      </c>
      <c r="G580" s="925">
        <v>0</v>
      </c>
      <c r="H580" s="925">
        <v>390239.9</v>
      </c>
      <c r="I580" s="925">
        <v>0</v>
      </c>
      <c r="J580" s="925">
        <v>251264.96</v>
      </c>
      <c r="K580" s="861">
        <v>0</v>
      </c>
      <c r="L580" s="929">
        <v>0</v>
      </c>
      <c r="M580" s="925">
        <v>0</v>
      </c>
      <c r="N580" s="925">
        <v>0</v>
      </c>
      <c r="O580" s="929">
        <v>0</v>
      </c>
      <c r="P580" s="925">
        <v>0</v>
      </c>
      <c r="Q580" s="925">
        <v>0</v>
      </c>
      <c r="R580" s="925">
        <v>0</v>
      </c>
      <c r="S580" s="925">
        <v>0</v>
      </c>
      <c r="T580" s="925">
        <v>0</v>
      </c>
      <c r="U580" s="925">
        <v>0</v>
      </c>
      <c r="V580" s="929">
        <v>0</v>
      </c>
      <c r="W580" s="925">
        <v>0</v>
      </c>
      <c r="X580" s="925">
        <v>0</v>
      </c>
      <c r="Y580" s="925">
        <v>0</v>
      </c>
      <c r="Z580" s="921">
        <v>50245.14</v>
      </c>
      <c r="AA580" s="929">
        <v>0</v>
      </c>
    </row>
    <row r="581" spans="1:27" s="867" customFormat="1" ht="102.75" customHeight="1">
      <c r="A581" s="927">
        <v>82</v>
      </c>
      <c r="B581" s="868" t="s">
        <v>2210</v>
      </c>
      <c r="C581" s="925">
        <f t="shared" si="138"/>
        <v>1443400</v>
      </c>
      <c r="D581" s="925">
        <f t="shared" si="137"/>
        <v>1338558.8899999999</v>
      </c>
      <c r="E581" s="929">
        <v>0</v>
      </c>
      <c r="F581" s="925">
        <v>0</v>
      </c>
      <c r="G581" s="925">
        <v>0</v>
      </c>
      <c r="H581" s="925">
        <v>0</v>
      </c>
      <c r="I581" s="925">
        <v>0</v>
      </c>
      <c r="J581" s="925">
        <v>1338558.8899999999</v>
      </c>
      <c r="K581" s="861">
        <v>0</v>
      </c>
      <c r="L581" s="929">
        <v>0</v>
      </c>
      <c r="M581" s="925">
        <v>0</v>
      </c>
      <c r="N581" s="925">
        <v>0</v>
      </c>
      <c r="O581" s="929">
        <v>0</v>
      </c>
      <c r="P581" s="925">
        <v>0</v>
      </c>
      <c r="Q581" s="925">
        <v>0</v>
      </c>
      <c r="R581" s="925">
        <v>0</v>
      </c>
      <c r="S581" s="925">
        <v>0</v>
      </c>
      <c r="T581" s="925">
        <v>0</v>
      </c>
      <c r="U581" s="925">
        <v>0</v>
      </c>
      <c r="V581" s="929">
        <v>0</v>
      </c>
      <c r="W581" s="925">
        <v>0</v>
      </c>
      <c r="X581" s="925">
        <v>0</v>
      </c>
      <c r="Y581" s="925">
        <v>0</v>
      </c>
      <c r="Z581" s="921">
        <v>104841.11</v>
      </c>
      <c r="AA581" s="929">
        <v>0</v>
      </c>
    </row>
    <row r="582" spans="1:27" s="867" customFormat="1" ht="102.75" customHeight="1">
      <c r="A582" s="927">
        <v>83</v>
      </c>
      <c r="B582" s="868" t="s">
        <v>1706</v>
      </c>
      <c r="C582" s="925">
        <f t="shared" si="138"/>
        <v>1194865</v>
      </c>
      <c r="D582" s="925">
        <f t="shared" si="137"/>
        <v>0</v>
      </c>
      <c r="E582" s="929">
        <v>0</v>
      </c>
      <c r="F582" s="925">
        <v>0</v>
      </c>
      <c r="G582" s="925">
        <v>0</v>
      </c>
      <c r="H582" s="925">
        <v>0</v>
      </c>
      <c r="I582" s="925">
        <v>0</v>
      </c>
      <c r="J582" s="925">
        <v>0</v>
      </c>
      <c r="K582" s="861">
        <v>0</v>
      </c>
      <c r="L582" s="929">
        <v>0</v>
      </c>
      <c r="M582" s="925">
        <v>0</v>
      </c>
      <c r="N582" s="925">
        <v>0</v>
      </c>
      <c r="O582" s="929">
        <v>0</v>
      </c>
      <c r="P582" s="929">
        <v>0</v>
      </c>
      <c r="Q582" s="925">
        <v>820</v>
      </c>
      <c r="R582" s="925">
        <v>1108076</v>
      </c>
      <c r="S582" s="925">
        <v>0</v>
      </c>
      <c r="T582" s="925">
        <v>0</v>
      </c>
      <c r="U582" s="925">
        <v>0</v>
      </c>
      <c r="V582" s="929">
        <v>0</v>
      </c>
      <c r="W582" s="925">
        <v>0</v>
      </c>
      <c r="X582" s="925">
        <v>0</v>
      </c>
      <c r="Y582" s="925">
        <v>0</v>
      </c>
      <c r="Z582" s="921">
        <v>86789</v>
      </c>
      <c r="AA582" s="929">
        <v>0</v>
      </c>
    </row>
    <row r="583" spans="1:27" s="867" customFormat="1" ht="102.75" customHeight="1">
      <c r="A583" s="927">
        <v>84</v>
      </c>
      <c r="B583" s="868" t="s">
        <v>2211</v>
      </c>
      <c r="C583" s="925">
        <f t="shared" si="138"/>
        <v>483674</v>
      </c>
      <c r="D583" s="925">
        <f t="shared" si="137"/>
        <v>448542</v>
      </c>
      <c r="E583" s="929">
        <v>0</v>
      </c>
      <c r="F583" s="925">
        <v>448542</v>
      </c>
      <c r="G583" s="925">
        <v>0</v>
      </c>
      <c r="H583" s="925">
        <v>0</v>
      </c>
      <c r="I583" s="925">
        <v>0</v>
      </c>
      <c r="J583" s="925">
        <v>0</v>
      </c>
      <c r="K583" s="861">
        <v>0</v>
      </c>
      <c r="L583" s="929">
        <v>0</v>
      </c>
      <c r="M583" s="925">
        <v>0</v>
      </c>
      <c r="N583" s="925">
        <v>0</v>
      </c>
      <c r="O583" s="929">
        <v>0</v>
      </c>
      <c r="P583" s="929">
        <v>0</v>
      </c>
      <c r="Q583" s="925">
        <v>0</v>
      </c>
      <c r="R583" s="925">
        <v>0</v>
      </c>
      <c r="S583" s="925">
        <v>0</v>
      </c>
      <c r="T583" s="925">
        <v>0</v>
      </c>
      <c r="U583" s="925">
        <v>0</v>
      </c>
      <c r="V583" s="929">
        <v>0</v>
      </c>
      <c r="W583" s="925">
        <v>0</v>
      </c>
      <c r="X583" s="925">
        <v>0</v>
      </c>
      <c r="Y583" s="925">
        <v>0</v>
      </c>
      <c r="Z583" s="921">
        <v>35132</v>
      </c>
      <c r="AA583" s="929">
        <v>0</v>
      </c>
    </row>
    <row r="584" spans="1:27" s="867" customFormat="1" ht="102.75" customHeight="1">
      <c r="A584" s="927">
        <v>85</v>
      </c>
      <c r="B584" s="868" t="s">
        <v>2212</v>
      </c>
      <c r="C584" s="925">
        <f t="shared" si="138"/>
        <v>2368102.7200000002</v>
      </c>
      <c r="D584" s="925">
        <f t="shared" si="137"/>
        <v>2268829.48</v>
      </c>
      <c r="E584" s="929">
        <v>0</v>
      </c>
      <c r="F584" s="925">
        <v>0</v>
      </c>
      <c r="G584" s="925">
        <v>0</v>
      </c>
      <c r="H584" s="925">
        <v>1579989.56</v>
      </c>
      <c r="I584" s="925">
        <v>0</v>
      </c>
      <c r="J584" s="925">
        <v>688839.92</v>
      </c>
      <c r="K584" s="861">
        <v>0</v>
      </c>
      <c r="L584" s="929">
        <v>0</v>
      </c>
      <c r="M584" s="925">
        <v>0</v>
      </c>
      <c r="N584" s="925">
        <v>0</v>
      </c>
      <c r="O584" s="929">
        <v>0</v>
      </c>
      <c r="P584" s="929">
        <v>0</v>
      </c>
      <c r="Q584" s="925">
        <v>0</v>
      </c>
      <c r="R584" s="925">
        <v>0</v>
      </c>
      <c r="S584" s="925">
        <v>0</v>
      </c>
      <c r="T584" s="925">
        <v>0</v>
      </c>
      <c r="U584" s="925">
        <v>0</v>
      </c>
      <c r="V584" s="929">
        <v>0</v>
      </c>
      <c r="W584" s="925">
        <v>0</v>
      </c>
      <c r="X584" s="925">
        <v>0</v>
      </c>
      <c r="Y584" s="925">
        <v>0</v>
      </c>
      <c r="Z584" s="921">
        <v>99273.24</v>
      </c>
      <c r="AA584" s="929">
        <v>0</v>
      </c>
    </row>
    <row r="585" spans="1:27" s="867" customFormat="1" ht="102.75" customHeight="1">
      <c r="A585" s="927">
        <v>86</v>
      </c>
      <c r="B585" s="868" t="s">
        <v>1679</v>
      </c>
      <c r="C585" s="925">
        <f t="shared" si="138"/>
        <v>72530</v>
      </c>
      <c r="D585" s="925">
        <f t="shared" si="137"/>
        <v>0</v>
      </c>
      <c r="E585" s="929">
        <v>0</v>
      </c>
      <c r="F585" s="929">
        <v>0</v>
      </c>
      <c r="G585" s="929">
        <v>0</v>
      </c>
      <c r="H585" s="929">
        <v>0</v>
      </c>
      <c r="I585" s="929">
        <v>0</v>
      </c>
      <c r="J585" s="929">
        <v>0</v>
      </c>
      <c r="K585" s="862">
        <v>0</v>
      </c>
      <c r="L585" s="929">
        <v>0</v>
      </c>
      <c r="M585" s="929">
        <v>0</v>
      </c>
      <c r="N585" s="929">
        <v>0</v>
      </c>
      <c r="O585" s="929">
        <v>0</v>
      </c>
      <c r="P585" s="925">
        <v>0</v>
      </c>
      <c r="Q585" s="929">
        <v>0</v>
      </c>
      <c r="R585" s="929">
        <v>0</v>
      </c>
      <c r="S585" s="929">
        <v>0</v>
      </c>
      <c r="T585" s="925">
        <v>0</v>
      </c>
      <c r="U585" s="929">
        <v>0</v>
      </c>
      <c r="V585" s="929">
        <v>0</v>
      </c>
      <c r="W585" s="929"/>
      <c r="X585" s="925"/>
      <c r="Y585" s="887">
        <v>0</v>
      </c>
      <c r="Z585" s="864">
        <v>72530</v>
      </c>
      <c r="AA585" s="929">
        <v>0</v>
      </c>
    </row>
    <row r="586" spans="1:27" s="867" customFormat="1" ht="102.75" customHeight="1">
      <c r="A586" s="927">
        <v>87</v>
      </c>
      <c r="B586" s="868" t="s">
        <v>1709</v>
      </c>
      <c r="C586" s="925">
        <f t="shared" si="138"/>
        <v>454777</v>
      </c>
      <c r="D586" s="925">
        <f t="shared" si="137"/>
        <v>0</v>
      </c>
      <c r="E586" s="929">
        <v>0</v>
      </c>
      <c r="F586" s="925">
        <v>0</v>
      </c>
      <c r="G586" s="929">
        <v>0</v>
      </c>
      <c r="H586" s="929">
        <v>0</v>
      </c>
      <c r="I586" s="925">
        <v>0</v>
      </c>
      <c r="J586" s="925">
        <v>0</v>
      </c>
      <c r="K586" s="862">
        <v>0</v>
      </c>
      <c r="L586" s="929">
        <v>0</v>
      </c>
      <c r="M586" s="929">
        <v>0</v>
      </c>
      <c r="N586" s="925">
        <v>0</v>
      </c>
      <c r="O586" s="929">
        <v>114</v>
      </c>
      <c r="P586" s="925">
        <v>421744</v>
      </c>
      <c r="Q586" s="929">
        <v>0</v>
      </c>
      <c r="R586" s="925">
        <v>0</v>
      </c>
      <c r="S586" s="929">
        <v>0</v>
      </c>
      <c r="T586" s="925">
        <v>0</v>
      </c>
      <c r="U586" s="929">
        <v>0</v>
      </c>
      <c r="V586" s="929">
        <v>0</v>
      </c>
      <c r="W586" s="929">
        <v>0</v>
      </c>
      <c r="X586" s="929">
        <v>0</v>
      </c>
      <c r="Y586" s="929">
        <v>0</v>
      </c>
      <c r="Z586" s="864">
        <v>33033</v>
      </c>
      <c r="AA586" s="929">
        <v>0</v>
      </c>
    </row>
    <row r="587" spans="1:27" s="867" customFormat="1" ht="102.75" customHeight="1">
      <c r="A587" s="927">
        <v>88</v>
      </c>
      <c r="B587" s="868" t="s">
        <v>1710</v>
      </c>
      <c r="C587" s="925">
        <f t="shared" si="138"/>
        <v>372974</v>
      </c>
      <c r="D587" s="925">
        <f t="shared" si="137"/>
        <v>345883</v>
      </c>
      <c r="E587" s="929"/>
      <c r="F587" s="929"/>
      <c r="G587" s="929">
        <v>345883</v>
      </c>
      <c r="H587" s="929"/>
      <c r="I587" s="929"/>
      <c r="J587" s="929"/>
      <c r="K587" s="862">
        <v>0</v>
      </c>
      <c r="L587" s="929">
        <v>0</v>
      </c>
      <c r="M587" s="929">
        <v>0</v>
      </c>
      <c r="N587" s="925">
        <v>0</v>
      </c>
      <c r="O587" s="929">
        <v>0</v>
      </c>
      <c r="P587" s="925">
        <v>0</v>
      </c>
      <c r="Q587" s="929">
        <v>0</v>
      </c>
      <c r="R587" s="929">
        <v>0</v>
      </c>
      <c r="S587" s="929">
        <v>0</v>
      </c>
      <c r="T587" s="929">
        <v>0</v>
      </c>
      <c r="U587" s="929">
        <v>0</v>
      </c>
      <c r="V587" s="929">
        <v>0</v>
      </c>
      <c r="W587" s="929">
        <v>0</v>
      </c>
      <c r="X587" s="929">
        <v>0</v>
      </c>
      <c r="Y587" s="929">
        <v>0</v>
      </c>
      <c r="Z587" s="864">
        <v>27091</v>
      </c>
      <c r="AA587" s="929">
        <v>0</v>
      </c>
    </row>
    <row r="588" spans="1:27" s="867" customFormat="1" ht="102.75" customHeight="1">
      <c r="A588" s="927">
        <v>89</v>
      </c>
      <c r="B588" s="868" t="s">
        <v>1711</v>
      </c>
      <c r="C588" s="925">
        <f t="shared" si="138"/>
        <v>243748</v>
      </c>
      <c r="D588" s="925">
        <f t="shared" si="137"/>
        <v>226043</v>
      </c>
      <c r="E588" s="929">
        <v>0</v>
      </c>
      <c r="F588" s="929">
        <v>0</v>
      </c>
      <c r="G588" s="929">
        <v>226043</v>
      </c>
      <c r="H588" s="929">
        <v>0</v>
      </c>
      <c r="I588" s="929">
        <v>0</v>
      </c>
      <c r="J588" s="929">
        <v>0</v>
      </c>
      <c r="K588" s="862">
        <v>0</v>
      </c>
      <c r="L588" s="929">
        <v>0</v>
      </c>
      <c r="M588" s="929">
        <v>0</v>
      </c>
      <c r="N588" s="925">
        <v>0</v>
      </c>
      <c r="O588" s="929">
        <v>0</v>
      </c>
      <c r="P588" s="925">
        <v>0</v>
      </c>
      <c r="Q588" s="925">
        <v>0</v>
      </c>
      <c r="R588" s="925">
        <v>0</v>
      </c>
      <c r="S588" s="929">
        <v>0</v>
      </c>
      <c r="T588" s="925">
        <v>0</v>
      </c>
      <c r="U588" s="925">
        <v>0</v>
      </c>
      <c r="V588" s="929">
        <v>0</v>
      </c>
      <c r="W588" s="925">
        <v>0</v>
      </c>
      <c r="X588" s="929">
        <v>0</v>
      </c>
      <c r="Y588" s="925">
        <v>0</v>
      </c>
      <c r="Z588" s="864">
        <v>17705</v>
      </c>
      <c r="AA588" s="929">
        <v>0</v>
      </c>
    </row>
    <row r="589" spans="1:27" s="875" customFormat="1" ht="102.75" customHeight="1">
      <c r="A589" s="927">
        <v>90</v>
      </c>
      <c r="B589" s="868" t="s">
        <v>1712</v>
      </c>
      <c r="C589" s="925">
        <f t="shared" si="138"/>
        <v>6420744.0499999998</v>
      </c>
      <c r="D589" s="925">
        <f t="shared" ref="D589:D613" si="139">SUM(E589:J589)</f>
        <v>2303006.5099999998</v>
      </c>
      <c r="E589" s="929">
        <v>0</v>
      </c>
      <c r="F589" s="929">
        <v>1406791.38</v>
      </c>
      <c r="G589" s="929">
        <v>183048</v>
      </c>
      <c r="H589" s="929">
        <v>261721</v>
      </c>
      <c r="I589" s="929">
        <v>0</v>
      </c>
      <c r="J589" s="929">
        <v>451446.13</v>
      </c>
      <c r="K589" s="862">
        <v>0</v>
      </c>
      <c r="L589" s="929">
        <v>0</v>
      </c>
      <c r="M589" s="929">
        <v>0</v>
      </c>
      <c r="N589" s="925">
        <v>0</v>
      </c>
      <c r="O589" s="929">
        <v>545.20000000000005</v>
      </c>
      <c r="P589" s="925">
        <v>3697041.87</v>
      </c>
      <c r="Q589" s="929">
        <v>0</v>
      </c>
      <c r="R589" s="925">
        <v>0</v>
      </c>
      <c r="S589" s="929">
        <v>0</v>
      </c>
      <c r="T589" s="925">
        <v>0</v>
      </c>
      <c r="U589" s="929">
        <v>0</v>
      </c>
      <c r="V589" s="925">
        <v>0</v>
      </c>
      <c r="W589" s="929">
        <v>0</v>
      </c>
      <c r="X589" s="929">
        <v>0</v>
      </c>
      <c r="Y589" s="929">
        <v>0</v>
      </c>
      <c r="Z589" s="864">
        <v>420695.67000000004</v>
      </c>
      <c r="AA589" s="929">
        <v>0</v>
      </c>
    </row>
    <row r="590" spans="1:27" s="875" customFormat="1" ht="102.75" customHeight="1">
      <c r="A590" s="927">
        <v>91</v>
      </c>
      <c r="B590" s="868" t="s">
        <v>1713</v>
      </c>
      <c r="C590" s="925">
        <f t="shared" si="138"/>
        <v>405378</v>
      </c>
      <c r="D590" s="925">
        <f t="shared" si="139"/>
        <v>375934</v>
      </c>
      <c r="E590" s="929">
        <v>67061</v>
      </c>
      <c r="F590" s="929">
        <v>127023</v>
      </c>
      <c r="G590" s="929">
        <v>54546</v>
      </c>
      <c r="H590" s="929">
        <v>77989</v>
      </c>
      <c r="I590" s="929">
        <v>0</v>
      </c>
      <c r="J590" s="929">
        <v>49315</v>
      </c>
      <c r="K590" s="862">
        <v>0</v>
      </c>
      <c r="L590" s="929">
        <v>0</v>
      </c>
      <c r="M590" s="929">
        <v>0</v>
      </c>
      <c r="N590" s="925">
        <v>0</v>
      </c>
      <c r="O590" s="929">
        <v>0</v>
      </c>
      <c r="P590" s="925">
        <v>0</v>
      </c>
      <c r="Q590" s="929">
        <v>0</v>
      </c>
      <c r="R590" s="925">
        <v>0</v>
      </c>
      <c r="S590" s="929">
        <v>0</v>
      </c>
      <c r="T590" s="925">
        <v>0</v>
      </c>
      <c r="U590" s="929">
        <v>0</v>
      </c>
      <c r="V590" s="929">
        <v>0</v>
      </c>
      <c r="W590" s="929">
        <v>0</v>
      </c>
      <c r="X590" s="929">
        <v>0</v>
      </c>
      <c r="Y590" s="929">
        <v>0</v>
      </c>
      <c r="Z590" s="864">
        <v>29444</v>
      </c>
      <c r="AA590" s="929">
        <v>0</v>
      </c>
    </row>
    <row r="591" spans="1:27" s="875" customFormat="1" ht="141.75" customHeight="1">
      <c r="A591" s="927">
        <v>92</v>
      </c>
      <c r="B591" s="868" t="s">
        <v>1714</v>
      </c>
      <c r="C591" s="925">
        <f t="shared" si="138"/>
        <v>278635</v>
      </c>
      <c r="D591" s="925">
        <f t="shared" si="139"/>
        <v>258396</v>
      </c>
      <c r="E591" s="929">
        <v>0</v>
      </c>
      <c r="F591" s="929">
        <v>0</v>
      </c>
      <c r="G591" s="929">
        <v>258396</v>
      </c>
      <c r="H591" s="929">
        <v>0</v>
      </c>
      <c r="I591" s="929">
        <v>0</v>
      </c>
      <c r="J591" s="929">
        <v>0</v>
      </c>
      <c r="K591" s="862">
        <v>0</v>
      </c>
      <c r="L591" s="929">
        <v>0</v>
      </c>
      <c r="M591" s="929">
        <v>0</v>
      </c>
      <c r="N591" s="925">
        <v>0</v>
      </c>
      <c r="O591" s="929">
        <v>0</v>
      </c>
      <c r="P591" s="925">
        <v>0</v>
      </c>
      <c r="Q591" s="929">
        <v>0</v>
      </c>
      <c r="R591" s="925">
        <v>0</v>
      </c>
      <c r="S591" s="929">
        <v>0</v>
      </c>
      <c r="T591" s="925">
        <v>0</v>
      </c>
      <c r="U591" s="929">
        <v>0</v>
      </c>
      <c r="V591" s="929">
        <v>0</v>
      </c>
      <c r="W591" s="929">
        <v>0</v>
      </c>
      <c r="X591" s="929">
        <v>0</v>
      </c>
      <c r="Y591" s="929">
        <v>0</v>
      </c>
      <c r="Z591" s="864">
        <v>20239</v>
      </c>
      <c r="AA591" s="929">
        <v>0</v>
      </c>
    </row>
    <row r="592" spans="1:27" s="867" customFormat="1" ht="141.75" customHeight="1">
      <c r="A592" s="927">
        <v>93</v>
      </c>
      <c r="B592" s="868" t="s">
        <v>1715</v>
      </c>
      <c r="C592" s="925">
        <f t="shared" si="138"/>
        <v>283306</v>
      </c>
      <c r="D592" s="925">
        <f t="shared" si="139"/>
        <v>262728</v>
      </c>
      <c r="E592" s="929">
        <v>0</v>
      </c>
      <c r="F592" s="929">
        <v>0</v>
      </c>
      <c r="G592" s="929">
        <v>262728</v>
      </c>
      <c r="H592" s="929">
        <v>0</v>
      </c>
      <c r="I592" s="929">
        <v>0</v>
      </c>
      <c r="J592" s="929">
        <v>0</v>
      </c>
      <c r="K592" s="862">
        <v>0</v>
      </c>
      <c r="L592" s="929">
        <v>0</v>
      </c>
      <c r="M592" s="929">
        <v>0</v>
      </c>
      <c r="N592" s="925">
        <v>0</v>
      </c>
      <c r="O592" s="925">
        <v>0</v>
      </c>
      <c r="P592" s="925">
        <v>0</v>
      </c>
      <c r="Q592" s="925">
        <v>0</v>
      </c>
      <c r="R592" s="925">
        <v>0</v>
      </c>
      <c r="S592" s="925">
        <v>0</v>
      </c>
      <c r="T592" s="925">
        <v>0</v>
      </c>
      <c r="U592" s="925">
        <v>0</v>
      </c>
      <c r="V592" s="929">
        <v>0</v>
      </c>
      <c r="W592" s="925">
        <v>0</v>
      </c>
      <c r="X592" s="929">
        <v>0</v>
      </c>
      <c r="Y592" s="925">
        <v>0</v>
      </c>
      <c r="Z592" s="864">
        <v>20578</v>
      </c>
      <c r="AA592" s="929">
        <v>0</v>
      </c>
    </row>
    <row r="593" spans="1:27" s="867" customFormat="1" ht="102.75" customHeight="1">
      <c r="A593" s="927">
        <v>94</v>
      </c>
      <c r="B593" s="868" t="s">
        <v>1716</v>
      </c>
      <c r="C593" s="925">
        <f t="shared" si="138"/>
        <v>569891</v>
      </c>
      <c r="D593" s="925">
        <f t="shared" si="139"/>
        <v>528497</v>
      </c>
      <c r="E593" s="929">
        <v>0</v>
      </c>
      <c r="F593" s="929">
        <v>0</v>
      </c>
      <c r="G593" s="929">
        <v>528497</v>
      </c>
      <c r="H593" s="929">
        <v>0</v>
      </c>
      <c r="I593" s="929">
        <v>0</v>
      </c>
      <c r="J593" s="929">
        <v>0</v>
      </c>
      <c r="K593" s="862">
        <v>0</v>
      </c>
      <c r="L593" s="929">
        <v>0</v>
      </c>
      <c r="M593" s="929">
        <v>0</v>
      </c>
      <c r="N593" s="925">
        <v>0</v>
      </c>
      <c r="O593" s="929">
        <v>0</v>
      </c>
      <c r="P593" s="925">
        <v>0</v>
      </c>
      <c r="Q593" s="929">
        <v>0</v>
      </c>
      <c r="R593" s="925">
        <v>0</v>
      </c>
      <c r="S593" s="929">
        <v>0</v>
      </c>
      <c r="T593" s="925">
        <v>0</v>
      </c>
      <c r="U593" s="929">
        <v>0</v>
      </c>
      <c r="V593" s="929">
        <v>0</v>
      </c>
      <c r="W593" s="929">
        <v>0</v>
      </c>
      <c r="X593" s="929">
        <v>0</v>
      </c>
      <c r="Y593" s="929">
        <v>0</v>
      </c>
      <c r="Z593" s="864">
        <v>41394</v>
      </c>
      <c r="AA593" s="929">
        <v>0</v>
      </c>
    </row>
    <row r="594" spans="1:27" s="867" customFormat="1" ht="102.75" customHeight="1">
      <c r="A594" s="927">
        <v>95</v>
      </c>
      <c r="B594" s="868" t="s">
        <v>1717</v>
      </c>
      <c r="C594" s="925">
        <f t="shared" si="138"/>
        <v>1376298</v>
      </c>
      <c r="D594" s="925">
        <f t="shared" si="139"/>
        <v>0</v>
      </c>
      <c r="E594" s="929">
        <v>0</v>
      </c>
      <c r="F594" s="929">
        <v>0</v>
      </c>
      <c r="G594" s="929">
        <v>0</v>
      </c>
      <c r="H594" s="929">
        <v>0</v>
      </c>
      <c r="I594" s="929">
        <v>0</v>
      </c>
      <c r="J594" s="929">
        <v>0</v>
      </c>
      <c r="K594" s="862">
        <v>0</v>
      </c>
      <c r="L594" s="929">
        <v>0</v>
      </c>
      <c r="M594" s="929">
        <v>0</v>
      </c>
      <c r="N594" s="925">
        <v>0</v>
      </c>
      <c r="O594" s="929">
        <v>1087</v>
      </c>
      <c r="P594" s="925">
        <v>1276331</v>
      </c>
      <c r="Q594" s="929">
        <v>0</v>
      </c>
      <c r="R594" s="925">
        <v>0</v>
      </c>
      <c r="S594" s="929">
        <v>0</v>
      </c>
      <c r="T594" s="925">
        <v>0</v>
      </c>
      <c r="U594" s="929">
        <v>0</v>
      </c>
      <c r="V594" s="929">
        <v>0</v>
      </c>
      <c r="W594" s="929">
        <v>0</v>
      </c>
      <c r="X594" s="929">
        <v>0</v>
      </c>
      <c r="Y594" s="929">
        <v>0</v>
      </c>
      <c r="Z594" s="864">
        <v>99967</v>
      </c>
      <c r="AA594" s="929">
        <v>0</v>
      </c>
    </row>
    <row r="595" spans="1:27" s="867" customFormat="1" ht="102.75" customHeight="1">
      <c r="A595" s="927">
        <v>96</v>
      </c>
      <c r="B595" s="868" t="s">
        <v>2213</v>
      </c>
      <c r="C595" s="925">
        <f t="shared" si="138"/>
        <v>1890004</v>
      </c>
      <c r="D595" s="925">
        <f t="shared" si="139"/>
        <v>1546420</v>
      </c>
      <c r="E595" s="929">
        <v>0</v>
      </c>
      <c r="F595" s="925">
        <v>0</v>
      </c>
      <c r="G595" s="929">
        <v>1546420</v>
      </c>
      <c r="H595" s="929">
        <v>0</v>
      </c>
      <c r="I595" s="925">
        <v>0</v>
      </c>
      <c r="J595" s="925">
        <v>0</v>
      </c>
      <c r="K595" s="862">
        <v>0</v>
      </c>
      <c r="L595" s="929">
        <v>0</v>
      </c>
      <c r="M595" s="929">
        <v>0</v>
      </c>
      <c r="N595" s="925">
        <v>0</v>
      </c>
      <c r="O595" s="929">
        <v>0</v>
      </c>
      <c r="P595" s="929">
        <v>0</v>
      </c>
      <c r="Q595" s="929">
        <v>0</v>
      </c>
      <c r="R595" s="925">
        <v>0</v>
      </c>
      <c r="S595" s="929">
        <v>0</v>
      </c>
      <c r="T595" s="925">
        <v>0</v>
      </c>
      <c r="U595" s="929">
        <v>0</v>
      </c>
      <c r="V595" s="929">
        <v>0</v>
      </c>
      <c r="W595" s="929">
        <v>0</v>
      </c>
      <c r="X595" s="929">
        <v>0</v>
      </c>
      <c r="Y595" s="929">
        <v>0</v>
      </c>
      <c r="Z595" s="864">
        <v>343584</v>
      </c>
      <c r="AA595" s="929">
        <v>0</v>
      </c>
    </row>
    <row r="596" spans="1:27" s="867" customFormat="1" ht="102.75" customHeight="1">
      <c r="A596" s="927">
        <v>97</v>
      </c>
      <c r="B596" s="868" t="s">
        <v>1718</v>
      </c>
      <c r="C596" s="925">
        <f t="shared" si="138"/>
        <v>3793797</v>
      </c>
      <c r="D596" s="925">
        <f t="shared" si="139"/>
        <v>0</v>
      </c>
      <c r="E596" s="929">
        <v>0</v>
      </c>
      <c r="F596" s="929">
        <v>0</v>
      </c>
      <c r="G596" s="929">
        <v>0</v>
      </c>
      <c r="H596" s="929">
        <v>0</v>
      </c>
      <c r="I596" s="929">
        <v>0</v>
      </c>
      <c r="J596" s="929">
        <v>0</v>
      </c>
      <c r="K596" s="862">
        <v>0</v>
      </c>
      <c r="L596" s="929">
        <v>0</v>
      </c>
      <c r="M596" s="929">
        <v>0</v>
      </c>
      <c r="N596" s="929">
        <v>0</v>
      </c>
      <c r="O596" s="929">
        <v>951</v>
      </c>
      <c r="P596" s="925">
        <v>3518235</v>
      </c>
      <c r="Q596" s="929">
        <v>0</v>
      </c>
      <c r="R596" s="925">
        <v>0</v>
      </c>
      <c r="S596" s="929">
        <v>0</v>
      </c>
      <c r="T596" s="925">
        <v>0</v>
      </c>
      <c r="U596" s="929">
        <v>0</v>
      </c>
      <c r="V596" s="929">
        <v>0</v>
      </c>
      <c r="W596" s="929">
        <v>0</v>
      </c>
      <c r="X596" s="929">
        <v>0</v>
      </c>
      <c r="Y596" s="929">
        <v>0</v>
      </c>
      <c r="Z596" s="864">
        <v>275562</v>
      </c>
      <c r="AA596" s="929">
        <v>0</v>
      </c>
    </row>
    <row r="597" spans="1:27" s="867" customFormat="1" ht="102.75" customHeight="1">
      <c r="A597" s="927">
        <v>98</v>
      </c>
      <c r="B597" s="868" t="s">
        <v>1719</v>
      </c>
      <c r="C597" s="925">
        <f t="shared" si="138"/>
        <v>1193601</v>
      </c>
      <c r="D597" s="925">
        <f t="shared" si="139"/>
        <v>1106904</v>
      </c>
      <c r="E597" s="929">
        <v>0</v>
      </c>
      <c r="F597" s="929">
        <v>0</v>
      </c>
      <c r="G597" s="929">
        <v>0</v>
      </c>
      <c r="H597" s="929">
        <v>1106904</v>
      </c>
      <c r="I597" s="925">
        <v>0</v>
      </c>
      <c r="J597" s="929">
        <v>0</v>
      </c>
      <c r="K597" s="862">
        <v>0</v>
      </c>
      <c r="L597" s="929">
        <v>0</v>
      </c>
      <c r="M597" s="929">
        <v>0</v>
      </c>
      <c r="N597" s="929">
        <v>0</v>
      </c>
      <c r="O597" s="929">
        <v>0</v>
      </c>
      <c r="P597" s="925">
        <v>0</v>
      </c>
      <c r="Q597" s="929">
        <v>0</v>
      </c>
      <c r="R597" s="929">
        <v>0</v>
      </c>
      <c r="S597" s="929">
        <v>0</v>
      </c>
      <c r="T597" s="925">
        <v>0</v>
      </c>
      <c r="U597" s="929">
        <v>0</v>
      </c>
      <c r="V597" s="929">
        <v>0</v>
      </c>
      <c r="W597" s="929">
        <v>0</v>
      </c>
      <c r="X597" s="929">
        <v>0</v>
      </c>
      <c r="Y597" s="929">
        <v>0</v>
      </c>
      <c r="Z597" s="864">
        <v>86697</v>
      </c>
      <c r="AA597" s="929">
        <v>0</v>
      </c>
    </row>
    <row r="598" spans="1:27" s="867" customFormat="1" ht="102.75" customHeight="1">
      <c r="A598" s="927">
        <v>99</v>
      </c>
      <c r="B598" s="868" t="s">
        <v>1720</v>
      </c>
      <c r="C598" s="925">
        <f t="shared" si="138"/>
        <v>10884893.59</v>
      </c>
      <c r="D598" s="925">
        <f t="shared" si="139"/>
        <v>10477445.59</v>
      </c>
      <c r="E598" s="929">
        <v>0</v>
      </c>
      <c r="F598" s="929">
        <v>5123737.8899999997</v>
      </c>
      <c r="G598" s="929">
        <v>918665</v>
      </c>
      <c r="H598" s="929">
        <v>0</v>
      </c>
      <c r="I598" s="929">
        <v>3088518.21</v>
      </c>
      <c r="J598" s="929">
        <v>1346524.49</v>
      </c>
      <c r="K598" s="862">
        <v>0</v>
      </c>
      <c r="L598" s="929">
        <v>0</v>
      </c>
      <c r="M598" s="929">
        <v>0</v>
      </c>
      <c r="N598" s="925">
        <v>0</v>
      </c>
      <c r="O598" s="929">
        <v>0</v>
      </c>
      <c r="P598" s="925">
        <v>0</v>
      </c>
      <c r="Q598" s="929">
        <v>0</v>
      </c>
      <c r="R598" s="925">
        <v>0</v>
      </c>
      <c r="S598" s="929">
        <v>0</v>
      </c>
      <c r="T598" s="925">
        <v>0</v>
      </c>
      <c r="U598" s="925">
        <v>0</v>
      </c>
      <c r="V598" s="925">
        <v>0</v>
      </c>
      <c r="W598" s="929">
        <v>0</v>
      </c>
      <c r="X598" s="929">
        <v>0</v>
      </c>
      <c r="Y598" s="929">
        <v>0</v>
      </c>
      <c r="Z598" s="864">
        <v>407448</v>
      </c>
      <c r="AA598" s="929">
        <v>0</v>
      </c>
    </row>
    <row r="599" spans="1:27" s="867" customFormat="1" ht="102.75" customHeight="1">
      <c r="A599" s="927">
        <v>100</v>
      </c>
      <c r="B599" s="868" t="s">
        <v>1721</v>
      </c>
      <c r="C599" s="925">
        <f t="shared" si="138"/>
        <v>3159503</v>
      </c>
      <c r="D599" s="925">
        <f t="shared" si="139"/>
        <v>0</v>
      </c>
      <c r="E599" s="929">
        <v>0</v>
      </c>
      <c r="F599" s="929">
        <v>0</v>
      </c>
      <c r="G599" s="929">
        <v>0</v>
      </c>
      <c r="H599" s="929">
        <v>0</v>
      </c>
      <c r="I599" s="929">
        <v>0</v>
      </c>
      <c r="J599" s="929">
        <v>0</v>
      </c>
      <c r="K599" s="862">
        <v>0</v>
      </c>
      <c r="L599" s="929">
        <v>0</v>
      </c>
      <c r="M599" s="929">
        <v>0</v>
      </c>
      <c r="N599" s="925">
        <v>0</v>
      </c>
      <c r="O599" s="929">
        <v>792</v>
      </c>
      <c r="P599" s="925">
        <v>2930013</v>
      </c>
      <c r="Q599" s="929">
        <v>0</v>
      </c>
      <c r="R599" s="925">
        <v>0</v>
      </c>
      <c r="S599" s="929">
        <v>0</v>
      </c>
      <c r="T599" s="925">
        <v>0</v>
      </c>
      <c r="U599" s="929">
        <v>0</v>
      </c>
      <c r="V599" s="929">
        <v>0</v>
      </c>
      <c r="W599" s="929">
        <v>0</v>
      </c>
      <c r="X599" s="929">
        <v>0</v>
      </c>
      <c r="Y599" s="929">
        <v>0</v>
      </c>
      <c r="Z599" s="864">
        <v>229490</v>
      </c>
      <c r="AA599" s="929">
        <v>0</v>
      </c>
    </row>
    <row r="600" spans="1:27" s="867" customFormat="1" ht="102.75" customHeight="1">
      <c r="A600" s="927">
        <v>101</v>
      </c>
      <c r="B600" s="868" t="s">
        <v>1722</v>
      </c>
      <c r="C600" s="925">
        <f t="shared" si="138"/>
        <v>1527891</v>
      </c>
      <c r="D600" s="925">
        <f t="shared" si="139"/>
        <v>0</v>
      </c>
      <c r="E600" s="929">
        <v>0</v>
      </c>
      <c r="F600" s="925">
        <v>0</v>
      </c>
      <c r="G600" s="925">
        <v>0</v>
      </c>
      <c r="H600" s="925">
        <v>0</v>
      </c>
      <c r="I600" s="925">
        <v>0</v>
      </c>
      <c r="J600" s="925">
        <v>0</v>
      </c>
      <c r="K600" s="861">
        <v>0</v>
      </c>
      <c r="L600" s="929">
        <v>0</v>
      </c>
      <c r="M600" s="925">
        <v>0</v>
      </c>
      <c r="N600" s="925">
        <v>0</v>
      </c>
      <c r="O600" s="929">
        <v>413</v>
      </c>
      <c r="P600" s="925">
        <v>1416913</v>
      </c>
      <c r="Q600" s="929">
        <v>0</v>
      </c>
      <c r="R600" s="925">
        <v>0</v>
      </c>
      <c r="S600" s="925">
        <v>0</v>
      </c>
      <c r="T600" s="925">
        <v>0</v>
      </c>
      <c r="U600" s="925">
        <v>0</v>
      </c>
      <c r="V600" s="929">
        <v>0</v>
      </c>
      <c r="W600" s="925">
        <v>0</v>
      </c>
      <c r="X600" s="929">
        <v>0</v>
      </c>
      <c r="Y600" s="925">
        <v>0</v>
      </c>
      <c r="Z600" s="864">
        <v>110978</v>
      </c>
      <c r="AA600" s="929">
        <v>0</v>
      </c>
    </row>
    <row r="601" spans="1:27" s="867" customFormat="1" ht="102.75" customHeight="1">
      <c r="A601" s="927">
        <v>102</v>
      </c>
      <c r="B601" s="868" t="s">
        <v>1723</v>
      </c>
      <c r="C601" s="925">
        <f t="shared" si="138"/>
        <v>5568593</v>
      </c>
      <c r="D601" s="925">
        <f t="shared" si="139"/>
        <v>5164119</v>
      </c>
      <c r="E601" s="929">
        <v>0</v>
      </c>
      <c r="F601" s="925">
        <v>0</v>
      </c>
      <c r="G601" s="929">
        <v>5164119</v>
      </c>
      <c r="H601" s="929">
        <v>0</v>
      </c>
      <c r="I601" s="925">
        <v>0</v>
      </c>
      <c r="J601" s="925">
        <v>0</v>
      </c>
      <c r="K601" s="862">
        <v>0</v>
      </c>
      <c r="L601" s="929">
        <v>0</v>
      </c>
      <c r="M601" s="929">
        <v>0</v>
      </c>
      <c r="N601" s="925">
        <v>0</v>
      </c>
      <c r="O601" s="929">
        <v>0</v>
      </c>
      <c r="P601" s="929">
        <v>0</v>
      </c>
      <c r="Q601" s="929">
        <v>0</v>
      </c>
      <c r="R601" s="925">
        <v>0</v>
      </c>
      <c r="S601" s="929">
        <v>0</v>
      </c>
      <c r="T601" s="925">
        <v>0</v>
      </c>
      <c r="U601" s="929">
        <v>0</v>
      </c>
      <c r="V601" s="929">
        <v>0</v>
      </c>
      <c r="W601" s="929">
        <v>0</v>
      </c>
      <c r="X601" s="929">
        <v>0</v>
      </c>
      <c r="Y601" s="929">
        <v>0</v>
      </c>
      <c r="Z601" s="864">
        <v>404474</v>
      </c>
      <c r="AA601" s="929">
        <v>0</v>
      </c>
    </row>
    <row r="602" spans="1:27" s="867" customFormat="1" ht="102.75" customHeight="1">
      <c r="A602" s="927">
        <v>103</v>
      </c>
      <c r="B602" s="868" t="s">
        <v>1724</v>
      </c>
      <c r="C602" s="925">
        <f t="shared" si="138"/>
        <v>1527891</v>
      </c>
      <c r="D602" s="925">
        <f t="shared" si="139"/>
        <v>0</v>
      </c>
      <c r="E602" s="929">
        <v>0</v>
      </c>
      <c r="F602" s="925">
        <v>0</v>
      </c>
      <c r="G602" s="925">
        <v>0</v>
      </c>
      <c r="H602" s="925">
        <v>0</v>
      </c>
      <c r="I602" s="925">
        <v>0</v>
      </c>
      <c r="J602" s="925">
        <v>0</v>
      </c>
      <c r="K602" s="861">
        <v>0</v>
      </c>
      <c r="L602" s="929">
        <v>0</v>
      </c>
      <c r="M602" s="925">
        <v>0</v>
      </c>
      <c r="N602" s="925">
        <v>0</v>
      </c>
      <c r="O602" s="929">
        <v>413</v>
      </c>
      <c r="P602" s="925">
        <v>1416913</v>
      </c>
      <c r="Q602" s="929">
        <v>0</v>
      </c>
      <c r="R602" s="925">
        <v>0</v>
      </c>
      <c r="S602" s="925">
        <v>0</v>
      </c>
      <c r="T602" s="925">
        <v>0</v>
      </c>
      <c r="U602" s="925">
        <v>0</v>
      </c>
      <c r="V602" s="929">
        <v>0</v>
      </c>
      <c r="W602" s="925">
        <v>0</v>
      </c>
      <c r="X602" s="929">
        <v>0</v>
      </c>
      <c r="Y602" s="925">
        <v>0</v>
      </c>
      <c r="Z602" s="864">
        <v>110978</v>
      </c>
      <c r="AA602" s="929">
        <v>0</v>
      </c>
    </row>
    <row r="603" spans="1:27" s="867" customFormat="1" ht="102.75" customHeight="1">
      <c r="A603" s="927">
        <v>104</v>
      </c>
      <c r="B603" s="868" t="s">
        <v>2214</v>
      </c>
      <c r="C603" s="925">
        <f t="shared" si="138"/>
        <v>207695</v>
      </c>
      <c r="D603" s="925">
        <f t="shared" si="139"/>
        <v>192609</v>
      </c>
      <c r="E603" s="929">
        <v>0</v>
      </c>
      <c r="F603" s="925">
        <v>0</v>
      </c>
      <c r="G603" s="929">
        <v>192609</v>
      </c>
      <c r="H603" s="929">
        <v>0</v>
      </c>
      <c r="I603" s="929">
        <v>0</v>
      </c>
      <c r="J603" s="929">
        <v>0</v>
      </c>
      <c r="K603" s="862">
        <v>0</v>
      </c>
      <c r="L603" s="929">
        <v>0</v>
      </c>
      <c r="M603" s="929">
        <v>0</v>
      </c>
      <c r="N603" s="925">
        <v>0</v>
      </c>
      <c r="O603" s="929">
        <v>0</v>
      </c>
      <c r="P603" s="925">
        <v>0</v>
      </c>
      <c r="Q603" s="929">
        <v>0</v>
      </c>
      <c r="R603" s="925">
        <v>0</v>
      </c>
      <c r="S603" s="929">
        <v>0</v>
      </c>
      <c r="T603" s="925">
        <v>0</v>
      </c>
      <c r="U603" s="929">
        <v>0</v>
      </c>
      <c r="V603" s="929">
        <v>0</v>
      </c>
      <c r="W603" s="929">
        <v>0</v>
      </c>
      <c r="X603" s="929">
        <v>0</v>
      </c>
      <c r="Y603" s="929">
        <v>0</v>
      </c>
      <c r="Z603" s="864">
        <v>15086</v>
      </c>
      <c r="AA603" s="929">
        <v>0</v>
      </c>
    </row>
    <row r="604" spans="1:27" s="867" customFormat="1" ht="102.75" customHeight="1">
      <c r="A604" s="927">
        <v>105</v>
      </c>
      <c r="B604" s="868" t="s">
        <v>1726</v>
      </c>
      <c r="C604" s="925">
        <f t="shared" si="138"/>
        <v>143558</v>
      </c>
      <c r="D604" s="925">
        <f t="shared" si="139"/>
        <v>0</v>
      </c>
      <c r="E604" s="929">
        <v>0</v>
      </c>
      <c r="F604" s="929">
        <v>0</v>
      </c>
      <c r="G604" s="929">
        <v>0</v>
      </c>
      <c r="H604" s="929">
        <v>0</v>
      </c>
      <c r="I604" s="929">
        <v>0</v>
      </c>
      <c r="J604" s="929">
        <v>0</v>
      </c>
      <c r="K604" s="862">
        <v>0</v>
      </c>
      <c r="L604" s="929">
        <v>0</v>
      </c>
      <c r="M604" s="929">
        <v>0</v>
      </c>
      <c r="N604" s="929">
        <v>0</v>
      </c>
      <c r="O604" s="929">
        <v>0</v>
      </c>
      <c r="P604" s="929">
        <v>0</v>
      </c>
      <c r="Q604" s="929">
        <v>0</v>
      </c>
      <c r="R604" s="929">
        <v>0</v>
      </c>
      <c r="S604" s="929">
        <v>0</v>
      </c>
      <c r="T604" s="929">
        <v>0</v>
      </c>
      <c r="U604" s="929">
        <v>0</v>
      </c>
      <c r="V604" s="929">
        <v>0</v>
      </c>
      <c r="W604" s="929">
        <v>0</v>
      </c>
      <c r="X604" s="921">
        <v>0</v>
      </c>
      <c r="Y604" s="925">
        <v>0</v>
      </c>
      <c r="Z604" s="864">
        <v>143558</v>
      </c>
      <c r="AA604" s="929">
        <v>0</v>
      </c>
    </row>
    <row r="605" spans="1:27" s="875" customFormat="1" ht="102.75" customHeight="1">
      <c r="A605" s="927">
        <v>106</v>
      </c>
      <c r="B605" s="868" t="s">
        <v>2215</v>
      </c>
      <c r="C605" s="925">
        <f t="shared" si="138"/>
        <v>1223262</v>
      </c>
      <c r="D605" s="925">
        <f t="shared" si="139"/>
        <v>0</v>
      </c>
      <c r="E605" s="929">
        <v>0</v>
      </c>
      <c r="F605" s="929">
        <v>0</v>
      </c>
      <c r="G605" s="929">
        <v>0</v>
      </c>
      <c r="H605" s="929">
        <v>0</v>
      </c>
      <c r="I605" s="929">
        <v>0</v>
      </c>
      <c r="J605" s="929">
        <v>0</v>
      </c>
      <c r="K605" s="862">
        <v>0</v>
      </c>
      <c r="L605" s="929">
        <v>0</v>
      </c>
      <c r="M605" s="929">
        <v>0</v>
      </c>
      <c r="N605" s="929">
        <v>0</v>
      </c>
      <c r="O605" s="929">
        <v>450.2</v>
      </c>
      <c r="P605" s="929">
        <v>1134411</v>
      </c>
      <c r="Q605" s="929">
        <v>0</v>
      </c>
      <c r="R605" s="929">
        <v>0</v>
      </c>
      <c r="S605" s="929">
        <v>0</v>
      </c>
      <c r="T605" s="929">
        <v>0</v>
      </c>
      <c r="U605" s="929">
        <v>0</v>
      </c>
      <c r="V605" s="929">
        <v>0</v>
      </c>
      <c r="W605" s="929">
        <v>0</v>
      </c>
      <c r="X605" s="929">
        <v>0</v>
      </c>
      <c r="Y605" s="929">
        <v>0</v>
      </c>
      <c r="Z605" s="864">
        <v>88851</v>
      </c>
      <c r="AA605" s="929">
        <v>0</v>
      </c>
    </row>
    <row r="606" spans="1:27" s="875" customFormat="1" ht="102.75" customHeight="1">
      <c r="A606" s="927">
        <v>107</v>
      </c>
      <c r="B606" s="868" t="s">
        <v>1728</v>
      </c>
      <c r="C606" s="925">
        <f t="shared" si="138"/>
        <v>4010101</v>
      </c>
      <c r="D606" s="925">
        <f t="shared" si="139"/>
        <v>0</v>
      </c>
      <c r="E606" s="929">
        <v>0</v>
      </c>
      <c r="F606" s="929">
        <v>0</v>
      </c>
      <c r="G606" s="929">
        <v>0</v>
      </c>
      <c r="H606" s="929">
        <v>0</v>
      </c>
      <c r="I606" s="929">
        <v>0</v>
      </c>
      <c r="J606" s="929">
        <v>0</v>
      </c>
      <c r="K606" s="862">
        <v>0</v>
      </c>
      <c r="L606" s="929">
        <v>0</v>
      </c>
      <c r="M606" s="929">
        <v>0</v>
      </c>
      <c r="N606" s="929">
        <v>0</v>
      </c>
      <c r="O606" s="929">
        <v>0</v>
      </c>
      <c r="P606" s="929">
        <v>0</v>
      </c>
      <c r="Q606" s="929">
        <v>0</v>
      </c>
      <c r="R606" s="929">
        <v>0</v>
      </c>
      <c r="S606" s="929">
        <v>1507</v>
      </c>
      <c r="T606" s="929">
        <v>3718828</v>
      </c>
      <c r="U606" s="929">
        <v>0</v>
      </c>
      <c r="V606" s="929">
        <v>0</v>
      </c>
      <c r="W606" s="929">
        <v>0</v>
      </c>
      <c r="X606" s="929">
        <v>0</v>
      </c>
      <c r="Y606" s="929">
        <v>0</v>
      </c>
      <c r="Z606" s="864">
        <v>291273</v>
      </c>
      <c r="AA606" s="929">
        <v>0</v>
      </c>
    </row>
    <row r="607" spans="1:27" s="875" customFormat="1" ht="102.75" customHeight="1">
      <c r="A607" s="927">
        <v>108</v>
      </c>
      <c r="B607" s="868" t="s">
        <v>1729</v>
      </c>
      <c r="C607" s="925">
        <f t="shared" si="138"/>
        <v>1272992</v>
      </c>
      <c r="D607" s="925">
        <f t="shared" si="139"/>
        <v>1180528</v>
      </c>
      <c r="E607" s="929">
        <v>0</v>
      </c>
      <c r="F607" s="929">
        <v>0</v>
      </c>
      <c r="G607" s="929">
        <v>1180528</v>
      </c>
      <c r="H607" s="929">
        <v>0</v>
      </c>
      <c r="I607" s="929">
        <v>0</v>
      </c>
      <c r="J607" s="929">
        <v>0</v>
      </c>
      <c r="K607" s="862">
        <v>0</v>
      </c>
      <c r="L607" s="929">
        <v>0</v>
      </c>
      <c r="M607" s="929">
        <v>0</v>
      </c>
      <c r="N607" s="929">
        <v>0</v>
      </c>
      <c r="O607" s="929">
        <v>0</v>
      </c>
      <c r="P607" s="929">
        <v>0</v>
      </c>
      <c r="Q607" s="929">
        <v>0</v>
      </c>
      <c r="R607" s="929">
        <v>0</v>
      </c>
      <c r="S607" s="929">
        <v>0</v>
      </c>
      <c r="T607" s="929">
        <v>0</v>
      </c>
      <c r="U607" s="929">
        <v>0</v>
      </c>
      <c r="V607" s="929">
        <v>0</v>
      </c>
      <c r="W607" s="929">
        <v>0</v>
      </c>
      <c r="X607" s="929">
        <v>0</v>
      </c>
      <c r="Y607" s="929">
        <v>0</v>
      </c>
      <c r="Z607" s="864">
        <v>92464</v>
      </c>
      <c r="AA607" s="929">
        <v>0</v>
      </c>
    </row>
    <row r="608" spans="1:27" s="875" customFormat="1" ht="102.75" customHeight="1">
      <c r="A608" s="927">
        <v>109</v>
      </c>
      <c r="B608" s="868" t="s">
        <v>1730</v>
      </c>
      <c r="C608" s="925">
        <f t="shared" si="138"/>
        <v>223253</v>
      </c>
      <c r="D608" s="925">
        <f t="shared" si="139"/>
        <v>207037</v>
      </c>
      <c r="E608" s="929">
        <v>0</v>
      </c>
      <c r="F608" s="929">
        <v>0</v>
      </c>
      <c r="G608" s="929">
        <v>0</v>
      </c>
      <c r="H608" s="929">
        <v>0</v>
      </c>
      <c r="I608" s="929">
        <v>0</v>
      </c>
      <c r="J608" s="929">
        <v>207037</v>
      </c>
      <c r="K608" s="862">
        <v>0</v>
      </c>
      <c r="L608" s="929">
        <v>0</v>
      </c>
      <c r="M608" s="929">
        <v>0</v>
      </c>
      <c r="N608" s="929">
        <v>0</v>
      </c>
      <c r="O608" s="929">
        <v>0</v>
      </c>
      <c r="P608" s="929">
        <v>0</v>
      </c>
      <c r="Q608" s="929">
        <v>0</v>
      </c>
      <c r="R608" s="929">
        <v>0</v>
      </c>
      <c r="S608" s="929">
        <v>0</v>
      </c>
      <c r="T608" s="929">
        <v>0</v>
      </c>
      <c r="U608" s="929">
        <v>0</v>
      </c>
      <c r="V608" s="929">
        <v>0</v>
      </c>
      <c r="W608" s="929">
        <v>0</v>
      </c>
      <c r="X608" s="929">
        <v>0</v>
      </c>
      <c r="Y608" s="929">
        <v>0</v>
      </c>
      <c r="Z608" s="864">
        <v>16216</v>
      </c>
      <c r="AA608" s="929">
        <v>0</v>
      </c>
    </row>
    <row r="609" spans="1:27" s="867" customFormat="1" ht="102.75" customHeight="1">
      <c r="A609" s="927">
        <v>110</v>
      </c>
      <c r="B609" s="868" t="s">
        <v>1731</v>
      </c>
      <c r="C609" s="925">
        <f t="shared" si="138"/>
        <v>9902493.3900000006</v>
      </c>
      <c r="D609" s="925">
        <f t="shared" si="139"/>
        <v>0</v>
      </c>
      <c r="E609" s="929">
        <v>0</v>
      </c>
      <c r="F609" s="929">
        <v>0</v>
      </c>
      <c r="G609" s="929">
        <v>0</v>
      </c>
      <c r="H609" s="929">
        <v>0</v>
      </c>
      <c r="I609" s="929">
        <v>0</v>
      </c>
      <c r="J609" s="929">
        <v>0</v>
      </c>
      <c r="K609" s="862">
        <v>0</v>
      </c>
      <c r="L609" s="929">
        <v>0</v>
      </c>
      <c r="M609" s="929">
        <v>0</v>
      </c>
      <c r="N609" s="929">
        <v>0</v>
      </c>
      <c r="O609" s="929">
        <v>2800</v>
      </c>
      <c r="P609" s="929">
        <v>9349885.3900000006</v>
      </c>
      <c r="Q609" s="929">
        <v>0</v>
      </c>
      <c r="R609" s="929">
        <v>0</v>
      </c>
      <c r="S609" s="929">
        <v>0</v>
      </c>
      <c r="T609" s="929">
        <v>0</v>
      </c>
      <c r="U609" s="929">
        <v>0</v>
      </c>
      <c r="V609" s="929">
        <v>0</v>
      </c>
      <c r="W609" s="929">
        <v>0</v>
      </c>
      <c r="X609" s="929">
        <v>0</v>
      </c>
      <c r="Y609" s="929">
        <v>0</v>
      </c>
      <c r="Z609" s="864">
        <v>552608</v>
      </c>
      <c r="AA609" s="929">
        <v>0</v>
      </c>
    </row>
    <row r="610" spans="1:27" s="867" customFormat="1" ht="102.75" customHeight="1">
      <c r="A610" s="927">
        <v>111</v>
      </c>
      <c r="B610" s="868" t="s">
        <v>1766</v>
      </c>
      <c r="C610" s="925">
        <f t="shared" si="138"/>
        <v>7655466.8399999999</v>
      </c>
      <c r="D610" s="925">
        <f t="shared" si="139"/>
        <v>0</v>
      </c>
      <c r="E610" s="929">
        <v>0</v>
      </c>
      <c r="F610" s="929">
        <v>0</v>
      </c>
      <c r="G610" s="929">
        <v>0</v>
      </c>
      <c r="H610" s="929">
        <v>0</v>
      </c>
      <c r="I610" s="929">
        <v>0</v>
      </c>
      <c r="J610" s="929">
        <v>0</v>
      </c>
      <c r="K610" s="862">
        <v>0</v>
      </c>
      <c r="L610" s="929">
        <v>0</v>
      </c>
      <c r="M610" s="929">
        <v>0</v>
      </c>
      <c r="N610" s="929">
        <v>0</v>
      </c>
      <c r="O610" s="929">
        <v>913</v>
      </c>
      <c r="P610" s="929">
        <v>7099413.3200000003</v>
      </c>
      <c r="Q610" s="929">
        <v>0</v>
      </c>
      <c r="R610" s="929">
        <v>0</v>
      </c>
      <c r="S610" s="929">
        <v>0</v>
      </c>
      <c r="T610" s="929">
        <v>0</v>
      </c>
      <c r="U610" s="929">
        <v>0</v>
      </c>
      <c r="V610" s="929">
        <v>0</v>
      </c>
      <c r="W610" s="929">
        <v>0</v>
      </c>
      <c r="X610" s="929">
        <v>0</v>
      </c>
      <c r="Y610" s="929">
        <v>0</v>
      </c>
      <c r="Z610" s="864">
        <v>556053.52</v>
      </c>
      <c r="AA610" s="929">
        <v>0</v>
      </c>
    </row>
    <row r="611" spans="1:27" s="867" customFormat="1" ht="102.75" customHeight="1">
      <c r="A611" s="927">
        <v>112</v>
      </c>
      <c r="B611" s="868" t="s">
        <v>1732</v>
      </c>
      <c r="C611" s="925">
        <f t="shared" si="138"/>
        <v>1661291</v>
      </c>
      <c r="D611" s="925">
        <f t="shared" si="139"/>
        <v>0</v>
      </c>
      <c r="E611" s="929">
        <v>0</v>
      </c>
      <c r="F611" s="929">
        <v>0</v>
      </c>
      <c r="G611" s="929">
        <v>0</v>
      </c>
      <c r="H611" s="929">
        <v>0</v>
      </c>
      <c r="I611" s="929">
        <v>0</v>
      </c>
      <c r="J611" s="929">
        <v>0</v>
      </c>
      <c r="K611" s="862">
        <v>0</v>
      </c>
      <c r="L611" s="929">
        <v>0</v>
      </c>
      <c r="M611" s="929">
        <v>0</v>
      </c>
      <c r="N611" s="929">
        <v>0</v>
      </c>
      <c r="O611" s="929">
        <v>340.1</v>
      </c>
      <c r="P611" s="929">
        <v>1540623</v>
      </c>
      <c r="Q611" s="929">
        <v>0</v>
      </c>
      <c r="R611" s="929">
        <v>0</v>
      </c>
      <c r="S611" s="929">
        <v>0</v>
      </c>
      <c r="T611" s="929">
        <v>0</v>
      </c>
      <c r="U611" s="929">
        <v>0</v>
      </c>
      <c r="V611" s="929">
        <v>0</v>
      </c>
      <c r="W611" s="929">
        <v>0</v>
      </c>
      <c r="X611" s="929">
        <v>0</v>
      </c>
      <c r="Y611" s="929">
        <v>0</v>
      </c>
      <c r="Z611" s="864">
        <v>120668</v>
      </c>
      <c r="AA611" s="929">
        <v>0</v>
      </c>
    </row>
    <row r="612" spans="1:27" s="867" customFormat="1" ht="102.75" customHeight="1">
      <c r="A612" s="927">
        <v>113</v>
      </c>
      <c r="B612" s="868" t="s">
        <v>1733</v>
      </c>
      <c r="C612" s="925">
        <f t="shared" si="138"/>
        <v>873178</v>
      </c>
      <c r="D612" s="925">
        <f t="shared" si="139"/>
        <v>541762.1</v>
      </c>
      <c r="E612" s="929">
        <v>0</v>
      </c>
      <c r="F612" s="929">
        <v>0</v>
      </c>
      <c r="G612" s="929">
        <v>0</v>
      </c>
      <c r="H612" s="929">
        <v>541762.1</v>
      </c>
      <c r="I612" s="929">
        <v>0</v>
      </c>
      <c r="J612" s="929">
        <v>0</v>
      </c>
      <c r="K612" s="862">
        <v>0</v>
      </c>
      <c r="L612" s="929">
        <v>0</v>
      </c>
      <c r="M612" s="929">
        <v>0</v>
      </c>
      <c r="N612" s="929">
        <v>0</v>
      </c>
      <c r="O612" s="929">
        <v>0</v>
      </c>
      <c r="P612" s="929">
        <v>0</v>
      </c>
      <c r="Q612" s="929">
        <v>0</v>
      </c>
      <c r="R612" s="929">
        <v>0</v>
      </c>
      <c r="S612" s="929">
        <v>108.6</v>
      </c>
      <c r="T612" s="929">
        <v>267993</v>
      </c>
      <c r="U612" s="929">
        <v>0</v>
      </c>
      <c r="V612" s="929">
        <v>0</v>
      </c>
      <c r="W612" s="929">
        <v>0</v>
      </c>
      <c r="X612" s="929">
        <v>0</v>
      </c>
      <c r="Y612" s="929">
        <v>0</v>
      </c>
      <c r="Z612" s="864">
        <f>42432.9+20990</f>
        <v>63422.9</v>
      </c>
      <c r="AA612" s="929">
        <v>0</v>
      </c>
    </row>
    <row r="613" spans="1:27" s="867" customFormat="1" ht="102.75" customHeight="1">
      <c r="A613" s="927">
        <v>114</v>
      </c>
      <c r="B613" s="868" t="s">
        <v>1734</v>
      </c>
      <c r="C613" s="925">
        <f t="shared" si="138"/>
        <v>2869710</v>
      </c>
      <c r="D613" s="925">
        <f t="shared" si="139"/>
        <v>0</v>
      </c>
      <c r="E613" s="929">
        <v>0</v>
      </c>
      <c r="F613" s="929">
        <v>0</v>
      </c>
      <c r="G613" s="929">
        <v>0</v>
      </c>
      <c r="H613" s="929">
        <v>0</v>
      </c>
      <c r="I613" s="929">
        <v>0</v>
      </c>
      <c r="J613" s="929">
        <v>0</v>
      </c>
      <c r="K613" s="862">
        <v>0</v>
      </c>
      <c r="L613" s="929">
        <v>0</v>
      </c>
      <c r="M613" s="929">
        <v>0</v>
      </c>
      <c r="N613" s="929">
        <v>0</v>
      </c>
      <c r="O613" s="929">
        <v>0</v>
      </c>
      <c r="P613" s="929">
        <v>0</v>
      </c>
      <c r="Q613" s="929">
        <v>0</v>
      </c>
      <c r="R613" s="929">
        <v>0</v>
      </c>
      <c r="S613" s="929">
        <v>1078.44</v>
      </c>
      <c r="T613" s="929">
        <v>2661269</v>
      </c>
      <c r="U613" s="929">
        <v>0</v>
      </c>
      <c r="V613" s="929">
        <v>0</v>
      </c>
      <c r="W613" s="929">
        <v>0</v>
      </c>
      <c r="X613" s="929">
        <v>0</v>
      </c>
      <c r="Y613" s="929">
        <v>0</v>
      </c>
      <c r="Z613" s="864">
        <v>208441</v>
      </c>
      <c r="AA613" s="929">
        <v>0</v>
      </c>
    </row>
    <row r="614" spans="1:27" s="867" customFormat="1" ht="102.75" customHeight="1">
      <c r="A614" s="927">
        <v>115</v>
      </c>
      <c r="B614" s="868" t="s">
        <v>1735</v>
      </c>
      <c r="C614" s="925">
        <f t="shared" si="138"/>
        <v>197678</v>
      </c>
      <c r="D614" s="925">
        <f t="shared" ref="D614:D657" si="140">SUM(E614:J614)</f>
        <v>0</v>
      </c>
      <c r="E614" s="929">
        <v>0</v>
      </c>
      <c r="F614" s="929">
        <v>0</v>
      </c>
      <c r="G614" s="929">
        <v>0</v>
      </c>
      <c r="H614" s="929">
        <v>0</v>
      </c>
      <c r="I614" s="929">
        <v>0</v>
      </c>
      <c r="J614" s="929">
        <v>0</v>
      </c>
      <c r="K614" s="862">
        <v>0</v>
      </c>
      <c r="L614" s="929">
        <v>0</v>
      </c>
      <c r="M614" s="929">
        <v>0</v>
      </c>
      <c r="N614" s="929">
        <v>0</v>
      </c>
      <c r="O614" s="929">
        <v>0</v>
      </c>
      <c r="P614" s="929">
        <v>0</v>
      </c>
      <c r="Q614" s="929">
        <v>0</v>
      </c>
      <c r="R614" s="929">
        <v>0</v>
      </c>
      <c r="S614" s="929">
        <v>0</v>
      </c>
      <c r="T614" s="929">
        <v>0</v>
      </c>
      <c r="U614" s="929">
        <v>0</v>
      </c>
      <c r="V614" s="929">
        <v>0</v>
      </c>
      <c r="W614" s="929"/>
      <c r="X614" s="921"/>
      <c r="Y614" s="922">
        <v>0</v>
      </c>
      <c r="Z614" s="864">
        <v>197678</v>
      </c>
      <c r="AA614" s="929">
        <v>0</v>
      </c>
    </row>
    <row r="615" spans="1:27" s="867" customFormat="1" ht="102.75" customHeight="1">
      <c r="A615" s="927">
        <v>116</v>
      </c>
      <c r="B615" s="868" t="s">
        <v>1736</v>
      </c>
      <c r="C615" s="925">
        <f t="shared" si="138"/>
        <v>1532993</v>
      </c>
      <c r="D615" s="925">
        <f t="shared" si="140"/>
        <v>0</v>
      </c>
      <c r="E615" s="929">
        <v>0</v>
      </c>
      <c r="F615" s="929">
        <v>0</v>
      </c>
      <c r="G615" s="929">
        <v>0</v>
      </c>
      <c r="H615" s="929">
        <v>0</v>
      </c>
      <c r="I615" s="929">
        <v>0</v>
      </c>
      <c r="J615" s="929">
        <v>0</v>
      </c>
      <c r="K615" s="862">
        <v>0</v>
      </c>
      <c r="L615" s="929">
        <v>0</v>
      </c>
      <c r="M615" s="929">
        <v>0</v>
      </c>
      <c r="N615" s="929">
        <v>0</v>
      </c>
      <c r="O615" s="929">
        <v>0</v>
      </c>
      <c r="P615" s="929">
        <v>0</v>
      </c>
      <c r="Q615" s="929">
        <v>0</v>
      </c>
      <c r="R615" s="929">
        <v>0</v>
      </c>
      <c r="S615" s="929">
        <v>576.1</v>
      </c>
      <c r="T615" s="929">
        <v>1421644</v>
      </c>
      <c r="U615" s="929">
        <v>0</v>
      </c>
      <c r="V615" s="929">
        <v>0</v>
      </c>
      <c r="W615" s="929">
        <v>0</v>
      </c>
      <c r="X615" s="929">
        <v>0</v>
      </c>
      <c r="Y615" s="929">
        <v>0</v>
      </c>
      <c r="Z615" s="864">
        <v>111349</v>
      </c>
      <c r="AA615" s="929">
        <v>0</v>
      </c>
    </row>
    <row r="616" spans="1:27" s="867" customFormat="1" ht="102.75" customHeight="1">
      <c r="A616" s="927">
        <v>117</v>
      </c>
      <c r="B616" s="868" t="s">
        <v>1737</v>
      </c>
      <c r="C616" s="925">
        <f t="shared" si="138"/>
        <v>1996706.0319999999</v>
      </c>
      <c r="D616" s="925">
        <f t="shared" si="140"/>
        <v>1851675.632</v>
      </c>
      <c r="E616" s="929">
        <v>0</v>
      </c>
      <c r="F616" s="929">
        <v>0</v>
      </c>
      <c r="G616" s="929">
        <v>0</v>
      </c>
      <c r="H616" s="929">
        <v>1851675.632</v>
      </c>
      <c r="I616" s="929">
        <v>0</v>
      </c>
      <c r="J616" s="929">
        <v>0</v>
      </c>
      <c r="K616" s="862">
        <v>0</v>
      </c>
      <c r="L616" s="929">
        <v>0</v>
      </c>
      <c r="M616" s="929">
        <v>0</v>
      </c>
      <c r="N616" s="929">
        <v>0</v>
      </c>
      <c r="O616" s="929">
        <v>0</v>
      </c>
      <c r="P616" s="929">
        <v>0</v>
      </c>
      <c r="Q616" s="929">
        <v>0</v>
      </c>
      <c r="R616" s="929">
        <v>0</v>
      </c>
      <c r="S616" s="929">
        <v>0</v>
      </c>
      <c r="T616" s="929">
        <v>0</v>
      </c>
      <c r="U616" s="929">
        <v>0</v>
      </c>
      <c r="V616" s="929">
        <v>0</v>
      </c>
      <c r="W616" s="929">
        <v>0</v>
      </c>
      <c r="X616" s="929">
        <v>0</v>
      </c>
      <c r="Y616" s="929">
        <v>0</v>
      </c>
      <c r="Z616" s="864">
        <v>145030.39999999999</v>
      </c>
      <c r="AA616" s="929">
        <v>0</v>
      </c>
    </row>
    <row r="617" spans="1:27" s="867" customFormat="1" ht="102.75" customHeight="1">
      <c r="A617" s="927">
        <v>118</v>
      </c>
      <c r="B617" s="868" t="s">
        <v>1937</v>
      </c>
      <c r="C617" s="925">
        <f t="shared" si="138"/>
        <v>2589668</v>
      </c>
      <c r="D617" s="925">
        <f t="shared" si="140"/>
        <v>0</v>
      </c>
      <c r="E617" s="929">
        <v>0</v>
      </c>
      <c r="F617" s="929">
        <v>0</v>
      </c>
      <c r="G617" s="929">
        <v>0</v>
      </c>
      <c r="H617" s="929">
        <v>0</v>
      </c>
      <c r="I617" s="929">
        <v>0</v>
      </c>
      <c r="J617" s="929">
        <v>0</v>
      </c>
      <c r="K617" s="862">
        <v>0</v>
      </c>
      <c r="L617" s="929">
        <v>0</v>
      </c>
      <c r="M617" s="929">
        <v>0</v>
      </c>
      <c r="N617" s="929">
        <v>0</v>
      </c>
      <c r="O617" s="929">
        <v>0</v>
      </c>
      <c r="P617" s="929">
        <v>0</v>
      </c>
      <c r="Q617" s="929">
        <v>0</v>
      </c>
      <c r="R617" s="929">
        <v>0</v>
      </c>
      <c r="S617" s="929">
        <v>973.2</v>
      </c>
      <c r="T617" s="929">
        <v>2401568</v>
      </c>
      <c r="U617" s="929">
        <v>0</v>
      </c>
      <c r="V617" s="929">
        <v>0</v>
      </c>
      <c r="W617" s="929">
        <v>0</v>
      </c>
      <c r="X617" s="929">
        <v>0</v>
      </c>
      <c r="Y617" s="929">
        <v>0</v>
      </c>
      <c r="Z617" s="864">
        <v>188100</v>
      </c>
      <c r="AA617" s="929">
        <v>0</v>
      </c>
    </row>
    <row r="618" spans="1:27" s="867" customFormat="1" ht="102.75" customHeight="1">
      <c r="A618" s="927">
        <v>119</v>
      </c>
      <c r="B618" s="868" t="s">
        <v>1738</v>
      </c>
      <c r="C618" s="925">
        <f t="shared" si="138"/>
        <v>2672049</v>
      </c>
      <c r="D618" s="925">
        <f t="shared" si="140"/>
        <v>0</v>
      </c>
      <c r="E618" s="929">
        <v>0</v>
      </c>
      <c r="F618" s="929">
        <v>0</v>
      </c>
      <c r="G618" s="929">
        <v>0</v>
      </c>
      <c r="H618" s="929">
        <v>0</v>
      </c>
      <c r="I618" s="929">
        <v>0</v>
      </c>
      <c r="J618" s="929">
        <v>0</v>
      </c>
      <c r="K618" s="862">
        <v>0</v>
      </c>
      <c r="L618" s="929">
        <v>0</v>
      </c>
      <c r="M618" s="929">
        <v>0</v>
      </c>
      <c r="N618" s="929">
        <v>0</v>
      </c>
      <c r="O618" s="929">
        <v>983.4</v>
      </c>
      <c r="P618" s="929">
        <v>2477965</v>
      </c>
      <c r="Q618" s="929">
        <v>0</v>
      </c>
      <c r="R618" s="929">
        <v>0</v>
      </c>
      <c r="S618" s="929">
        <v>0</v>
      </c>
      <c r="T618" s="929">
        <v>0</v>
      </c>
      <c r="U618" s="929">
        <v>0</v>
      </c>
      <c r="V618" s="929">
        <v>0</v>
      </c>
      <c r="W618" s="929">
        <v>0</v>
      </c>
      <c r="X618" s="929">
        <v>0</v>
      </c>
      <c r="Y618" s="929">
        <v>0</v>
      </c>
      <c r="Z618" s="864">
        <v>194084</v>
      </c>
      <c r="AA618" s="929">
        <v>0</v>
      </c>
    </row>
    <row r="619" spans="1:27" s="867" customFormat="1" ht="102.75" customHeight="1">
      <c r="A619" s="927">
        <v>120</v>
      </c>
      <c r="B619" s="868" t="s">
        <v>1739</v>
      </c>
      <c r="C619" s="925">
        <f t="shared" si="138"/>
        <v>2635861</v>
      </c>
      <c r="D619" s="925">
        <f t="shared" si="140"/>
        <v>2444406</v>
      </c>
      <c r="E619" s="929">
        <v>0</v>
      </c>
      <c r="F619" s="929">
        <v>2444406</v>
      </c>
      <c r="G619" s="929">
        <v>0</v>
      </c>
      <c r="H619" s="929">
        <v>0</v>
      </c>
      <c r="I619" s="929">
        <v>0</v>
      </c>
      <c r="J619" s="929">
        <v>0</v>
      </c>
      <c r="K619" s="862">
        <v>0</v>
      </c>
      <c r="L619" s="929">
        <v>0</v>
      </c>
      <c r="M619" s="929">
        <v>0</v>
      </c>
      <c r="N619" s="929">
        <v>0</v>
      </c>
      <c r="O619" s="929">
        <v>0</v>
      </c>
      <c r="P619" s="929">
        <v>0</v>
      </c>
      <c r="Q619" s="929">
        <v>0</v>
      </c>
      <c r="R619" s="929">
        <v>0</v>
      </c>
      <c r="S619" s="929">
        <v>0</v>
      </c>
      <c r="T619" s="929">
        <v>0</v>
      </c>
      <c r="U619" s="929">
        <v>0</v>
      </c>
      <c r="V619" s="929">
        <v>0</v>
      </c>
      <c r="W619" s="929">
        <v>0</v>
      </c>
      <c r="X619" s="929">
        <v>0</v>
      </c>
      <c r="Y619" s="929">
        <v>0</v>
      </c>
      <c r="Z619" s="864">
        <v>191455</v>
      </c>
      <c r="AA619" s="929">
        <v>0</v>
      </c>
    </row>
    <row r="620" spans="1:27" s="867" customFormat="1" ht="102.75" customHeight="1">
      <c r="A620" s="927">
        <v>121</v>
      </c>
      <c r="B620" s="868" t="s">
        <v>2200</v>
      </c>
      <c r="C620" s="925">
        <f t="shared" si="138"/>
        <v>360479.62599999999</v>
      </c>
      <c r="D620" s="925">
        <f t="shared" si="140"/>
        <v>334296.25</v>
      </c>
      <c r="E620" s="929">
        <v>0</v>
      </c>
      <c r="F620" s="929">
        <v>0</v>
      </c>
      <c r="G620" s="929">
        <v>0</v>
      </c>
      <c r="H620" s="929">
        <v>0</v>
      </c>
      <c r="I620" s="929">
        <v>0</v>
      </c>
      <c r="J620" s="929">
        <v>334296.25</v>
      </c>
      <c r="K620" s="862">
        <v>0</v>
      </c>
      <c r="L620" s="929">
        <v>0</v>
      </c>
      <c r="M620" s="929">
        <v>0</v>
      </c>
      <c r="N620" s="929">
        <v>0</v>
      </c>
      <c r="O620" s="929">
        <v>0</v>
      </c>
      <c r="P620" s="929">
        <v>0</v>
      </c>
      <c r="Q620" s="929">
        <v>0</v>
      </c>
      <c r="R620" s="929">
        <v>0</v>
      </c>
      <c r="S620" s="929">
        <v>0</v>
      </c>
      <c r="T620" s="929">
        <v>0</v>
      </c>
      <c r="U620" s="929">
        <v>0</v>
      </c>
      <c r="V620" s="929">
        <v>0</v>
      </c>
      <c r="W620" s="929">
        <v>0</v>
      </c>
      <c r="X620" s="929">
        <v>0</v>
      </c>
      <c r="Y620" s="929">
        <v>0</v>
      </c>
      <c r="Z620" s="864">
        <v>26183.376</v>
      </c>
      <c r="AA620" s="929">
        <v>0</v>
      </c>
    </row>
    <row r="621" spans="1:27" s="867" customFormat="1" ht="102.75" customHeight="1">
      <c r="A621" s="927">
        <v>122</v>
      </c>
      <c r="B621" s="868" t="s">
        <v>1740</v>
      </c>
      <c r="C621" s="925">
        <f t="shared" si="138"/>
        <v>1275755</v>
      </c>
      <c r="D621" s="925">
        <f t="shared" si="140"/>
        <v>0</v>
      </c>
      <c r="E621" s="929">
        <v>0</v>
      </c>
      <c r="F621" s="929">
        <v>0</v>
      </c>
      <c r="G621" s="929">
        <v>0</v>
      </c>
      <c r="H621" s="929">
        <v>0</v>
      </c>
      <c r="I621" s="929">
        <v>0</v>
      </c>
      <c r="J621" s="929">
        <v>0</v>
      </c>
      <c r="K621" s="862">
        <v>0</v>
      </c>
      <c r="L621" s="929">
        <v>0</v>
      </c>
      <c r="M621" s="929">
        <v>0</v>
      </c>
      <c r="N621" s="929">
        <v>0</v>
      </c>
      <c r="O621" s="929">
        <v>0</v>
      </c>
      <c r="P621" s="929">
        <v>0</v>
      </c>
      <c r="Q621" s="929">
        <v>0</v>
      </c>
      <c r="R621" s="929">
        <v>0</v>
      </c>
      <c r="S621" s="929">
        <v>479.43</v>
      </c>
      <c r="T621" s="929">
        <v>1183091</v>
      </c>
      <c r="U621" s="929">
        <v>0</v>
      </c>
      <c r="V621" s="929">
        <v>0</v>
      </c>
      <c r="W621" s="929">
        <v>0</v>
      </c>
      <c r="X621" s="929">
        <v>0</v>
      </c>
      <c r="Y621" s="929">
        <v>0</v>
      </c>
      <c r="Z621" s="864">
        <v>92664</v>
      </c>
      <c r="AA621" s="929">
        <v>0</v>
      </c>
    </row>
    <row r="622" spans="1:27" s="867" customFormat="1" ht="102.75" customHeight="1">
      <c r="A622" s="927">
        <v>123</v>
      </c>
      <c r="B622" s="868" t="s">
        <v>1741</v>
      </c>
      <c r="C622" s="925">
        <f t="shared" si="138"/>
        <v>2658432.25</v>
      </c>
      <c r="D622" s="925">
        <f t="shared" si="140"/>
        <v>0</v>
      </c>
      <c r="E622" s="929">
        <v>0</v>
      </c>
      <c r="F622" s="929">
        <v>0</v>
      </c>
      <c r="G622" s="929">
        <v>0</v>
      </c>
      <c r="H622" s="929">
        <v>0</v>
      </c>
      <c r="I622" s="929">
        <v>0</v>
      </c>
      <c r="J622" s="929">
        <v>0</v>
      </c>
      <c r="K622" s="862">
        <v>0</v>
      </c>
      <c r="L622" s="929">
        <v>0</v>
      </c>
      <c r="M622" s="929">
        <v>0</v>
      </c>
      <c r="N622" s="929">
        <v>0</v>
      </c>
      <c r="O622" s="929">
        <v>623.53</v>
      </c>
      <c r="P622" s="929">
        <v>2465337.48</v>
      </c>
      <c r="Q622" s="929">
        <v>0</v>
      </c>
      <c r="R622" s="929">
        <v>0</v>
      </c>
      <c r="S622" s="929">
        <v>0</v>
      </c>
      <c r="T622" s="929">
        <v>0</v>
      </c>
      <c r="U622" s="929">
        <v>0</v>
      </c>
      <c r="V622" s="929">
        <v>0</v>
      </c>
      <c r="W622" s="929">
        <v>0</v>
      </c>
      <c r="X622" s="929">
        <v>0</v>
      </c>
      <c r="Y622" s="929">
        <v>0</v>
      </c>
      <c r="Z622" s="864">
        <v>193094.77</v>
      </c>
      <c r="AA622" s="929">
        <v>0</v>
      </c>
    </row>
    <row r="623" spans="1:27" s="867" customFormat="1" ht="102.75" customHeight="1">
      <c r="A623" s="927">
        <v>124</v>
      </c>
      <c r="B623" s="868" t="s">
        <v>1742</v>
      </c>
      <c r="C623" s="925">
        <f t="shared" si="138"/>
        <v>6099267</v>
      </c>
      <c r="D623" s="925">
        <f t="shared" si="140"/>
        <v>0</v>
      </c>
      <c r="E623" s="929">
        <v>0</v>
      </c>
      <c r="F623" s="929">
        <v>0</v>
      </c>
      <c r="G623" s="929">
        <v>0</v>
      </c>
      <c r="H623" s="929">
        <v>0</v>
      </c>
      <c r="I623" s="929">
        <v>0</v>
      </c>
      <c r="J623" s="929">
        <v>0</v>
      </c>
      <c r="K623" s="862">
        <v>0</v>
      </c>
      <c r="L623" s="929">
        <v>0</v>
      </c>
      <c r="M623" s="929">
        <v>0</v>
      </c>
      <c r="N623" s="929">
        <v>0</v>
      </c>
      <c r="O623" s="929">
        <v>0</v>
      </c>
      <c r="P623" s="929">
        <v>0</v>
      </c>
      <c r="Q623" s="929">
        <v>0</v>
      </c>
      <c r="R623" s="929">
        <v>0</v>
      </c>
      <c r="S623" s="929">
        <v>0</v>
      </c>
      <c r="T623" s="929">
        <v>0</v>
      </c>
      <c r="U623" s="929">
        <v>1180</v>
      </c>
      <c r="V623" s="929">
        <v>5656248</v>
      </c>
      <c r="W623" s="929">
        <v>0</v>
      </c>
      <c r="X623" s="929">
        <v>0</v>
      </c>
      <c r="Y623" s="929">
        <v>0</v>
      </c>
      <c r="Z623" s="864">
        <v>443019</v>
      </c>
      <c r="AA623" s="929">
        <v>0</v>
      </c>
    </row>
    <row r="624" spans="1:27" s="867" customFormat="1" ht="102.75" customHeight="1">
      <c r="A624" s="927">
        <v>125</v>
      </c>
      <c r="B624" s="868" t="s">
        <v>2216</v>
      </c>
      <c r="C624" s="925">
        <f t="shared" si="138"/>
        <v>13068971</v>
      </c>
      <c r="D624" s="925">
        <f t="shared" si="140"/>
        <v>0</v>
      </c>
      <c r="E624" s="929">
        <v>0</v>
      </c>
      <c r="F624" s="929">
        <v>0</v>
      </c>
      <c r="G624" s="929">
        <v>0</v>
      </c>
      <c r="H624" s="929">
        <v>0</v>
      </c>
      <c r="I624" s="929">
        <v>0</v>
      </c>
      <c r="J624" s="929">
        <v>0</v>
      </c>
      <c r="K624" s="862">
        <v>0</v>
      </c>
      <c r="L624" s="929">
        <v>0</v>
      </c>
      <c r="M624" s="929">
        <v>0</v>
      </c>
      <c r="N624" s="929">
        <v>0</v>
      </c>
      <c r="O624" s="929">
        <v>0</v>
      </c>
      <c r="P624" s="929">
        <v>0</v>
      </c>
      <c r="Q624" s="929">
        <v>0</v>
      </c>
      <c r="R624" s="929">
        <v>0</v>
      </c>
      <c r="S624" s="929">
        <v>0</v>
      </c>
      <c r="T624" s="929">
        <v>0</v>
      </c>
      <c r="U624" s="929">
        <v>2528.4</v>
      </c>
      <c r="V624" s="929">
        <v>12119709</v>
      </c>
      <c r="W624" s="929">
        <v>0</v>
      </c>
      <c r="X624" s="929">
        <v>0</v>
      </c>
      <c r="Y624" s="929">
        <v>0</v>
      </c>
      <c r="Z624" s="864">
        <v>949262</v>
      </c>
      <c r="AA624" s="929">
        <v>0</v>
      </c>
    </row>
    <row r="625" spans="1:27" s="867" customFormat="1" ht="102.75" customHeight="1">
      <c r="A625" s="927">
        <v>126</v>
      </c>
      <c r="B625" s="868" t="s">
        <v>1743</v>
      </c>
      <c r="C625" s="925">
        <f t="shared" si="138"/>
        <v>486594</v>
      </c>
      <c r="D625" s="925">
        <f t="shared" si="140"/>
        <v>451250</v>
      </c>
      <c r="E625" s="929">
        <v>0</v>
      </c>
      <c r="F625" s="929">
        <v>0</v>
      </c>
      <c r="G625" s="929">
        <v>451250</v>
      </c>
      <c r="H625" s="929">
        <v>0</v>
      </c>
      <c r="I625" s="929">
        <v>0</v>
      </c>
      <c r="J625" s="929">
        <v>0</v>
      </c>
      <c r="K625" s="862">
        <v>0</v>
      </c>
      <c r="L625" s="929">
        <v>0</v>
      </c>
      <c r="M625" s="929">
        <v>0</v>
      </c>
      <c r="N625" s="929">
        <v>0</v>
      </c>
      <c r="O625" s="929">
        <v>0</v>
      </c>
      <c r="P625" s="929">
        <v>0</v>
      </c>
      <c r="Q625" s="929">
        <v>0</v>
      </c>
      <c r="R625" s="929">
        <v>0</v>
      </c>
      <c r="S625" s="929">
        <v>0</v>
      </c>
      <c r="T625" s="929">
        <v>0</v>
      </c>
      <c r="U625" s="929">
        <v>0</v>
      </c>
      <c r="V625" s="929">
        <v>0</v>
      </c>
      <c r="W625" s="929">
        <v>0</v>
      </c>
      <c r="X625" s="929">
        <v>0</v>
      </c>
      <c r="Y625" s="929">
        <v>0</v>
      </c>
      <c r="Z625" s="864">
        <v>35344</v>
      </c>
      <c r="AA625" s="929">
        <v>0</v>
      </c>
    </row>
    <row r="626" spans="1:27" s="867" customFormat="1" ht="102.75" customHeight="1">
      <c r="A626" s="927">
        <v>127</v>
      </c>
      <c r="B626" s="868" t="s">
        <v>1744</v>
      </c>
      <c r="C626" s="925">
        <f t="shared" si="138"/>
        <v>5258538</v>
      </c>
      <c r="D626" s="925">
        <f t="shared" si="140"/>
        <v>4876585</v>
      </c>
      <c r="E626" s="929">
        <v>4876585</v>
      </c>
      <c r="F626" s="929">
        <v>0</v>
      </c>
      <c r="G626" s="929">
        <v>0</v>
      </c>
      <c r="H626" s="929">
        <v>0</v>
      </c>
      <c r="I626" s="929">
        <v>0</v>
      </c>
      <c r="J626" s="929">
        <v>0</v>
      </c>
      <c r="K626" s="862">
        <v>0</v>
      </c>
      <c r="L626" s="929">
        <v>0</v>
      </c>
      <c r="M626" s="929">
        <v>0</v>
      </c>
      <c r="N626" s="929">
        <v>0</v>
      </c>
      <c r="O626" s="929">
        <v>0</v>
      </c>
      <c r="P626" s="929">
        <v>0</v>
      </c>
      <c r="Q626" s="929">
        <v>0</v>
      </c>
      <c r="R626" s="929">
        <v>0</v>
      </c>
      <c r="S626" s="929">
        <v>0</v>
      </c>
      <c r="T626" s="929">
        <v>0</v>
      </c>
      <c r="U626" s="929">
        <v>0</v>
      </c>
      <c r="V626" s="929">
        <v>0</v>
      </c>
      <c r="W626" s="929">
        <v>0</v>
      </c>
      <c r="X626" s="929">
        <v>0</v>
      </c>
      <c r="Y626" s="929">
        <v>0</v>
      </c>
      <c r="Z626" s="864">
        <v>381953</v>
      </c>
      <c r="AA626" s="929">
        <v>0</v>
      </c>
    </row>
    <row r="627" spans="1:27" s="867" customFormat="1" ht="102.75" customHeight="1">
      <c r="A627" s="927">
        <v>128</v>
      </c>
      <c r="B627" s="868" t="s">
        <v>1745</v>
      </c>
      <c r="C627" s="925">
        <f t="shared" si="138"/>
        <v>2423166</v>
      </c>
      <c r="D627" s="925">
        <f t="shared" si="140"/>
        <v>0</v>
      </c>
      <c r="E627" s="929">
        <v>0</v>
      </c>
      <c r="F627" s="929">
        <v>0</v>
      </c>
      <c r="G627" s="929">
        <v>0</v>
      </c>
      <c r="H627" s="929">
        <v>0</v>
      </c>
      <c r="I627" s="929">
        <v>0</v>
      </c>
      <c r="J627" s="929">
        <v>0</v>
      </c>
      <c r="K627" s="862">
        <v>0</v>
      </c>
      <c r="L627" s="929">
        <v>0</v>
      </c>
      <c r="M627" s="929">
        <v>0</v>
      </c>
      <c r="N627" s="929">
        <v>0</v>
      </c>
      <c r="O627" s="929">
        <v>0</v>
      </c>
      <c r="P627" s="929">
        <v>0</v>
      </c>
      <c r="Q627" s="929">
        <v>0</v>
      </c>
      <c r="R627" s="929">
        <v>0</v>
      </c>
      <c r="S627" s="929">
        <v>0</v>
      </c>
      <c r="T627" s="929">
        <v>0</v>
      </c>
      <c r="U627" s="929">
        <v>486.8</v>
      </c>
      <c r="V627" s="929">
        <v>2247160</v>
      </c>
      <c r="W627" s="929">
        <v>0</v>
      </c>
      <c r="X627" s="929">
        <v>0</v>
      </c>
      <c r="Y627" s="929">
        <v>0</v>
      </c>
      <c r="Z627" s="864">
        <v>176006</v>
      </c>
      <c r="AA627" s="929">
        <v>0</v>
      </c>
    </row>
    <row r="628" spans="1:27" s="867" customFormat="1" ht="102.75" customHeight="1">
      <c r="A628" s="927">
        <v>129</v>
      </c>
      <c r="B628" s="868" t="s">
        <v>1746</v>
      </c>
      <c r="C628" s="925">
        <f t="shared" si="138"/>
        <v>701336</v>
      </c>
      <c r="D628" s="925">
        <f t="shared" si="140"/>
        <v>650395</v>
      </c>
      <c r="E628" s="929">
        <v>0</v>
      </c>
      <c r="F628" s="929">
        <v>0</v>
      </c>
      <c r="G628" s="929">
        <v>0</v>
      </c>
      <c r="H628" s="929">
        <v>0</v>
      </c>
      <c r="I628" s="929">
        <v>0</v>
      </c>
      <c r="J628" s="929">
        <v>650395</v>
      </c>
      <c r="K628" s="862">
        <v>0</v>
      </c>
      <c r="L628" s="929">
        <v>0</v>
      </c>
      <c r="M628" s="929">
        <v>0</v>
      </c>
      <c r="N628" s="929">
        <v>0</v>
      </c>
      <c r="O628" s="929">
        <v>0</v>
      </c>
      <c r="P628" s="929">
        <v>0</v>
      </c>
      <c r="Q628" s="929">
        <v>0</v>
      </c>
      <c r="R628" s="929">
        <v>0</v>
      </c>
      <c r="S628" s="929">
        <v>0</v>
      </c>
      <c r="T628" s="929">
        <v>0</v>
      </c>
      <c r="U628" s="929">
        <v>0</v>
      </c>
      <c r="V628" s="929">
        <v>0</v>
      </c>
      <c r="W628" s="929">
        <v>0</v>
      </c>
      <c r="X628" s="929">
        <v>0</v>
      </c>
      <c r="Y628" s="929">
        <v>0</v>
      </c>
      <c r="Z628" s="864">
        <v>50941</v>
      </c>
      <c r="AA628" s="929">
        <v>0</v>
      </c>
    </row>
    <row r="629" spans="1:27" s="867" customFormat="1" ht="102.75" customHeight="1">
      <c r="A629" s="927">
        <v>130</v>
      </c>
      <c r="B629" s="868" t="s">
        <v>1747</v>
      </c>
      <c r="C629" s="925">
        <f t="shared" ref="C629:C660" si="141">D629+L629+N629+P629+R629+T629+V629+X629+Z629</f>
        <v>13772351</v>
      </c>
      <c r="D629" s="925">
        <f t="shared" si="140"/>
        <v>0</v>
      </c>
      <c r="E629" s="929">
        <v>0</v>
      </c>
      <c r="F629" s="929">
        <v>0</v>
      </c>
      <c r="G629" s="929">
        <v>0</v>
      </c>
      <c r="H629" s="929">
        <v>0</v>
      </c>
      <c r="I629" s="929">
        <v>0</v>
      </c>
      <c r="J629" s="929">
        <v>0</v>
      </c>
      <c r="K629" s="862">
        <v>0</v>
      </c>
      <c r="L629" s="929">
        <v>0</v>
      </c>
      <c r="M629" s="929">
        <v>0</v>
      </c>
      <c r="N629" s="929">
        <v>0</v>
      </c>
      <c r="O629" s="929">
        <v>0</v>
      </c>
      <c r="P629" s="929">
        <v>0</v>
      </c>
      <c r="Q629" s="929">
        <v>0</v>
      </c>
      <c r="R629" s="929">
        <v>0</v>
      </c>
      <c r="S629" s="929">
        <v>0</v>
      </c>
      <c r="T629" s="929">
        <v>0</v>
      </c>
      <c r="U629" s="929">
        <v>2664.48</v>
      </c>
      <c r="V629" s="929">
        <v>12771999</v>
      </c>
      <c r="W629" s="929">
        <v>0</v>
      </c>
      <c r="X629" s="929">
        <v>0</v>
      </c>
      <c r="Y629" s="929">
        <v>0</v>
      </c>
      <c r="Z629" s="864">
        <v>1000352</v>
      </c>
      <c r="AA629" s="929">
        <v>0</v>
      </c>
    </row>
    <row r="630" spans="1:27" s="867" customFormat="1" ht="102.75" customHeight="1">
      <c r="A630" s="927">
        <v>131</v>
      </c>
      <c r="B630" s="868" t="s">
        <v>1748</v>
      </c>
      <c r="C630" s="925">
        <f t="shared" si="141"/>
        <v>3753928</v>
      </c>
      <c r="D630" s="925">
        <f t="shared" si="140"/>
        <v>0</v>
      </c>
      <c r="E630" s="929">
        <v>0</v>
      </c>
      <c r="F630" s="929">
        <v>0</v>
      </c>
      <c r="G630" s="929">
        <v>0</v>
      </c>
      <c r="H630" s="929">
        <v>0</v>
      </c>
      <c r="I630" s="929">
        <v>0</v>
      </c>
      <c r="J630" s="929">
        <v>0</v>
      </c>
      <c r="K630" s="862">
        <v>0</v>
      </c>
      <c r="L630" s="929">
        <v>0</v>
      </c>
      <c r="M630" s="929">
        <v>0</v>
      </c>
      <c r="N630" s="929">
        <v>0</v>
      </c>
      <c r="O630" s="929">
        <v>0</v>
      </c>
      <c r="P630" s="929">
        <v>0</v>
      </c>
      <c r="Q630" s="929">
        <v>0</v>
      </c>
      <c r="R630" s="929">
        <v>0</v>
      </c>
      <c r="S630" s="929">
        <v>1410.73</v>
      </c>
      <c r="T630" s="929">
        <v>3481262</v>
      </c>
      <c r="U630" s="929">
        <v>0</v>
      </c>
      <c r="V630" s="929">
        <v>0</v>
      </c>
      <c r="W630" s="929">
        <v>0</v>
      </c>
      <c r="X630" s="929">
        <v>0</v>
      </c>
      <c r="Y630" s="929">
        <v>0</v>
      </c>
      <c r="Z630" s="864">
        <v>272666</v>
      </c>
      <c r="AA630" s="929">
        <v>0</v>
      </c>
    </row>
    <row r="631" spans="1:27" s="867" customFormat="1" ht="102.75" customHeight="1">
      <c r="A631" s="927">
        <v>132</v>
      </c>
      <c r="B631" s="868" t="s">
        <v>1749</v>
      </c>
      <c r="C631" s="925">
        <f t="shared" si="141"/>
        <v>7862988</v>
      </c>
      <c r="D631" s="925">
        <f t="shared" si="140"/>
        <v>0</v>
      </c>
      <c r="E631" s="929">
        <v>0</v>
      </c>
      <c r="F631" s="929">
        <v>0</v>
      </c>
      <c r="G631" s="929">
        <v>0</v>
      </c>
      <c r="H631" s="929">
        <v>0</v>
      </c>
      <c r="I631" s="929">
        <v>0</v>
      </c>
      <c r="J631" s="929">
        <v>0</v>
      </c>
      <c r="K631" s="862">
        <v>0</v>
      </c>
      <c r="L631" s="929">
        <v>0</v>
      </c>
      <c r="M631" s="929">
        <v>0</v>
      </c>
      <c r="N631" s="929">
        <v>0</v>
      </c>
      <c r="O631" s="929">
        <v>0</v>
      </c>
      <c r="P631" s="929">
        <v>0</v>
      </c>
      <c r="Q631" s="929">
        <v>0</v>
      </c>
      <c r="R631" s="929">
        <v>0</v>
      </c>
      <c r="S631" s="929">
        <v>0</v>
      </c>
      <c r="T631" s="929">
        <v>0</v>
      </c>
      <c r="U631" s="929">
        <v>1521.22</v>
      </c>
      <c r="V631" s="929">
        <v>7291861</v>
      </c>
      <c r="W631" s="929">
        <v>0</v>
      </c>
      <c r="X631" s="929">
        <v>0</v>
      </c>
      <c r="Y631" s="929">
        <v>0</v>
      </c>
      <c r="Z631" s="864">
        <v>571127</v>
      </c>
      <c r="AA631" s="929">
        <v>0</v>
      </c>
    </row>
    <row r="632" spans="1:27" s="867" customFormat="1" ht="102.75" customHeight="1">
      <c r="A632" s="927">
        <v>133</v>
      </c>
      <c r="B632" s="868" t="s">
        <v>1750</v>
      </c>
      <c r="C632" s="925">
        <f t="shared" si="141"/>
        <v>13748049.279999999</v>
      </c>
      <c r="D632" s="925">
        <f t="shared" si="140"/>
        <v>0</v>
      </c>
      <c r="E632" s="929">
        <v>0</v>
      </c>
      <c r="F632" s="929">
        <v>0</v>
      </c>
      <c r="G632" s="929">
        <v>0</v>
      </c>
      <c r="H632" s="929">
        <v>0</v>
      </c>
      <c r="I632" s="929">
        <v>0</v>
      </c>
      <c r="J632" s="929">
        <v>0</v>
      </c>
      <c r="K632" s="862">
        <v>0</v>
      </c>
      <c r="L632" s="929">
        <v>0</v>
      </c>
      <c r="M632" s="929">
        <v>5</v>
      </c>
      <c r="N632" s="929">
        <v>12749462.08</v>
      </c>
      <c r="O632" s="929">
        <v>0</v>
      </c>
      <c r="P632" s="929">
        <v>0</v>
      </c>
      <c r="Q632" s="929">
        <v>0</v>
      </c>
      <c r="R632" s="929">
        <v>0</v>
      </c>
      <c r="S632" s="929">
        <v>0</v>
      </c>
      <c r="T632" s="929">
        <v>0</v>
      </c>
      <c r="U632" s="929">
        <v>0</v>
      </c>
      <c r="V632" s="929">
        <v>0</v>
      </c>
      <c r="W632" s="929">
        <v>0</v>
      </c>
      <c r="X632" s="929">
        <v>0</v>
      </c>
      <c r="Y632" s="929">
        <v>0</v>
      </c>
      <c r="Z632" s="864">
        <v>998587.2</v>
      </c>
      <c r="AA632" s="929">
        <v>0</v>
      </c>
    </row>
    <row r="633" spans="1:27" s="867" customFormat="1" ht="102.75" customHeight="1">
      <c r="A633" s="927">
        <v>134</v>
      </c>
      <c r="B633" s="868" t="s">
        <v>1939</v>
      </c>
      <c r="C633" s="925">
        <f t="shared" si="141"/>
        <v>5499219.71</v>
      </c>
      <c r="D633" s="925">
        <f t="shared" si="140"/>
        <v>0</v>
      </c>
      <c r="E633" s="929">
        <v>0</v>
      </c>
      <c r="F633" s="929">
        <v>0</v>
      </c>
      <c r="G633" s="929">
        <v>0</v>
      </c>
      <c r="H633" s="929">
        <v>0</v>
      </c>
      <c r="I633" s="929">
        <v>0</v>
      </c>
      <c r="J633" s="929">
        <v>0</v>
      </c>
      <c r="K633" s="862">
        <v>0</v>
      </c>
      <c r="L633" s="929">
        <v>0</v>
      </c>
      <c r="M633" s="929">
        <v>2</v>
      </c>
      <c r="N633" s="929">
        <v>5099784.83</v>
      </c>
      <c r="O633" s="929">
        <v>0</v>
      </c>
      <c r="P633" s="929">
        <v>0</v>
      </c>
      <c r="Q633" s="929">
        <v>0</v>
      </c>
      <c r="R633" s="929">
        <v>0</v>
      </c>
      <c r="S633" s="929">
        <v>0</v>
      </c>
      <c r="T633" s="929">
        <v>0</v>
      </c>
      <c r="U633" s="929">
        <v>0</v>
      </c>
      <c r="V633" s="929">
        <v>0</v>
      </c>
      <c r="W633" s="929">
        <v>0</v>
      </c>
      <c r="X633" s="929">
        <v>0</v>
      </c>
      <c r="Y633" s="929">
        <v>0</v>
      </c>
      <c r="Z633" s="864">
        <v>399434.88</v>
      </c>
      <c r="AA633" s="929">
        <v>0</v>
      </c>
    </row>
    <row r="634" spans="1:27" s="867" customFormat="1" ht="102.75" customHeight="1">
      <c r="A634" s="927">
        <v>135</v>
      </c>
      <c r="B634" s="868" t="s">
        <v>1751</v>
      </c>
      <c r="C634" s="925">
        <f t="shared" si="141"/>
        <v>13748049.279999999</v>
      </c>
      <c r="D634" s="925">
        <f t="shared" si="140"/>
        <v>0</v>
      </c>
      <c r="E634" s="929">
        <v>0</v>
      </c>
      <c r="F634" s="929">
        <v>0</v>
      </c>
      <c r="G634" s="929">
        <v>0</v>
      </c>
      <c r="H634" s="929">
        <v>0</v>
      </c>
      <c r="I634" s="929">
        <v>0</v>
      </c>
      <c r="J634" s="929">
        <v>0</v>
      </c>
      <c r="K634" s="862">
        <v>0</v>
      </c>
      <c r="L634" s="929">
        <v>0</v>
      </c>
      <c r="M634" s="929">
        <v>5</v>
      </c>
      <c r="N634" s="929">
        <v>12749462.08</v>
      </c>
      <c r="O634" s="929">
        <v>0</v>
      </c>
      <c r="P634" s="929">
        <v>0</v>
      </c>
      <c r="Q634" s="929">
        <v>0</v>
      </c>
      <c r="R634" s="929">
        <v>0</v>
      </c>
      <c r="S634" s="929">
        <v>0</v>
      </c>
      <c r="T634" s="929">
        <v>0</v>
      </c>
      <c r="U634" s="929">
        <v>0</v>
      </c>
      <c r="V634" s="929">
        <v>0</v>
      </c>
      <c r="W634" s="929">
        <v>0</v>
      </c>
      <c r="X634" s="929">
        <v>0</v>
      </c>
      <c r="Y634" s="929">
        <v>0</v>
      </c>
      <c r="Z634" s="864">
        <v>998587.2</v>
      </c>
      <c r="AA634" s="929">
        <v>0</v>
      </c>
    </row>
    <row r="635" spans="1:27" s="867" customFormat="1" ht="102.75" customHeight="1">
      <c r="A635" s="927">
        <v>136</v>
      </c>
      <c r="B635" s="868" t="s">
        <v>2217</v>
      </c>
      <c r="C635" s="925">
        <f t="shared" si="141"/>
        <v>2749609.86</v>
      </c>
      <c r="D635" s="925">
        <f t="shared" si="140"/>
        <v>0</v>
      </c>
      <c r="E635" s="929">
        <v>0</v>
      </c>
      <c r="F635" s="929">
        <v>0</v>
      </c>
      <c r="G635" s="929">
        <v>0</v>
      </c>
      <c r="H635" s="929">
        <v>0</v>
      </c>
      <c r="I635" s="929">
        <v>0</v>
      </c>
      <c r="J635" s="929">
        <v>0</v>
      </c>
      <c r="K635" s="862">
        <v>0</v>
      </c>
      <c r="L635" s="929">
        <v>0</v>
      </c>
      <c r="M635" s="929">
        <v>1</v>
      </c>
      <c r="N635" s="929">
        <v>2549892.42</v>
      </c>
      <c r="O635" s="929">
        <v>0</v>
      </c>
      <c r="P635" s="929">
        <v>0</v>
      </c>
      <c r="Q635" s="929">
        <v>0</v>
      </c>
      <c r="R635" s="929">
        <v>0</v>
      </c>
      <c r="S635" s="929">
        <v>0</v>
      </c>
      <c r="T635" s="929">
        <v>0</v>
      </c>
      <c r="U635" s="929">
        <v>0</v>
      </c>
      <c r="V635" s="929">
        <v>0</v>
      </c>
      <c r="W635" s="929">
        <v>0</v>
      </c>
      <c r="X635" s="929">
        <v>0</v>
      </c>
      <c r="Y635" s="929">
        <v>0</v>
      </c>
      <c r="Z635" s="864">
        <v>199717.44</v>
      </c>
      <c r="AA635" s="929">
        <v>0</v>
      </c>
    </row>
    <row r="636" spans="1:27" s="867" customFormat="1" ht="102.75" customHeight="1">
      <c r="A636" s="927">
        <v>137</v>
      </c>
      <c r="B636" s="868" t="s">
        <v>2218</v>
      </c>
      <c r="C636" s="925">
        <f t="shared" si="141"/>
        <v>8248829.5700000003</v>
      </c>
      <c r="D636" s="925">
        <f t="shared" si="140"/>
        <v>0</v>
      </c>
      <c r="E636" s="929">
        <v>0</v>
      </c>
      <c r="F636" s="929">
        <v>0</v>
      </c>
      <c r="G636" s="929">
        <v>0</v>
      </c>
      <c r="H636" s="929">
        <v>0</v>
      </c>
      <c r="I636" s="929">
        <v>0</v>
      </c>
      <c r="J636" s="929">
        <v>0</v>
      </c>
      <c r="K636" s="862">
        <v>0</v>
      </c>
      <c r="L636" s="929">
        <v>0</v>
      </c>
      <c r="M636" s="929">
        <v>3</v>
      </c>
      <c r="N636" s="929">
        <v>7649677.25</v>
      </c>
      <c r="O636" s="929">
        <v>0</v>
      </c>
      <c r="P636" s="929">
        <v>0</v>
      </c>
      <c r="Q636" s="929">
        <v>0</v>
      </c>
      <c r="R636" s="929">
        <v>0</v>
      </c>
      <c r="S636" s="929">
        <v>0</v>
      </c>
      <c r="T636" s="929">
        <v>0</v>
      </c>
      <c r="U636" s="929">
        <v>0</v>
      </c>
      <c r="V636" s="929">
        <v>0</v>
      </c>
      <c r="W636" s="929">
        <v>0</v>
      </c>
      <c r="X636" s="929">
        <v>0</v>
      </c>
      <c r="Y636" s="929">
        <v>0</v>
      </c>
      <c r="Z636" s="864">
        <v>599152.31999999995</v>
      </c>
      <c r="AA636" s="929">
        <v>0</v>
      </c>
    </row>
    <row r="637" spans="1:27" s="867" customFormat="1" ht="102.75" customHeight="1">
      <c r="A637" s="927">
        <v>138</v>
      </c>
      <c r="B637" s="868" t="s">
        <v>2219</v>
      </c>
      <c r="C637" s="925">
        <f t="shared" si="141"/>
        <v>2749609.86</v>
      </c>
      <c r="D637" s="925">
        <f t="shared" si="140"/>
        <v>0</v>
      </c>
      <c r="E637" s="929">
        <v>0</v>
      </c>
      <c r="F637" s="929">
        <v>0</v>
      </c>
      <c r="G637" s="929">
        <v>0</v>
      </c>
      <c r="H637" s="929">
        <v>0</v>
      </c>
      <c r="I637" s="929">
        <v>0</v>
      </c>
      <c r="J637" s="929">
        <v>0</v>
      </c>
      <c r="K637" s="862">
        <v>0</v>
      </c>
      <c r="L637" s="929">
        <v>0</v>
      </c>
      <c r="M637" s="929">
        <v>1</v>
      </c>
      <c r="N637" s="929">
        <v>2549892.42</v>
      </c>
      <c r="O637" s="929">
        <v>0</v>
      </c>
      <c r="P637" s="929">
        <v>0</v>
      </c>
      <c r="Q637" s="929">
        <v>0</v>
      </c>
      <c r="R637" s="929">
        <v>0</v>
      </c>
      <c r="S637" s="929">
        <v>0</v>
      </c>
      <c r="T637" s="929">
        <v>0</v>
      </c>
      <c r="U637" s="929">
        <v>0</v>
      </c>
      <c r="V637" s="929">
        <v>0</v>
      </c>
      <c r="W637" s="929">
        <v>0</v>
      </c>
      <c r="X637" s="929">
        <v>0</v>
      </c>
      <c r="Y637" s="929">
        <v>0</v>
      </c>
      <c r="Z637" s="864">
        <v>199717.44</v>
      </c>
      <c r="AA637" s="929">
        <v>0</v>
      </c>
    </row>
    <row r="638" spans="1:27" s="867" customFormat="1" ht="102.75" customHeight="1">
      <c r="A638" s="927">
        <v>139</v>
      </c>
      <c r="B638" s="868" t="s">
        <v>1752</v>
      </c>
      <c r="C638" s="925">
        <f t="shared" si="141"/>
        <v>10998439.42</v>
      </c>
      <c r="D638" s="925">
        <f t="shared" si="140"/>
        <v>0</v>
      </c>
      <c r="E638" s="929">
        <v>0</v>
      </c>
      <c r="F638" s="929">
        <v>0</v>
      </c>
      <c r="G638" s="929">
        <v>0</v>
      </c>
      <c r="H638" s="929">
        <v>0</v>
      </c>
      <c r="I638" s="929">
        <v>0</v>
      </c>
      <c r="J638" s="929">
        <v>0</v>
      </c>
      <c r="K638" s="862">
        <v>0</v>
      </c>
      <c r="L638" s="929">
        <v>0</v>
      </c>
      <c r="M638" s="929">
        <v>4</v>
      </c>
      <c r="N638" s="929">
        <v>10199569.66</v>
      </c>
      <c r="O638" s="929">
        <v>0</v>
      </c>
      <c r="P638" s="929">
        <v>0</v>
      </c>
      <c r="Q638" s="929">
        <v>0</v>
      </c>
      <c r="R638" s="929">
        <v>0</v>
      </c>
      <c r="S638" s="929">
        <v>0</v>
      </c>
      <c r="T638" s="929">
        <v>0</v>
      </c>
      <c r="U638" s="929">
        <v>0</v>
      </c>
      <c r="V638" s="929">
        <v>0</v>
      </c>
      <c r="W638" s="929">
        <v>0</v>
      </c>
      <c r="X638" s="929">
        <v>0</v>
      </c>
      <c r="Y638" s="929">
        <v>0</v>
      </c>
      <c r="Z638" s="864">
        <v>798869.76</v>
      </c>
      <c r="AA638" s="929">
        <v>0</v>
      </c>
    </row>
    <row r="639" spans="1:27" s="867" customFormat="1" ht="102.75" customHeight="1">
      <c r="A639" s="927">
        <v>140</v>
      </c>
      <c r="B639" s="868" t="s">
        <v>1753</v>
      </c>
      <c r="C639" s="925">
        <f t="shared" si="141"/>
        <v>5499219.71</v>
      </c>
      <c r="D639" s="925">
        <f t="shared" si="140"/>
        <v>0</v>
      </c>
      <c r="E639" s="929">
        <v>0</v>
      </c>
      <c r="F639" s="929">
        <v>0</v>
      </c>
      <c r="G639" s="929">
        <v>0</v>
      </c>
      <c r="H639" s="929">
        <v>0</v>
      </c>
      <c r="I639" s="929">
        <v>0</v>
      </c>
      <c r="J639" s="929">
        <v>0</v>
      </c>
      <c r="K639" s="862">
        <v>0</v>
      </c>
      <c r="L639" s="929">
        <v>0</v>
      </c>
      <c r="M639" s="929">
        <v>2</v>
      </c>
      <c r="N639" s="929">
        <v>5099784.83</v>
      </c>
      <c r="O639" s="929">
        <v>0</v>
      </c>
      <c r="P639" s="929">
        <v>0</v>
      </c>
      <c r="Q639" s="929">
        <v>0</v>
      </c>
      <c r="R639" s="929">
        <v>0</v>
      </c>
      <c r="S639" s="929">
        <v>0</v>
      </c>
      <c r="T639" s="929">
        <v>0</v>
      </c>
      <c r="U639" s="929">
        <v>0</v>
      </c>
      <c r="V639" s="929">
        <v>0</v>
      </c>
      <c r="W639" s="929">
        <v>0</v>
      </c>
      <c r="X639" s="929">
        <v>0</v>
      </c>
      <c r="Y639" s="929">
        <v>0</v>
      </c>
      <c r="Z639" s="864">
        <v>399434.88</v>
      </c>
      <c r="AA639" s="929">
        <v>0</v>
      </c>
    </row>
    <row r="640" spans="1:27" s="867" customFormat="1" ht="102.75" customHeight="1">
      <c r="A640" s="927">
        <v>141</v>
      </c>
      <c r="B640" s="868" t="s">
        <v>2220</v>
      </c>
      <c r="C640" s="925">
        <f t="shared" si="141"/>
        <v>2749609.86</v>
      </c>
      <c r="D640" s="925">
        <f t="shared" si="140"/>
        <v>0</v>
      </c>
      <c r="E640" s="929">
        <v>0</v>
      </c>
      <c r="F640" s="929">
        <v>0</v>
      </c>
      <c r="G640" s="929">
        <v>0</v>
      </c>
      <c r="H640" s="929">
        <v>0</v>
      </c>
      <c r="I640" s="929">
        <v>0</v>
      </c>
      <c r="J640" s="929">
        <v>0</v>
      </c>
      <c r="K640" s="862">
        <v>0</v>
      </c>
      <c r="L640" s="929">
        <v>0</v>
      </c>
      <c r="M640" s="929">
        <v>1</v>
      </c>
      <c r="N640" s="929">
        <v>2549892.42</v>
      </c>
      <c r="O640" s="929">
        <v>0</v>
      </c>
      <c r="P640" s="929">
        <v>0</v>
      </c>
      <c r="Q640" s="929">
        <v>0</v>
      </c>
      <c r="R640" s="929">
        <v>0</v>
      </c>
      <c r="S640" s="929">
        <v>0</v>
      </c>
      <c r="T640" s="929">
        <v>0</v>
      </c>
      <c r="U640" s="929">
        <v>0</v>
      </c>
      <c r="V640" s="929">
        <v>0</v>
      </c>
      <c r="W640" s="929">
        <v>0</v>
      </c>
      <c r="X640" s="929">
        <v>0</v>
      </c>
      <c r="Y640" s="929">
        <v>0</v>
      </c>
      <c r="Z640" s="864">
        <v>199717.44</v>
      </c>
      <c r="AA640" s="929">
        <v>0</v>
      </c>
    </row>
    <row r="641" spans="1:27" s="867" customFormat="1" ht="102.75" customHeight="1">
      <c r="A641" s="927">
        <v>142</v>
      </c>
      <c r="B641" s="868" t="s">
        <v>1754</v>
      </c>
      <c r="C641" s="925">
        <f t="shared" si="141"/>
        <v>10998439.42</v>
      </c>
      <c r="D641" s="925">
        <f t="shared" si="140"/>
        <v>0</v>
      </c>
      <c r="E641" s="929">
        <v>0</v>
      </c>
      <c r="F641" s="929">
        <v>0</v>
      </c>
      <c r="G641" s="929">
        <v>0</v>
      </c>
      <c r="H641" s="929">
        <v>0</v>
      </c>
      <c r="I641" s="929">
        <v>0</v>
      </c>
      <c r="J641" s="929">
        <v>0</v>
      </c>
      <c r="K641" s="862">
        <v>0</v>
      </c>
      <c r="L641" s="929">
        <v>0</v>
      </c>
      <c r="M641" s="929">
        <v>4</v>
      </c>
      <c r="N641" s="929">
        <v>10199569.66</v>
      </c>
      <c r="O641" s="929">
        <v>0</v>
      </c>
      <c r="P641" s="929">
        <v>0</v>
      </c>
      <c r="Q641" s="929">
        <v>0</v>
      </c>
      <c r="R641" s="929">
        <v>0</v>
      </c>
      <c r="S641" s="929">
        <v>0</v>
      </c>
      <c r="T641" s="929">
        <v>0</v>
      </c>
      <c r="U641" s="929">
        <v>0</v>
      </c>
      <c r="V641" s="929">
        <v>0</v>
      </c>
      <c r="W641" s="929">
        <v>0</v>
      </c>
      <c r="X641" s="929">
        <v>0</v>
      </c>
      <c r="Y641" s="929">
        <v>0</v>
      </c>
      <c r="Z641" s="864">
        <v>798869.76</v>
      </c>
      <c r="AA641" s="929">
        <v>0</v>
      </c>
    </row>
    <row r="642" spans="1:27" s="867" customFormat="1" ht="102.75" customHeight="1">
      <c r="A642" s="927">
        <v>143</v>
      </c>
      <c r="B642" s="868" t="s">
        <v>1944</v>
      </c>
      <c r="C642" s="925">
        <f t="shared" si="141"/>
        <v>2749609.86</v>
      </c>
      <c r="D642" s="925">
        <f t="shared" si="140"/>
        <v>0</v>
      </c>
      <c r="E642" s="929">
        <v>0</v>
      </c>
      <c r="F642" s="929">
        <v>0</v>
      </c>
      <c r="G642" s="929">
        <v>0</v>
      </c>
      <c r="H642" s="929">
        <v>0</v>
      </c>
      <c r="I642" s="929">
        <v>0</v>
      </c>
      <c r="J642" s="929">
        <v>0</v>
      </c>
      <c r="K642" s="862">
        <v>0</v>
      </c>
      <c r="L642" s="929">
        <v>0</v>
      </c>
      <c r="M642" s="929">
        <v>1</v>
      </c>
      <c r="N642" s="929">
        <v>2549892.42</v>
      </c>
      <c r="O642" s="929">
        <v>0</v>
      </c>
      <c r="P642" s="929">
        <v>0</v>
      </c>
      <c r="Q642" s="929">
        <v>0</v>
      </c>
      <c r="R642" s="929">
        <v>0</v>
      </c>
      <c r="S642" s="929">
        <v>0</v>
      </c>
      <c r="T642" s="929">
        <v>0</v>
      </c>
      <c r="U642" s="929">
        <v>0</v>
      </c>
      <c r="V642" s="929">
        <v>0</v>
      </c>
      <c r="W642" s="929">
        <v>0</v>
      </c>
      <c r="X642" s="929">
        <v>0</v>
      </c>
      <c r="Y642" s="929">
        <v>0</v>
      </c>
      <c r="Z642" s="864">
        <v>199717.44</v>
      </c>
      <c r="AA642" s="929">
        <v>0</v>
      </c>
    </row>
    <row r="643" spans="1:27" s="867" customFormat="1" ht="102.75" customHeight="1">
      <c r="A643" s="927">
        <v>144</v>
      </c>
      <c r="B643" s="868" t="s">
        <v>1666</v>
      </c>
      <c r="C643" s="925">
        <f t="shared" si="141"/>
        <v>21208937</v>
      </c>
      <c r="D643" s="925">
        <f t="shared" si="140"/>
        <v>0</v>
      </c>
      <c r="E643" s="929">
        <v>0</v>
      </c>
      <c r="F643" s="929">
        <v>0</v>
      </c>
      <c r="G643" s="929">
        <v>0</v>
      </c>
      <c r="H643" s="929">
        <v>0</v>
      </c>
      <c r="I643" s="929">
        <v>0</v>
      </c>
      <c r="J643" s="929">
        <v>0</v>
      </c>
      <c r="K643" s="862">
        <v>0</v>
      </c>
      <c r="L643" s="929">
        <v>0</v>
      </c>
      <c r="M643" s="929">
        <v>0</v>
      </c>
      <c r="N643" s="929">
        <v>0</v>
      </c>
      <c r="O643" s="929">
        <v>1256.7</v>
      </c>
      <c r="P643" s="929">
        <v>4649175</v>
      </c>
      <c r="Q643" s="929">
        <v>0</v>
      </c>
      <c r="R643" s="929">
        <v>0</v>
      </c>
      <c r="S643" s="929">
        <v>0</v>
      </c>
      <c r="T643" s="929">
        <v>0</v>
      </c>
      <c r="U643" s="929">
        <v>3133.3</v>
      </c>
      <c r="V643" s="929">
        <v>15019255</v>
      </c>
      <c r="W643" s="929">
        <v>0</v>
      </c>
      <c r="X643" s="929">
        <v>0</v>
      </c>
      <c r="Y643" s="929">
        <v>0</v>
      </c>
      <c r="Z643" s="864">
        <v>1540507</v>
      </c>
      <c r="AA643" s="929">
        <v>0</v>
      </c>
    </row>
    <row r="644" spans="1:27" s="867" customFormat="1" ht="102.75" customHeight="1">
      <c r="A644" s="927">
        <v>145</v>
      </c>
      <c r="B644" s="868" t="s">
        <v>1689</v>
      </c>
      <c r="C644" s="925">
        <f t="shared" si="141"/>
        <v>3696801.08</v>
      </c>
      <c r="D644" s="925">
        <f t="shared" si="140"/>
        <v>3428284.57</v>
      </c>
      <c r="E644" s="929">
        <v>0</v>
      </c>
      <c r="F644" s="929">
        <v>0</v>
      </c>
      <c r="G644" s="929">
        <v>0</v>
      </c>
      <c r="H644" s="929">
        <v>0</v>
      </c>
      <c r="I644" s="929">
        <v>0</v>
      </c>
      <c r="J644" s="929">
        <v>3428284.57</v>
      </c>
      <c r="K644" s="862">
        <v>0</v>
      </c>
      <c r="L644" s="929">
        <v>0</v>
      </c>
      <c r="M644" s="929">
        <v>0</v>
      </c>
      <c r="N644" s="929">
        <v>0</v>
      </c>
      <c r="O644" s="929">
        <v>0</v>
      </c>
      <c r="P644" s="929">
        <v>0</v>
      </c>
      <c r="Q644" s="929">
        <v>0</v>
      </c>
      <c r="R644" s="929">
        <v>0</v>
      </c>
      <c r="S644" s="929">
        <v>0</v>
      </c>
      <c r="T644" s="929">
        <v>0</v>
      </c>
      <c r="U644" s="929">
        <v>0</v>
      </c>
      <c r="V644" s="929">
        <v>0</v>
      </c>
      <c r="W644" s="929">
        <v>0</v>
      </c>
      <c r="X644" s="929">
        <v>0</v>
      </c>
      <c r="Y644" s="929">
        <v>0</v>
      </c>
      <c r="Z644" s="864">
        <v>268516.51</v>
      </c>
      <c r="AA644" s="929">
        <v>0</v>
      </c>
    </row>
    <row r="645" spans="1:27" s="867" customFormat="1" ht="102.75" customHeight="1">
      <c r="A645" s="927">
        <v>146</v>
      </c>
      <c r="B645" s="868" t="s">
        <v>2221</v>
      </c>
      <c r="C645" s="925">
        <f t="shared" si="141"/>
        <v>5106091.2699999996</v>
      </c>
      <c r="D645" s="925">
        <f t="shared" si="140"/>
        <v>4231102.92</v>
      </c>
      <c r="E645" s="929">
        <v>0</v>
      </c>
      <c r="F645" s="929">
        <v>4231102.92</v>
      </c>
      <c r="G645" s="929">
        <v>0</v>
      </c>
      <c r="H645" s="929">
        <v>0</v>
      </c>
      <c r="I645" s="929">
        <v>0</v>
      </c>
      <c r="J645" s="929">
        <v>0</v>
      </c>
      <c r="K645" s="862">
        <v>2</v>
      </c>
      <c r="L645" s="929">
        <v>504109</v>
      </c>
      <c r="M645" s="929">
        <v>0</v>
      </c>
      <c r="N645" s="929">
        <v>0</v>
      </c>
      <c r="O645" s="929">
        <v>0</v>
      </c>
      <c r="P645" s="929">
        <v>0</v>
      </c>
      <c r="Q645" s="929">
        <v>0</v>
      </c>
      <c r="R645" s="929">
        <v>0</v>
      </c>
      <c r="S645" s="929">
        <v>0</v>
      </c>
      <c r="T645" s="929">
        <v>0</v>
      </c>
      <c r="U645" s="929">
        <v>0</v>
      </c>
      <c r="V645" s="929">
        <v>0</v>
      </c>
      <c r="W645" s="929">
        <v>0</v>
      </c>
      <c r="X645" s="929">
        <v>0</v>
      </c>
      <c r="Y645" s="929">
        <v>0</v>
      </c>
      <c r="Z645" s="864">
        <v>370879.35</v>
      </c>
      <c r="AA645" s="929">
        <v>0</v>
      </c>
    </row>
    <row r="646" spans="1:27" s="867" customFormat="1" ht="102.75" customHeight="1">
      <c r="A646" s="927">
        <v>147</v>
      </c>
      <c r="B646" s="868" t="s">
        <v>1757</v>
      </c>
      <c r="C646" s="925">
        <f t="shared" si="141"/>
        <v>10683407</v>
      </c>
      <c r="D646" s="925">
        <f t="shared" si="140"/>
        <v>6529766</v>
      </c>
      <c r="E646" s="929">
        <v>0</v>
      </c>
      <c r="F646" s="929">
        <v>4703645</v>
      </c>
      <c r="G646" s="929">
        <v>0</v>
      </c>
      <c r="H646" s="929">
        <v>0</v>
      </c>
      <c r="I646" s="929">
        <v>0</v>
      </c>
      <c r="J646" s="929">
        <v>1826121</v>
      </c>
      <c r="K646" s="862">
        <v>0</v>
      </c>
      <c r="L646" s="929">
        <v>0</v>
      </c>
      <c r="M646" s="929">
        <v>0</v>
      </c>
      <c r="N646" s="929">
        <v>0</v>
      </c>
      <c r="O646" s="929">
        <v>913</v>
      </c>
      <c r="P646" s="929">
        <v>3377653</v>
      </c>
      <c r="Q646" s="929">
        <v>0</v>
      </c>
      <c r="R646" s="929">
        <v>0</v>
      </c>
      <c r="S646" s="929">
        <v>0</v>
      </c>
      <c r="T646" s="929">
        <v>0</v>
      </c>
      <c r="U646" s="929">
        <v>0</v>
      </c>
      <c r="V646" s="929">
        <v>0</v>
      </c>
      <c r="W646" s="929">
        <v>0</v>
      </c>
      <c r="X646" s="929">
        <v>0</v>
      </c>
      <c r="Y646" s="929">
        <v>0</v>
      </c>
      <c r="Z646" s="864">
        <v>775988</v>
      </c>
      <c r="AA646" s="929">
        <v>0</v>
      </c>
    </row>
    <row r="647" spans="1:27" s="867" customFormat="1" ht="102.75" customHeight="1">
      <c r="A647" s="927">
        <v>148</v>
      </c>
      <c r="B647" s="868" t="s">
        <v>2222</v>
      </c>
      <c r="C647" s="925">
        <f t="shared" si="141"/>
        <v>1719275.94</v>
      </c>
      <c r="D647" s="925">
        <f t="shared" si="140"/>
        <v>0</v>
      </c>
      <c r="E647" s="929">
        <v>0</v>
      </c>
      <c r="F647" s="929">
        <v>0</v>
      </c>
      <c r="G647" s="929">
        <v>0</v>
      </c>
      <c r="H647" s="929">
        <v>0</v>
      </c>
      <c r="I647" s="929">
        <v>0</v>
      </c>
      <c r="J647" s="929">
        <v>0</v>
      </c>
      <c r="K647" s="862">
        <v>0</v>
      </c>
      <c r="L647" s="929">
        <v>0</v>
      </c>
      <c r="M647" s="929">
        <v>0</v>
      </c>
      <c r="N647" s="929">
        <v>0</v>
      </c>
      <c r="O647" s="929">
        <v>0</v>
      </c>
      <c r="P647" s="929">
        <v>0</v>
      </c>
      <c r="Q647" s="929">
        <v>0</v>
      </c>
      <c r="R647" s="929">
        <v>0</v>
      </c>
      <c r="S647" s="929">
        <v>543.71</v>
      </c>
      <c r="T647" s="929">
        <v>1594396.63</v>
      </c>
      <c r="U647" s="929">
        <v>0</v>
      </c>
      <c r="V647" s="929">
        <v>0</v>
      </c>
      <c r="W647" s="929">
        <v>0</v>
      </c>
      <c r="X647" s="929">
        <v>0</v>
      </c>
      <c r="Y647" s="929">
        <v>0</v>
      </c>
      <c r="Z647" s="864">
        <v>124879.31</v>
      </c>
      <c r="AA647" s="929">
        <v>0</v>
      </c>
    </row>
    <row r="648" spans="1:27" s="867" customFormat="1" ht="102.75" customHeight="1">
      <c r="A648" s="927">
        <v>149</v>
      </c>
      <c r="B648" s="868" t="s">
        <v>1759</v>
      </c>
      <c r="C648" s="925">
        <f t="shared" si="141"/>
        <v>11926908</v>
      </c>
      <c r="D648" s="925">
        <f t="shared" si="140"/>
        <v>3477344</v>
      </c>
      <c r="E648" s="929">
        <v>0</v>
      </c>
      <c r="F648" s="929">
        <v>3477344</v>
      </c>
      <c r="G648" s="929">
        <v>0</v>
      </c>
      <c r="H648" s="929">
        <v>0</v>
      </c>
      <c r="I648" s="929">
        <v>0</v>
      </c>
      <c r="J648" s="929">
        <v>0</v>
      </c>
      <c r="K648" s="862">
        <v>0</v>
      </c>
      <c r="L648" s="929">
        <v>0</v>
      </c>
      <c r="M648" s="929">
        <v>0</v>
      </c>
      <c r="N648" s="929">
        <v>0</v>
      </c>
      <c r="O648" s="929">
        <v>0</v>
      </c>
      <c r="P648" s="929">
        <v>0</v>
      </c>
      <c r="Q648" s="929">
        <v>0</v>
      </c>
      <c r="R648" s="929">
        <v>0</v>
      </c>
      <c r="S648" s="929">
        <v>0</v>
      </c>
      <c r="T648" s="929">
        <v>0</v>
      </c>
      <c r="U648" s="929">
        <v>1852.01</v>
      </c>
      <c r="V648" s="929">
        <v>7583255</v>
      </c>
      <c r="W648" s="929">
        <v>0</v>
      </c>
      <c r="X648" s="929">
        <v>0</v>
      </c>
      <c r="Y648" s="929">
        <v>0</v>
      </c>
      <c r="Z648" s="864">
        <v>866309</v>
      </c>
      <c r="AA648" s="929">
        <v>0</v>
      </c>
    </row>
    <row r="649" spans="1:27" s="867" customFormat="1" ht="102.75" customHeight="1">
      <c r="A649" s="927">
        <v>150</v>
      </c>
      <c r="B649" s="868" t="s">
        <v>1760</v>
      </c>
      <c r="C649" s="925">
        <f t="shared" si="141"/>
        <v>6562045</v>
      </c>
      <c r="D649" s="925">
        <f t="shared" si="140"/>
        <v>5596006</v>
      </c>
      <c r="E649" s="929">
        <v>1167664</v>
      </c>
      <c r="F649" s="929">
        <v>2211731</v>
      </c>
      <c r="G649" s="929">
        <v>0</v>
      </c>
      <c r="H649" s="929">
        <v>1357938</v>
      </c>
      <c r="I649" s="929">
        <v>0</v>
      </c>
      <c r="J649" s="929">
        <v>858673</v>
      </c>
      <c r="K649" s="862">
        <v>0</v>
      </c>
      <c r="L649" s="929">
        <v>489407</v>
      </c>
      <c r="M649" s="929">
        <v>0</v>
      </c>
      <c r="N649" s="929">
        <v>0</v>
      </c>
      <c r="O649" s="929">
        <v>0</v>
      </c>
      <c r="P649" s="929">
        <v>0</v>
      </c>
      <c r="Q649" s="929">
        <v>0</v>
      </c>
      <c r="R649" s="929">
        <v>0</v>
      </c>
      <c r="S649" s="929">
        <v>0</v>
      </c>
      <c r="T649" s="929">
        <v>0</v>
      </c>
      <c r="U649" s="929">
        <v>0</v>
      </c>
      <c r="V649" s="929">
        <v>0</v>
      </c>
      <c r="W649" s="929">
        <v>0</v>
      </c>
      <c r="X649" s="929">
        <v>0</v>
      </c>
      <c r="Y649" s="929">
        <v>0</v>
      </c>
      <c r="Z649" s="864">
        <v>476632</v>
      </c>
      <c r="AA649" s="929">
        <v>0</v>
      </c>
    </row>
    <row r="650" spans="1:27" s="867" customFormat="1" ht="102.75" customHeight="1">
      <c r="A650" s="927">
        <v>151</v>
      </c>
      <c r="B650" s="868" t="s">
        <v>1761</v>
      </c>
      <c r="C650" s="925">
        <f t="shared" si="141"/>
        <v>551566.66</v>
      </c>
      <c r="D650" s="925">
        <f t="shared" si="140"/>
        <v>515311.01</v>
      </c>
      <c r="E650" s="929">
        <v>0</v>
      </c>
      <c r="F650" s="929">
        <v>0</v>
      </c>
      <c r="G650" s="929">
        <v>0</v>
      </c>
      <c r="H650" s="929">
        <v>0</v>
      </c>
      <c r="I650" s="929">
        <v>0</v>
      </c>
      <c r="J650" s="929">
        <v>515311.01</v>
      </c>
      <c r="K650" s="862">
        <v>0</v>
      </c>
      <c r="L650" s="929">
        <v>0</v>
      </c>
      <c r="M650" s="929">
        <v>0</v>
      </c>
      <c r="N650" s="929">
        <v>0</v>
      </c>
      <c r="O650" s="929">
        <v>0</v>
      </c>
      <c r="P650" s="929">
        <v>0</v>
      </c>
      <c r="Q650" s="929">
        <v>0</v>
      </c>
      <c r="R650" s="929">
        <v>0</v>
      </c>
      <c r="S650" s="929">
        <v>0</v>
      </c>
      <c r="T650" s="929">
        <v>0</v>
      </c>
      <c r="U650" s="929">
        <v>0</v>
      </c>
      <c r="V650" s="929">
        <v>0</v>
      </c>
      <c r="W650" s="929">
        <v>0</v>
      </c>
      <c r="X650" s="929">
        <v>0</v>
      </c>
      <c r="Y650" s="929">
        <v>0</v>
      </c>
      <c r="Z650" s="864">
        <v>36255.65</v>
      </c>
      <c r="AA650" s="929">
        <v>0</v>
      </c>
    </row>
    <row r="651" spans="1:27" s="867" customFormat="1" ht="102.75" customHeight="1">
      <c r="A651" s="927">
        <v>152</v>
      </c>
      <c r="B651" s="868" t="s">
        <v>2223</v>
      </c>
      <c r="C651" s="925">
        <f t="shared" si="141"/>
        <v>6693380.4100000001</v>
      </c>
      <c r="D651" s="925">
        <f t="shared" si="140"/>
        <v>3698412.79</v>
      </c>
      <c r="E651" s="929">
        <v>546276.38</v>
      </c>
      <c r="F651" s="929">
        <v>1034915.16</v>
      </c>
      <c r="G651" s="929">
        <v>445090.37</v>
      </c>
      <c r="H651" s="929">
        <v>635294.46</v>
      </c>
      <c r="I651" s="929">
        <v>635294.46</v>
      </c>
      <c r="J651" s="929">
        <v>401541.96</v>
      </c>
      <c r="K651" s="862">
        <v>3</v>
      </c>
      <c r="L651" s="929">
        <v>581655</v>
      </c>
      <c r="M651" s="929">
        <v>0</v>
      </c>
      <c r="N651" s="929">
        <v>0</v>
      </c>
      <c r="O651" s="929">
        <v>0</v>
      </c>
      <c r="P651" s="929">
        <v>0</v>
      </c>
      <c r="Q651" s="929">
        <v>0</v>
      </c>
      <c r="R651" s="929">
        <v>0</v>
      </c>
      <c r="S651" s="929">
        <v>657.18</v>
      </c>
      <c r="T651" s="929">
        <v>1927140.52</v>
      </c>
      <c r="U651" s="929">
        <v>0</v>
      </c>
      <c r="V651" s="929">
        <v>0</v>
      </c>
      <c r="W651" s="929">
        <v>0</v>
      </c>
      <c r="X651" s="929">
        <v>0</v>
      </c>
      <c r="Y651" s="929">
        <v>0</v>
      </c>
      <c r="Z651" s="864">
        <v>486172.1</v>
      </c>
      <c r="AA651" s="929">
        <v>0</v>
      </c>
    </row>
    <row r="652" spans="1:27" s="867" customFormat="1" ht="102.75" customHeight="1">
      <c r="A652" s="927">
        <v>153</v>
      </c>
      <c r="B652" s="868" t="s">
        <v>2224</v>
      </c>
      <c r="C652" s="925">
        <f t="shared" si="141"/>
        <v>15599076.479999999</v>
      </c>
      <c r="D652" s="925">
        <f t="shared" si="140"/>
        <v>2116415.36</v>
      </c>
      <c r="E652" s="929">
        <v>0</v>
      </c>
      <c r="F652" s="929">
        <v>0</v>
      </c>
      <c r="G652" s="929">
        <v>2116415.36</v>
      </c>
      <c r="H652" s="929">
        <v>0</v>
      </c>
      <c r="I652" s="929">
        <v>0</v>
      </c>
      <c r="J652" s="929">
        <v>0</v>
      </c>
      <c r="K652" s="862">
        <v>3</v>
      </c>
      <c r="L652" s="929">
        <v>581655</v>
      </c>
      <c r="M652" s="929">
        <v>0</v>
      </c>
      <c r="N652" s="929">
        <v>0</v>
      </c>
      <c r="O652" s="929">
        <v>1455.82</v>
      </c>
      <c r="P652" s="929">
        <v>12238844.939999999</v>
      </c>
      <c r="Q652" s="929">
        <v>0</v>
      </c>
      <c r="R652" s="929">
        <v>0</v>
      </c>
      <c r="S652" s="929">
        <v>0</v>
      </c>
      <c r="T652" s="929">
        <v>0</v>
      </c>
      <c r="U652" s="929">
        <v>0</v>
      </c>
      <c r="V652" s="929">
        <v>0</v>
      </c>
      <c r="W652" s="929">
        <v>0</v>
      </c>
      <c r="X652" s="929">
        <v>0</v>
      </c>
      <c r="Y652" s="929">
        <v>0</v>
      </c>
      <c r="Z652" s="929">
        <v>662161.18000000005</v>
      </c>
      <c r="AA652" s="929">
        <v>0</v>
      </c>
    </row>
    <row r="653" spans="1:27" s="867" customFormat="1" ht="102.75" customHeight="1">
      <c r="A653" s="927">
        <v>154</v>
      </c>
      <c r="B653" s="868" t="s">
        <v>1764</v>
      </c>
      <c r="C653" s="925">
        <f t="shared" si="141"/>
        <v>32731154.650000002</v>
      </c>
      <c r="D653" s="925">
        <f t="shared" si="140"/>
        <v>5804045.9499999993</v>
      </c>
      <c r="E653" s="929">
        <v>1190394.6099999999</v>
      </c>
      <c r="F653" s="929">
        <v>0</v>
      </c>
      <c r="G653" s="929">
        <v>969899.48</v>
      </c>
      <c r="H653" s="929">
        <v>1384374.51</v>
      </c>
      <c r="I653" s="929">
        <v>1384374.51</v>
      </c>
      <c r="J653" s="929">
        <v>875002.84</v>
      </c>
      <c r="K653" s="862">
        <v>3</v>
      </c>
      <c r="L653" s="929">
        <v>581655</v>
      </c>
      <c r="M653" s="925">
        <v>0</v>
      </c>
      <c r="N653" s="929">
        <v>0</v>
      </c>
      <c r="O653" s="929">
        <v>1305.3</v>
      </c>
      <c r="P653" s="929">
        <f>11418794.4+244361.56</f>
        <v>11663155.960000001</v>
      </c>
      <c r="Q653" s="929">
        <v>0</v>
      </c>
      <c r="R653" s="929">
        <v>0</v>
      </c>
      <c r="S653" s="887">
        <v>0</v>
      </c>
      <c r="T653" s="929">
        <v>0</v>
      </c>
      <c r="U653" s="929">
        <v>1380</v>
      </c>
      <c r="V653" s="925">
        <f>12058440+245529.05</f>
        <v>12303969.050000001</v>
      </c>
      <c r="W653" s="929">
        <v>0</v>
      </c>
      <c r="X653" s="929">
        <v>0</v>
      </c>
      <c r="Y653" s="929">
        <v>0</v>
      </c>
      <c r="Z653" s="864">
        <v>2378328.69</v>
      </c>
      <c r="AA653" s="929">
        <v>0</v>
      </c>
    </row>
    <row r="654" spans="1:27" s="867" customFormat="1" ht="102.75" customHeight="1">
      <c r="A654" s="927">
        <v>155</v>
      </c>
      <c r="B654" s="868" t="s">
        <v>1765</v>
      </c>
      <c r="C654" s="925">
        <f t="shared" si="141"/>
        <v>2470545.9299999997</v>
      </c>
      <c r="D654" s="925">
        <f t="shared" si="140"/>
        <v>1884770.42</v>
      </c>
      <c r="E654" s="929">
        <v>336129.87</v>
      </c>
      <c r="F654" s="929">
        <v>636794.69000000006</v>
      </c>
      <c r="G654" s="929">
        <v>273869</v>
      </c>
      <c r="H654" s="929">
        <v>390903.67</v>
      </c>
      <c r="I654" s="929">
        <v>0</v>
      </c>
      <c r="J654" s="929">
        <v>247073.19</v>
      </c>
      <c r="K654" s="862">
        <v>2</v>
      </c>
      <c r="L654" s="929">
        <v>406328</v>
      </c>
      <c r="M654" s="929">
        <v>0</v>
      </c>
      <c r="N654" s="929">
        <v>0</v>
      </c>
      <c r="O654" s="929">
        <v>0</v>
      </c>
      <c r="P654" s="929">
        <v>0</v>
      </c>
      <c r="Q654" s="929">
        <v>0</v>
      </c>
      <c r="R654" s="929">
        <v>0</v>
      </c>
      <c r="S654" s="929">
        <v>0</v>
      </c>
      <c r="T654" s="929">
        <v>0</v>
      </c>
      <c r="U654" s="929">
        <v>0</v>
      </c>
      <c r="V654" s="929">
        <v>0</v>
      </c>
      <c r="W654" s="929">
        <v>0</v>
      </c>
      <c r="X654" s="929">
        <v>0</v>
      </c>
      <c r="Y654" s="929">
        <v>0</v>
      </c>
      <c r="Z654" s="864">
        <v>179447.51</v>
      </c>
      <c r="AA654" s="929">
        <v>0</v>
      </c>
    </row>
    <row r="655" spans="1:27" s="867" customFormat="1" ht="102.75" customHeight="1">
      <c r="A655" s="927">
        <v>156</v>
      </c>
      <c r="B655" s="868" t="s">
        <v>1766</v>
      </c>
      <c r="C655" s="925">
        <f t="shared" si="141"/>
        <v>28462648.93</v>
      </c>
      <c r="D655" s="925">
        <f t="shared" si="140"/>
        <v>11186797.699999999</v>
      </c>
      <c r="E655" s="929">
        <v>0</v>
      </c>
      <c r="F655" s="929">
        <v>5588211.7699999996</v>
      </c>
      <c r="G655" s="929">
        <v>0</v>
      </c>
      <c r="H655" s="929">
        <v>3430387.43</v>
      </c>
      <c r="I655" s="929">
        <v>0</v>
      </c>
      <c r="J655" s="929">
        <v>2168198.5</v>
      </c>
      <c r="K655" s="862">
        <v>2</v>
      </c>
      <c r="L655" s="929">
        <v>406328</v>
      </c>
      <c r="M655" s="929">
        <v>0</v>
      </c>
      <c r="N655" s="929">
        <v>0</v>
      </c>
      <c r="O655" s="929">
        <v>0</v>
      </c>
      <c r="P655" s="929">
        <v>0</v>
      </c>
      <c r="Q655" s="929">
        <v>0</v>
      </c>
      <c r="R655" s="929">
        <v>0</v>
      </c>
      <c r="S655" s="929">
        <v>0</v>
      </c>
      <c r="T655" s="929">
        <v>0</v>
      </c>
      <c r="U655" s="929">
        <v>2605.17</v>
      </c>
      <c r="V655" s="929">
        <v>15055383.98</v>
      </c>
      <c r="W655" s="929">
        <v>0</v>
      </c>
      <c r="X655" s="929">
        <v>0</v>
      </c>
      <c r="Y655" s="929">
        <v>0</v>
      </c>
      <c r="Z655" s="864">
        <v>1814139.25</v>
      </c>
      <c r="AA655" s="929">
        <v>0</v>
      </c>
    </row>
    <row r="656" spans="1:27" s="867" customFormat="1" ht="102.75" customHeight="1">
      <c r="A656" s="927">
        <v>157</v>
      </c>
      <c r="B656" s="868" t="s">
        <v>1740</v>
      </c>
      <c r="C656" s="925">
        <f t="shared" si="141"/>
        <v>1024462.14</v>
      </c>
      <c r="D656" s="925">
        <f t="shared" si="140"/>
        <v>445942.22</v>
      </c>
      <c r="E656" s="929">
        <v>0</v>
      </c>
      <c r="F656" s="929">
        <v>0</v>
      </c>
      <c r="G656" s="929">
        <v>445942.22</v>
      </c>
      <c r="H656" s="929">
        <v>0</v>
      </c>
      <c r="I656" s="929">
        <v>0</v>
      </c>
      <c r="J656" s="929">
        <v>0</v>
      </c>
      <c r="K656" s="862">
        <v>2</v>
      </c>
      <c r="L656" s="929">
        <v>504109</v>
      </c>
      <c r="M656" s="929">
        <v>0</v>
      </c>
      <c r="N656" s="929">
        <v>0</v>
      </c>
      <c r="O656" s="929">
        <v>0</v>
      </c>
      <c r="P656" s="929">
        <v>0</v>
      </c>
      <c r="Q656" s="929">
        <v>0</v>
      </c>
      <c r="R656" s="929">
        <v>0</v>
      </c>
      <c r="S656" s="929">
        <v>0</v>
      </c>
      <c r="T656" s="929">
        <v>0</v>
      </c>
      <c r="U656" s="929">
        <v>0</v>
      </c>
      <c r="V656" s="929">
        <v>0</v>
      </c>
      <c r="W656" s="929">
        <v>0</v>
      </c>
      <c r="X656" s="929">
        <v>0</v>
      </c>
      <c r="Y656" s="929">
        <v>0</v>
      </c>
      <c r="Z656" s="864">
        <v>74410.92</v>
      </c>
      <c r="AA656" s="929">
        <v>0</v>
      </c>
    </row>
    <row r="657" spans="1:27" s="867" customFormat="1" ht="102.75" customHeight="1">
      <c r="A657" s="927">
        <v>158</v>
      </c>
      <c r="B657" s="868" t="s">
        <v>1767</v>
      </c>
      <c r="C657" s="925">
        <f t="shared" si="141"/>
        <v>16969785.760000002</v>
      </c>
      <c r="D657" s="925">
        <f t="shared" si="140"/>
        <v>6458115.5800000001</v>
      </c>
      <c r="E657" s="929">
        <v>0</v>
      </c>
      <c r="F657" s="929">
        <v>3226063.3</v>
      </c>
      <c r="G657" s="929">
        <v>0</v>
      </c>
      <c r="H657" s="929">
        <v>0</v>
      </c>
      <c r="I657" s="929">
        <v>1980355.69</v>
      </c>
      <c r="J657" s="929">
        <v>1251696.5900000001</v>
      </c>
      <c r="K657" s="862">
        <v>3</v>
      </c>
      <c r="L657" s="929">
        <v>581655</v>
      </c>
      <c r="M657" s="929">
        <v>0</v>
      </c>
      <c r="N657" s="929">
        <v>0</v>
      </c>
      <c r="O657" s="929">
        <v>0</v>
      </c>
      <c r="P657" s="929">
        <v>0</v>
      </c>
      <c r="Q657" s="929">
        <v>0</v>
      </c>
      <c r="R657" s="929">
        <v>0</v>
      </c>
      <c r="S657" s="929">
        <v>0</v>
      </c>
      <c r="T657" s="929">
        <v>0</v>
      </c>
      <c r="U657" s="929">
        <v>1548.4</v>
      </c>
      <c r="V657" s="929">
        <v>8835515.9600000009</v>
      </c>
      <c r="W657" s="929">
        <v>0</v>
      </c>
      <c r="X657" s="929">
        <v>0</v>
      </c>
      <c r="Y657" s="929">
        <v>0</v>
      </c>
      <c r="Z657" s="864">
        <v>1094499.22</v>
      </c>
      <c r="AA657" s="929">
        <v>0</v>
      </c>
    </row>
    <row r="658" spans="1:27" s="867" customFormat="1" ht="102.75" customHeight="1">
      <c r="A658" s="927">
        <v>159</v>
      </c>
      <c r="B658" s="868" t="s">
        <v>1768</v>
      </c>
      <c r="C658" s="925">
        <f t="shared" si="141"/>
        <v>9613909.290000001</v>
      </c>
      <c r="D658" s="925">
        <f>SUM(E658:J658)</f>
        <v>0</v>
      </c>
      <c r="E658" s="929">
        <v>0</v>
      </c>
      <c r="F658" s="929">
        <v>0</v>
      </c>
      <c r="G658" s="929">
        <v>0</v>
      </c>
      <c r="H658" s="929">
        <v>0</v>
      </c>
      <c r="I658" s="929">
        <v>0</v>
      </c>
      <c r="J658" s="929">
        <v>0</v>
      </c>
      <c r="K658" s="862">
        <v>0</v>
      </c>
      <c r="L658" s="929">
        <v>0</v>
      </c>
      <c r="M658" s="929">
        <v>0</v>
      </c>
      <c r="N658" s="929">
        <v>0</v>
      </c>
      <c r="O658" s="929">
        <v>492.4</v>
      </c>
      <c r="P658" s="929">
        <v>2344693.9699999997</v>
      </c>
      <c r="Q658" s="929">
        <v>0</v>
      </c>
      <c r="R658" s="929">
        <v>0</v>
      </c>
      <c r="S658" s="929">
        <v>0</v>
      </c>
      <c r="T658" s="929">
        <v>0</v>
      </c>
      <c r="U658" s="929">
        <v>1164</v>
      </c>
      <c r="V658" s="929">
        <v>6717076.0800000001</v>
      </c>
      <c r="W658" s="929">
        <v>0</v>
      </c>
      <c r="X658" s="929">
        <v>0</v>
      </c>
      <c r="Y658" s="929">
        <v>0</v>
      </c>
      <c r="Z658" s="864">
        <v>552139.24</v>
      </c>
      <c r="AA658" s="929">
        <v>0</v>
      </c>
    </row>
    <row r="659" spans="1:27" s="867" customFormat="1" ht="102.75" customHeight="1">
      <c r="A659" s="927">
        <v>160</v>
      </c>
      <c r="B659" s="868" t="s">
        <v>1743</v>
      </c>
      <c r="C659" s="925">
        <f t="shared" si="141"/>
        <v>2716601.3400000003</v>
      </c>
      <c r="D659" s="925">
        <f>SUM(E659:J659)</f>
        <v>2015173.1800000002</v>
      </c>
      <c r="E659" s="882">
        <v>0</v>
      </c>
      <c r="F659" s="882">
        <v>1248665.5900000001</v>
      </c>
      <c r="G659" s="882">
        <v>0</v>
      </c>
      <c r="H659" s="882">
        <v>0</v>
      </c>
      <c r="I659" s="882">
        <v>766507.59</v>
      </c>
      <c r="J659" s="882">
        <v>0</v>
      </c>
      <c r="K659" s="888">
        <v>2</v>
      </c>
      <c r="L659" s="882">
        <v>504109</v>
      </c>
      <c r="M659" s="882">
        <v>0</v>
      </c>
      <c r="N659" s="882">
        <v>0</v>
      </c>
      <c r="O659" s="882">
        <v>0</v>
      </c>
      <c r="P659" s="882">
        <v>0</v>
      </c>
      <c r="Q659" s="882">
        <v>0</v>
      </c>
      <c r="R659" s="882">
        <v>0</v>
      </c>
      <c r="S659" s="882">
        <v>0</v>
      </c>
      <c r="T659" s="882">
        <v>0</v>
      </c>
      <c r="U659" s="882">
        <v>0</v>
      </c>
      <c r="V659" s="882">
        <v>0</v>
      </c>
      <c r="W659" s="882">
        <v>0</v>
      </c>
      <c r="X659" s="882">
        <v>0</v>
      </c>
      <c r="Y659" s="882">
        <v>0</v>
      </c>
      <c r="Z659" s="884">
        <v>197319.16</v>
      </c>
      <c r="AA659" s="929">
        <v>0</v>
      </c>
    </row>
    <row r="660" spans="1:27" s="867" customFormat="1" ht="117.75" customHeight="1">
      <c r="A660" s="927">
        <v>161</v>
      </c>
      <c r="B660" s="868" t="s">
        <v>1769</v>
      </c>
      <c r="C660" s="925">
        <f t="shared" si="141"/>
        <v>158366868.72</v>
      </c>
      <c r="D660" s="925">
        <f>SUM(E660:J660)</f>
        <v>4033512.61</v>
      </c>
      <c r="E660" s="929">
        <v>4033512.61</v>
      </c>
      <c r="F660" s="929">
        <v>0</v>
      </c>
      <c r="G660" s="929">
        <v>0</v>
      </c>
      <c r="H660" s="929">
        <v>0</v>
      </c>
      <c r="I660" s="929">
        <v>0</v>
      </c>
      <c r="J660" s="929">
        <v>0</v>
      </c>
      <c r="K660" s="862">
        <v>0</v>
      </c>
      <c r="L660" s="929">
        <v>0</v>
      </c>
      <c r="M660" s="929">
        <v>0</v>
      </c>
      <c r="N660" s="929">
        <v>0</v>
      </c>
      <c r="O660" s="929">
        <v>1303.42</v>
      </c>
      <c r="P660" s="929">
        <v>41716126.369999997</v>
      </c>
      <c r="Q660" s="929">
        <v>0</v>
      </c>
      <c r="R660" s="929">
        <v>0</v>
      </c>
      <c r="S660" s="929">
        <v>3172.33</v>
      </c>
      <c r="T660" s="929">
        <v>101622188.18000001</v>
      </c>
      <c r="U660" s="929">
        <v>0</v>
      </c>
      <c r="V660" s="929">
        <v>0</v>
      </c>
      <c r="W660" s="929">
        <v>0</v>
      </c>
      <c r="X660" s="929">
        <v>0</v>
      </c>
      <c r="Y660" s="929">
        <v>0</v>
      </c>
      <c r="Z660" s="864">
        <v>10995041.560000001</v>
      </c>
      <c r="AA660" s="929">
        <v>0</v>
      </c>
    </row>
    <row r="661" spans="1:27" s="867" customFormat="1" ht="87.75" customHeight="1">
      <c r="A661" s="1198" t="s">
        <v>2053</v>
      </c>
      <c r="B661" s="1199"/>
      <c r="C661" s="925">
        <f>SUM(C662:C702)</f>
        <v>84862777.406000018</v>
      </c>
      <c r="D661" s="925">
        <f t="shared" ref="D661:AA661" si="142">SUM(D662:D702)</f>
        <v>6277298.7400000002</v>
      </c>
      <c r="E661" s="925">
        <f t="shared" si="142"/>
        <v>784303.03</v>
      </c>
      <c r="F661" s="925">
        <f t="shared" si="142"/>
        <v>0</v>
      </c>
      <c r="G661" s="925">
        <f t="shared" si="142"/>
        <v>0</v>
      </c>
      <c r="H661" s="925">
        <f t="shared" si="142"/>
        <v>1076251.6299999999</v>
      </c>
      <c r="I661" s="925">
        <f t="shared" si="142"/>
        <v>0</v>
      </c>
      <c r="J661" s="925">
        <f t="shared" si="142"/>
        <v>4416744.08</v>
      </c>
      <c r="K661" s="861">
        <f t="shared" si="142"/>
        <v>0</v>
      </c>
      <c r="L661" s="925">
        <f t="shared" si="142"/>
        <v>0</v>
      </c>
      <c r="M661" s="925">
        <f t="shared" si="142"/>
        <v>0</v>
      </c>
      <c r="N661" s="925">
        <f t="shared" si="142"/>
        <v>0</v>
      </c>
      <c r="O661" s="925">
        <f t="shared" si="142"/>
        <v>12364.03</v>
      </c>
      <c r="P661" s="925">
        <f t="shared" si="142"/>
        <v>55920766.639999993</v>
      </c>
      <c r="Q661" s="925">
        <f t="shared" si="142"/>
        <v>915.6</v>
      </c>
      <c r="R661" s="925">
        <f t="shared" si="142"/>
        <v>1613063.1099999999</v>
      </c>
      <c r="S661" s="925">
        <f t="shared" si="142"/>
        <v>4701.67</v>
      </c>
      <c r="T661" s="925">
        <f t="shared" si="142"/>
        <v>15362591.890000001</v>
      </c>
      <c r="U661" s="925">
        <f t="shared" si="142"/>
        <v>0</v>
      </c>
      <c r="V661" s="925">
        <f t="shared" si="142"/>
        <v>0</v>
      </c>
      <c r="W661" s="925">
        <f t="shared" si="142"/>
        <v>0</v>
      </c>
      <c r="X661" s="925">
        <f t="shared" si="142"/>
        <v>0</v>
      </c>
      <c r="Y661" s="925">
        <f t="shared" si="142"/>
        <v>0</v>
      </c>
      <c r="Z661" s="921">
        <f t="shared" si="142"/>
        <v>5689057.0260000005</v>
      </c>
      <c r="AA661" s="925">
        <f t="shared" si="142"/>
        <v>0</v>
      </c>
    </row>
    <row r="662" spans="1:27" s="867" customFormat="1" ht="109.15" customHeight="1">
      <c r="A662" s="927">
        <v>162</v>
      </c>
      <c r="B662" s="868" t="s">
        <v>1612</v>
      </c>
      <c r="C662" s="925">
        <f>D662+N662+P662+R662+T662+X662+Z662</f>
        <v>224043.26</v>
      </c>
      <c r="D662" s="925">
        <f>SUM(E662:J662)</f>
        <v>0</v>
      </c>
      <c r="E662" s="925">
        <v>0</v>
      </c>
      <c r="F662" s="925">
        <v>0</v>
      </c>
      <c r="G662" s="925">
        <v>0</v>
      </c>
      <c r="H662" s="925">
        <v>0</v>
      </c>
      <c r="I662" s="925">
        <v>0</v>
      </c>
      <c r="J662" s="925">
        <v>0</v>
      </c>
      <c r="K662" s="861">
        <v>0</v>
      </c>
      <c r="L662" s="925">
        <v>0</v>
      </c>
      <c r="M662" s="925">
        <v>0</v>
      </c>
      <c r="N662" s="925">
        <v>0</v>
      </c>
      <c r="O662" s="925">
        <v>0</v>
      </c>
      <c r="P662" s="925">
        <v>0</v>
      </c>
      <c r="Q662" s="925">
        <v>129.4</v>
      </c>
      <c r="R662" s="925">
        <v>207769.92</v>
      </c>
      <c r="S662" s="925">
        <v>0</v>
      </c>
      <c r="T662" s="925">
        <v>0</v>
      </c>
      <c r="U662" s="925">
        <v>0</v>
      </c>
      <c r="V662" s="925">
        <v>0</v>
      </c>
      <c r="W662" s="925">
        <v>0</v>
      </c>
      <c r="X662" s="925">
        <v>0</v>
      </c>
      <c r="Y662" s="925">
        <v>0</v>
      </c>
      <c r="Z662" s="921">
        <v>16273.34</v>
      </c>
      <c r="AA662" s="925">
        <v>0</v>
      </c>
    </row>
    <row r="663" spans="1:27" s="867" customFormat="1" ht="135" customHeight="1">
      <c r="A663" s="927">
        <v>163</v>
      </c>
      <c r="B663" s="868" t="s">
        <v>1613</v>
      </c>
      <c r="C663" s="925">
        <f t="shared" ref="C663:C681" si="143">D663+N663+P663+R663+T663+X663+Z663</f>
        <v>1749322.01</v>
      </c>
      <c r="D663" s="925">
        <f t="shared" ref="D663:D681" si="144">SUM(E663:J663)</f>
        <v>0</v>
      </c>
      <c r="E663" s="925">
        <v>0</v>
      </c>
      <c r="F663" s="925">
        <v>0</v>
      </c>
      <c r="G663" s="925">
        <v>0</v>
      </c>
      <c r="H663" s="925">
        <v>0</v>
      </c>
      <c r="I663" s="925">
        <v>0</v>
      </c>
      <c r="J663" s="925">
        <v>0</v>
      </c>
      <c r="K663" s="861">
        <v>0</v>
      </c>
      <c r="L663" s="925">
        <v>0</v>
      </c>
      <c r="M663" s="925">
        <v>0</v>
      </c>
      <c r="N663" s="925">
        <v>0</v>
      </c>
      <c r="O663" s="925">
        <v>410.3</v>
      </c>
      <c r="P663" s="925">
        <v>1622260.31</v>
      </c>
      <c r="Q663" s="925">
        <v>0</v>
      </c>
      <c r="R663" s="925">
        <v>0</v>
      </c>
      <c r="S663" s="925">
        <v>0</v>
      </c>
      <c r="T663" s="925">
        <v>0</v>
      </c>
      <c r="U663" s="925">
        <v>0</v>
      </c>
      <c r="V663" s="925">
        <v>0</v>
      </c>
      <c r="W663" s="925">
        <v>0</v>
      </c>
      <c r="X663" s="925">
        <v>0</v>
      </c>
      <c r="Y663" s="925">
        <v>0</v>
      </c>
      <c r="Z663" s="921">
        <v>127061.7</v>
      </c>
      <c r="AA663" s="925">
        <v>0</v>
      </c>
    </row>
    <row r="664" spans="1:27" s="867" customFormat="1" ht="114" customHeight="1">
      <c r="A664" s="927">
        <v>164</v>
      </c>
      <c r="B664" s="868" t="s">
        <v>1614</v>
      </c>
      <c r="C664" s="925">
        <f t="shared" si="143"/>
        <v>5408489.0199999996</v>
      </c>
      <c r="D664" s="925">
        <f t="shared" si="144"/>
        <v>0</v>
      </c>
      <c r="E664" s="925">
        <v>0</v>
      </c>
      <c r="F664" s="925">
        <v>0</v>
      </c>
      <c r="G664" s="925">
        <v>0</v>
      </c>
      <c r="H664" s="925">
        <v>0</v>
      </c>
      <c r="I664" s="925">
        <v>0</v>
      </c>
      <c r="J664" s="925">
        <v>0</v>
      </c>
      <c r="K664" s="861">
        <v>0</v>
      </c>
      <c r="L664" s="925">
        <v>0</v>
      </c>
      <c r="M664" s="925">
        <v>0</v>
      </c>
      <c r="N664" s="925">
        <v>0</v>
      </c>
      <c r="O664" s="925">
        <v>0</v>
      </c>
      <c r="P664" s="925">
        <v>0</v>
      </c>
      <c r="Q664" s="925">
        <v>0</v>
      </c>
      <c r="R664" s="925">
        <v>0</v>
      </c>
      <c r="S664" s="925">
        <v>1710.4</v>
      </c>
      <c r="T664" s="925">
        <v>5015644.3499999996</v>
      </c>
      <c r="U664" s="925">
        <v>0</v>
      </c>
      <c r="V664" s="925">
        <v>0</v>
      </c>
      <c r="W664" s="925">
        <v>0</v>
      </c>
      <c r="X664" s="929">
        <v>0</v>
      </c>
      <c r="Y664" s="925">
        <v>0</v>
      </c>
      <c r="Z664" s="921">
        <v>392844.67</v>
      </c>
      <c r="AA664" s="925">
        <v>0</v>
      </c>
    </row>
    <row r="665" spans="1:27" s="867" customFormat="1" ht="135" customHeight="1">
      <c r="A665" s="927">
        <v>165</v>
      </c>
      <c r="B665" s="868" t="s">
        <v>1615</v>
      </c>
      <c r="C665" s="925">
        <f t="shared" si="143"/>
        <v>1160547.8199999998</v>
      </c>
      <c r="D665" s="925">
        <f t="shared" si="144"/>
        <v>1076251.6299999999</v>
      </c>
      <c r="E665" s="925">
        <v>0</v>
      </c>
      <c r="F665" s="925">
        <v>0</v>
      </c>
      <c r="G665" s="925">
        <v>0</v>
      </c>
      <c r="H665" s="925">
        <v>1076251.6299999999</v>
      </c>
      <c r="I665" s="925">
        <v>0</v>
      </c>
      <c r="J665" s="925">
        <v>0</v>
      </c>
      <c r="K665" s="861">
        <v>0</v>
      </c>
      <c r="L665" s="925">
        <v>0</v>
      </c>
      <c r="M665" s="925">
        <v>0</v>
      </c>
      <c r="N665" s="925">
        <v>0</v>
      </c>
      <c r="O665" s="925">
        <v>0</v>
      </c>
      <c r="P665" s="925">
        <v>0</v>
      </c>
      <c r="Q665" s="925">
        <v>0</v>
      </c>
      <c r="R665" s="925">
        <v>0</v>
      </c>
      <c r="S665" s="925">
        <v>0</v>
      </c>
      <c r="T665" s="925">
        <v>0</v>
      </c>
      <c r="U665" s="925">
        <v>0</v>
      </c>
      <c r="V665" s="925">
        <v>0</v>
      </c>
      <c r="W665" s="925">
        <v>0</v>
      </c>
      <c r="X665" s="929">
        <v>0</v>
      </c>
      <c r="Y665" s="925">
        <v>0</v>
      </c>
      <c r="Z665" s="921">
        <v>84296.19</v>
      </c>
      <c r="AA665" s="925">
        <v>0</v>
      </c>
    </row>
    <row r="666" spans="1:27" s="867" customFormat="1" ht="130.5" customHeight="1">
      <c r="A666" s="927">
        <v>166</v>
      </c>
      <c r="B666" s="868" t="s">
        <v>692</v>
      </c>
      <c r="C666" s="925">
        <f>D666+N666+P666+R666+T666+X666+Z666</f>
        <v>1865650.45</v>
      </c>
      <c r="D666" s="925">
        <f>SUM(E666:J666)</f>
        <v>0</v>
      </c>
      <c r="E666" s="925">
        <v>0</v>
      </c>
      <c r="F666" s="925">
        <v>0</v>
      </c>
      <c r="G666" s="925">
        <v>0</v>
      </c>
      <c r="H666" s="925">
        <v>0</v>
      </c>
      <c r="I666" s="925">
        <v>0</v>
      </c>
      <c r="J666" s="925">
        <v>0</v>
      </c>
      <c r="K666" s="861">
        <v>0</v>
      </c>
      <c r="L666" s="925">
        <v>0</v>
      </c>
      <c r="M666" s="925">
        <v>0</v>
      </c>
      <c r="N666" s="925">
        <v>0</v>
      </c>
      <c r="O666" s="925">
        <v>0</v>
      </c>
      <c r="P666" s="925">
        <v>0</v>
      </c>
      <c r="Q666" s="925">
        <v>0</v>
      </c>
      <c r="R666" s="925">
        <v>0</v>
      </c>
      <c r="S666" s="925">
        <v>590</v>
      </c>
      <c r="T666" s="925">
        <v>1730139.25</v>
      </c>
      <c r="U666" s="925">
        <v>0</v>
      </c>
      <c r="V666" s="925">
        <v>0</v>
      </c>
      <c r="W666" s="925">
        <v>0</v>
      </c>
      <c r="X666" s="925">
        <v>0</v>
      </c>
      <c r="Y666" s="925">
        <v>0</v>
      </c>
      <c r="Z666" s="921">
        <v>135511.20000000001</v>
      </c>
      <c r="AA666" s="925">
        <v>0</v>
      </c>
    </row>
    <row r="667" spans="1:27" s="867" customFormat="1" ht="137.25" customHeight="1">
      <c r="A667" s="927">
        <v>167</v>
      </c>
      <c r="B667" s="868" t="s">
        <v>805</v>
      </c>
      <c r="C667" s="925">
        <f>D667+N667+P667+R667+T667+X667+Z667</f>
        <v>1738322.13</v>
      </c>
      <c r="D667" s="925">
        <f>SUM(E667:J667)</f>
        <v>0</v>
      </c>
      <c r="E667" s="925">
        <v>0</v>
      </c>
      <c r="F667" s="925">
        <v>0</v>
      </c>
      <c r="G667" s="925">
        <v>0</v>
      </c>
      <c r="H667" s="925">
        <v>0</v>
      </c>
      <c r="I667" s="925">
        <v>0</v>
      </c>
      <c r="J667" s="925">
        <v>0</v>
      </c>
      <c r="K667" s="861">
        <v>0</v>
      </c>
      <c r="L667" s="925">
        <v>0</v>
      </c>
      <c r="M667" s="925">
        <v>0</v>
      </c>
      <c r="N667" s="925">
        <v>0</v>
      </c>
      <c r="O667" s="925">
        <v>407.72</v>
      </c>
      <c r="P667" s="925">
        <v>1612059.4</v>
      </c>
      <c r="Q667" s="925">
        <v>0</v>
      </c>
      <c r="R667" s="925">
        <v>0</v>
      </c>
      <c r="S667" s="925">
        <v>0</v>
      </c>
      <c r="T667" s="925">
        <v>0</v>
      </c>
      <c r="U667" s="925">
        <v>0</v>
      </c>
      <c r="V667" s="925">
        <v>0</v>
      </c>
      <c r="W667" s="925">
        <v>0</v>
      </c>
      <c r="X667" s="929">
        <v>0</v>
      </c>
      <c r="Y667" s="925">
        <v>0</v>
      </c>
      <c r="Z667" s="921">
        <v>126262.73</v>
      </c>
      <c r="AA667" s="925">
        <v>0</v>
      </c>
    </row>
    <row r="668" spans="1:27" s="867" customFormat="1" ht="109.15" customHeight="1">
      <c r="A668" s="927">
        <v>168</v>
      </c>
      <c r="B668" s="868" t="s">
        <v>2225</v>
      </c>
      <c r="C668" s="925">
        <f>D668+N668+P668+R668+T668+X668+Z668</f>
        <v>58288</v>
      </c>
      <c r="D668" s="925">
        <f>SUM(E668:J668)</f>
        <v>0</v>
      </c>
      <c r="E668" s="925">
        <v>0</v>
      </c>
      <c r="F668" s="925">
        <v>0</v>
      </c>
      <c r="G668" s="925">
        <v>0</v>
      </c>
      <c r="H668" s="925">
        <v>0</v>
      </c>
      <c r="I668" s="925">
        <v>0</v>
      </c>
      <c r="J668" s="925">
        <v>0</v>
      </c>
      <c r="K668" s="861">
        <v>0</v>
      </c>
      <c r="L668" s="925">
        <v>0</v>
      </c>
      <c r="M668" s="925">
        <v>0</v>
      </c>
      <c r="N668" s="925">
        <v>0</v>
      </c>
      <c r="O668" s="925">
        <v>0</v>
      </c>
      <c r="P668" s="925">
        <v>0</v>
      </c>
      <c r="Q668" s="925">
        <v>0</v>
      </c>
      <c r="R668" s="925">
        <v>0</v>
      </c>
      <c r="S668" s="925">
        <v>0</v>
      </c>
      <c r="T668" s="925">
        <v>0</v>
      </c>
      <c r="U668" s="925">
        <v>0</v>
      </c>
      <c r="V668" s="925">
        <v>0</v>
      </c>
      <c r="W668" s="925">
        <v>0</v>
      </c>
      <c r="X668" s="925">
        <v>0</v>
      </c>
      <c r="Y668" s="925">
        <v>0</v>
      </c>
      <c r="Z668" s="921">
        <v>58288</v>
      </c>
      <c r="AA668" s="925">
        <v>0</v>
      </c>
    </row>
    <row r="669" spans="1:27" s="867" customFormat="1" ht="116.45" customHeight="1">
      <c r="A669" s="927">
        <v>169</v>
      </c>
      <c r="B669" s="868" t="s">
        <v>2226</v>
      </c>
      <c r="C669" s="925">
        <f t="shared" si="143"/>
        <v>64243</v>
      </c>
      <c r="D669" s="925">
        <f t="shared" si="144"/>
        <v>0</v>
      </c>
      <c r="E669" s="925">
        <v>0</v>
      </c>
      <c r="F669" s="925">
        <v>0</v>
      </c>
      <c r="G669" s="925">
        <v>0</v>
      </c>
      <c r="H669" s="925">
        <v>0</v>
      </c>
      <c r="I669" s="925">
        <v>0</v>
      </c>
      <c r="J669" s="925">
        <v>0</v>
      </c>
      <c r="K669" s="861">
        <v>0</v>
      </c>
      <c r="L669" s="925">
        <v>0</v>
      </c>
      <c r="M669" s="925">
        <v>0</v>
      </c>
      <c r="N669" s="925">
        <v>0</v>
      </c>
      <c r="O669" s="925">
        <v>0</v>
      </c>
      <c r="P669" s="925">
        <v>0</v>
      </c>
      <c r="Q669" s="925">
        <v>0</v>
      </c>
      <c r="R669" s="925">
        <v>0</v>
      </c>
      <c r="S669" s="925">
        <v>0</v>
      </c>
      <c r="T669" s="925">
        <v>0</v>
      </c>
      <c r="U669" s="925">
        <v>0</v>
      </c>
      <c r="V669" s="925">
        <v>0</v>
      </c>
      <c r="W669" s="925">
        <v>0</v>
      </c>
      <c r="X669" s="925">
        <v>0</v>
      </c>
      <c r="Y669" s="925">
        <v>0</v>
      </c>
      <c r="Z669" s="921">
        <v>64243</v>
      </c>
      <c r="AA669" s="925">
        <v>0</v>
      </c>
    </row>
    <row r="670" spans="1:27" s="867" customFormat="1" ht="151.5" customHeight="1">
      <c r="A670" s="927">
        <v>170</v>
      </c>
      <c r="B670" s="868" t="s">
        <v>2227</v>
      </c>
      <c r="C670" s="925">
        <f t="shared" si="143"/>
        <v>1803468.71</v>
      </c>
      <c r="D670" s="925">
        <f t="shared" si="144"/>
        <v>0</v>
      </c>
      <c r="E670" s="925">
        <v>0</v>
      </c>
      <c r="F670" s="925">
        <v>0</v>
      </c>
      <c r="G670" s="925">
        <v>0</v>
      </c>
      <c r="H670" s="925">
        <v>0</v>
      </c>
      <c r="I670" s="925">
        <v>0</v>
      </c>
      <c r="J670" s="925">
        <v>0</v>
      </c>
      <c r="K670" s="861">
        <v>0</v>
      </c>
      <c r="L670" s="925">
        <v>0</v>
      </c>
      <c r="M670" s="925">
        <v>0</v>
      </c>
      <c r="N670" s="925">
        <v>0</v>
      </c>
      <c r="O670" s="925">
        <v>423</v>
      </c>
      <c r="P670" s="925">
        <v>1672474.07</v>
      </c>
      <c r="Q670" s="925">
        <v>0</v>
      </c>
      <c r="R670" s="925">
        <v>0</v>
      </c>
      <c r="S670" s="925">
        <v>0</v>
      </c>
      <c r="T670" s="925">
        <v>0</v>
      </c>
      <c r="U670" s="925">
        <v>0</v>
      </c>
      <c r="V670" s="925">
        <v>0</v>
      </c>
      <c r="W670" s="925">
        <v>0</v>
      </c>
      <c r="X670" s="925">
        <v>0</v>
      </c>
      <c r="Y670" s="925">
        <v>0</v>
      </c>
      <c r="Z670" s="921">
        <v>130994.64</v>
      </c>
      <c r="AA670" s="925">
        <v>0</v>
      </c>
    </row>
    <row r="671" spans="1:27" s="867" customFormat="1" ht="147" customHeight="1">
      <c r="A671" s="927">
        <v>171</v>
      </c>
      <c r="B671" s="868" t="s">
        <v>2228</v>
      </c>
      <c r="C671" s="925">
        <f t="shared" si="143"/>
        <v>3257636</v>
      </c>
      <c r="D671" s="925">
        <f t="shared" si="144"/>
        <v>0</v>
      </c>
      <c r="E671" s="925">
        <v>0</v>
      </c>
      <c r="F671" s="925">
        <v>0</v>
      </c>
      <c r="G671" s="925">
        <v>0</v>
      </c>
      <c r="H671" s="925">
        <v>0</v>
      </c>
      <c r="I671" s="925">
        <v>0</v>
      </c>
      <c r="J671" s="925">
        <v>0</v>
      </c>
      <c r="K671" s="861">
        <v>0</v>
      </c>
      <c r="L671" s="925">
        <v>0</v>
      </c>
      <c r="M671" s="925">
        <v>0</v>
      </c>
      <c r="N671" s="925">
        <v>0</v>
      </c>
      <c r="O671" s="925">
        <v>470.9</v>
      </c>
      <c r="P671" s="925">
        <v>3021018.17</v>
      </c>
      <c r="Q671" s="925">
        <v>0</v>
      </c>
      <c r="R671" s="925">
        <v>0</v>
      </c>
      <c r="S671" s="925">
        <v>0</v>
      </c>
      <c r="T671" s="925">
        <v>0</v>
      </c>
      <c r="U671" s="925">
        <v>0</v>
      </c>
      <c r="V671" s="925">
        <v>0</v>
      </c>
      <c r="W671" s="925">
        <v>0</v>
      </c>
      <c r="X671" s="925">
        <v>0</v>
      </c>
      <c r="Y671" s="925">
        <v>0</v>
      </c>
      <c r="Z671" s="921">
        <v>236617.83</v>
      </c>
      <c r="AA671" s="925">
        <v>0</v>
      </c>
    </row>
    <row r="672" spans="1:27" s="867" customFormat="1" ht="132.75" customHeight="1">
      <c r="A672" s="927">
        <v>172</v>
      </c>
      <c r="B672" s="868" t="s">
        <v>2229</v>
      </c>
      <c r="C672" s="925">
        <f t="shared" si="143"/>
        <v>2804286.73</v>
      </c>
      <c r="D672" s="925">
        <f t="shared" si="144"/>
        <v>0</v>
      </c>
      <c r="E672" s="925">
        <v>0</v>
      </c>
      <c r="F672" s="925">
        <v>0</v>
      </c>
      <c r="G672" s="925">
        <v>0</v>
      </c>
      <c r="H672" s="925">
        <v>0</v>
      </c>
      <c r="I672" s="925">
        <v>0</v>
      </c>
      <c r="J672" s="925">
        <v>0</v>
      </c>
      <c r="K672" s="861">
        <v>0</v>
      </c>
      <c r="L672" s="925">
        <v>0</v>
      </c>
      <c r="M672" s="925">
        <v>0</v>
      </c>
      <c r="N672" s="925">
        <v>0</v>
      </c>
      <c r="O672" s="925">
        <v>549.20000000000005</v>
      </c>
      <c r="P672" s="925">
        <v>2703231.93</v>
      </c>
      <c r="Q672" s="925">
        <v>0</v>
      </c>
      <c r="R672" s="925">
        <v>0</v>
      </c>
      <c r="S672" s="925">
        <v>0</v>
      </c>
      <c r="T672" s="925">
        <v>0</v>
      </c>
      <c r="U672" s="925">
        <v>0</v>
      </c>
      <c r="V672" s="925">
        <v>0</v>
      </c>
      <c r="W672" s="925">
        <v>0</v>
      </c>
      <c r="X672" s="925">
        <v>0</v>
      </c>
      <c r="Y672" s="925">
        <v>0</v>
      </c>
      <c r="Z672" s="921">
        <v>101054.8</v>
      </c>
      <c r="AA672" s="925">
        <v>0</v>
      </c>
    </row>
    <row r="673" spans="1:27" s="867" customFormat="1" ht="148.5" customHeight="1">
      <c r="A673" s="927">
        <v>173</v>
      </c>
      <c r="B673" s="868" t="s">
        <v>1984</v>
      </c>
      <c r="C673" s="925">
        <f t="shared" si="143"/>
        <v>1224618.1599999999</v>
      </c>
      <c r="D673" s="925">
        <f t="shared" si="144"/>
        <v>1209829.51</v>
      </c>
      <c r="E673" s="925">
        <v>0</v>
      </c>
      <c r="F673" s="925">
        <v>0</v>
      </c>
      <c r="G673" s="925">
        <v>0</v>
      </c>
      <c r="H673" s="925">
        <v>0</v>
      </c>
      <c r="I673" s="925">
        <v>0</v>
      </c>
      <c r="J673" s="925">
        <v>1209829.51</v>
      </c>
      <c r="K673" s="861">
        <v>0</v>
      </c>
      <c r="L673" s="925">
        <v>0</v>
      </c>
      <c r="M673" s="925">
        <v>0</v>
      </c>
      <c r="N673" s="925">
        <v>0</v>
      </c>
      <c r="O673" s="925">
        <v>0</v>
      </c>
      <c r="P673" s="925">
        <v>0</v>
      </c>
      <c r="Q673" s="925">
        <v>0</v>
      </c>
      <c r="R673" s="925">
        <v>0</v>
      </c>
      <c r="S673" s="925">
        <v>0</v>
      </c>
      <c r="T673" s="925">
        <v>0</v>
      </c>
      <c r="U673" s="925">
        <v>0</v>
      </c>
      <c r="V673" s="925">
        <v>0</v>
      </c>
      <c r="W673" s="925">
        <v>0</v>
      </c>
      <c r="X673" s="925">
        <v>0</v>
      </c>
      <c r="Y673" s="925">
        <v>0</v>
      </c>
      <c r="Z673" s="921">
        <v>14788.65</v>
      </c>
      <c r="AA673" s="925">
        <v>0</v>
      </c>
    </row>
    <row r="674" spans="1:27" s="867" customFormat="1" ht="99.6" customHeight="1">
      <c r="A674" s="927">
        <v>174</v>
      </c>
      <c r="B674" s="868" t="s">
        <v>2230</v>
      </c>
      <c r="C674" s="925">
        <f t="shared" si="143"/>
        <v>2175800.35</v>
      </c>
      <c r="D674" s="925">
        <f t="shared" si="144"/>
        <v>0</v>
      </c>
      <c r="E674" s="925">
        <v>0</v>
      </c>
      <c r="F674" s="925">
        <v>0</v>
      </c>
      <c r="G674" s="925">
        <v>0</v>
      </c>
      <c r="H674" s="925">
        <v>0</v>
      </c>
      <c r="I674" s="925">
        <v>0</v>
      </c>
      <c r="J674" s="925">
        <v>0</v>
      </c>
      <c r="K674" s="861">
        <v>0</v>
      </c>
      <c r="L674" s="925">
        <v>0</v>
      </c>
      <c r="M674" s="925">
        <v>0</v>
      </c>
      <c r="N674" s="925">
        <v>0</v>
      </c>
      <c r="O674" s="925">
        <v>667.1</v>
      </c>
      <c r="P674" s="925">
        <v>2065558.75</v>
      </c>
      <c r="Q674" s="925">
        <v>0</v>
      </c>
      <c r="R674" s="925">
        <v>0</v>
      </c>
      <c r="S674" s="925">
        <v>0</v>
      </c>
      <c r="T674" s="925">
        <v>0</v>
      </c>
      <c r="U674" s="925">
        <v>0</v>
      </c>
      <c r="V674" s="925">
        <v>0</v>
      </c>
      <c r="W674" s="925">
        <v>0</v>
      </c>
      <c r="X674" s="925">
        <v>0</v>
      </c>
      <c r="Y674" s="925">
        <v>0</v>
      </c>
      <c r="Z674" s="921">
        <v>110241.60000000001</v>
      </c>
      <c r="AA674" s="925">
        <v>0</v>
      </c>
    </row>
    <row r="675" spans="1:27" s="867" customFormat="1" ht="143.25" customHeight="1">
      <c r="A675" s="927">
        <v>175</v>
      </c>
      <c r="B675" s="868" t="s">
        <v>2231</v>
      </c>
      <c r="C675" s="925">
        <f t="shared" si="143"/>
        <v>836011.03</v>
      </c>
      <c r="D675" s="925">
        <f t="shared" si="144"/>
        <v>784303.03</v>
      </c>
      <c r="E675" s="925">
        <v>784303.03</v>
      </c>
      <c r="F675" s="925">
        <v>0</v>
      </c>
      <c r="G675" s="925">
        <v>0</v>
      </c>
      <c r="H675" s="925">
        <v>0</v>
      </c>
      <c r="I675" s="925">
        <v>0</v>
      </c>
      <c r="J675" s="925">
        <v>0</v>
      </c>
      <c r="K675" s="861">
        <v>0</v>
      </c>
      <c r="L675" s="925">
        <v>0</v>
      </c>
      <c r="M675" s="925">
        <v>0</v>
      </c>
      <c r="N675" s="925">
        <v>0</v>
      </c>
      <c r="O675" s="925">
        <v>0</v>
      </c>
      <c r="P675" s="925">
        <v>0</v>
      </c>
      <c r="Q675" s="925">
        <v>0</v>
      </c>
      <c r="R675" s="925">
        <v>0</v>
      </c>
      <c r="S675" s="925">
        <v>0</v>
      </c>
      <c r="T675" s="925">
        <v>0</v>
      </c>
      <c r="U675" s="925">
        <v>0</v>
      </c>
      <c r="V675" s="925">
        <v>0</v>
      </c>
      <c r="W675" s="925">
        <v>0</v>
      </c>
      <c r="X675" s="925">
        <v>0</v>
      </c>
      <c r="Y675" s="925">
        <v>0</v>
      </c>
      <c r="Z675" s="921">
        <v>51708</v>
      </c>
      <c r="AA675" s="925">
        <v>0</v>
      </c>
    </row>
    <row r="676" spans="1:27" s="867" customFormat="1" ht="143.25" customHeight="1">
      <c r="A676" s="927">
        <v>176</v>
      </c>
      <c r="B676" s="868" t="s">
        <v>2232</v>
      </c>
      <c r="C676" s="925">
        <f t="shared" si="143"/>
        <v>1534866.98</v>
      </c>
      <c r="D676" s="925">
        <f t="shared" si="144"/>
        <v>0</v>
      </c>
      <c r="E676" s="925">
        <v>0</v>
      </c>
      <c r="F676" s="925">
        <v>0</v>
      </c>
      <c r="G676" s="925">
        <v>0</v>
      </c>
      <c r="H676" s="925">
        <v>0</v>
      </c>
      <c r="I676" s="925">
        <v>0</v>
      </c>
      <c r="J676" s="925">
        <v>0</v>
      </c>
      <c r="K676" s="861">
        <v>0</v>
      </c>
      <c r="L676" s="925">
        <v>0</v>
      </c>
      <c r="M676" s="925">
        <v>0</v>
      </c>
      <c r="N676" s="925">
        <v>0</v>
      </c>
      <c r="O676" s="925">
        <v>360</v>
      </c>
      <c r="P676" s="925">
        <v>1423382.18</v>
      </c>
      <c r="Q676" s="925">
        <v>0</v>
      </c>
      <c r="R676" s="925">
        <v>0</v>
      </c>
      <c r="S676" s="925">
        <v>0</v>
      </c>
      <c r="T676" s="925">
        <v>0</v>
      </c>
      <c r="U676" s="925">
        <v>0</v>
      </c>
      <c r="V676" s="925">
        <v>0</v>
      </c>
      <c r="W676" s="925">
        <v>0</v>
      </c>
      <c r="X676" s="925">
        <v>0</v>
      </c>
      <c r="Y676" s="925">
        <v>0</v>
      </c>
      <c r="Z676" s="921">
        <v>111484.8</v>
      </c>
      <c r="AA676" s="925">
        <v>0</v>
      </c>
    </row>
    <row r="677" spans="1:27" s="867" customFormat="1" ht="97.15" customHeight="1">
      <c r="A677" s="927">
        <v>177</v>
      </c>
      <c r="B677" s="868" t="s">
        <v>1882</v>
      </c>
      <c r="C677" s="925">
        <f t="shared" si="143"/>
        <v>4303305.09</v>
      </c>
      <c r="D677" s="925">
        <f t="shared" si="144"/>
        <v>0</v>
      </c>
      <c r="E677" s="925">
        <v>0</v>
      </c>
      <c r="F677" s="925">
        <v>0</v>
      </c>
      <c r="G677" s="925">
        <v>0</v>
      </c>
      <c r="H677" s="925">
        <v>0</v>
      </c>
      <c r="I677" s="925">
        <v>0</v>
      </c>
      <c r="J677" s="925">
        <v>0</v>
      </c>
      <c r="K677" s="861">
        <v>0</v>
      </c>
      <c r="L677" s="925">
        <v>0</v>
      </c>
      <c r="M677" s="925">
        <v>0</v>
      </c>
      <c r="N677" s="925">
        <v>0</v>
      </c>
      <c r="O677" s="925">
        <v>1050</v>
      </c>
      <c r="P677" s="925">
        <v>4045173.09</v>
      </c>
      <c r="Q677" s="925">
        <v>0</v>
      </c>
      <c r="R677" s="925">
        <v>0</v>
      </c>
      <c r="S677" s="925">
        <v>0</v>
      </c>
      <c r="T677" s="925">
        <v>0</v>
      </c>
      <c r="U677" s="925">
        <v>0</v>
      </c>
      <c r="V677" s="925">
        <v>0</v>
      </c>
      <c r="W677" s="925">
        <v>0</v>
      </c>
      <c r="X677" s="925">
        <v>0</v>
      </c>
      <c r="Y677" s="925">
        <v>0</v>
      </c>
      <c r="Z677" s="921">
        <v>258132</v>
      </c>
      <c r="AA677" s="925">
        <v>0</v>
      </c>
    </row>
    <row r="678" spans="1:27" s="867" customFormat="1" ht="137.44999999999999" customHeight="1">
      <c r="A678" s="927">
        <v>178</v>
      </c>
      <c r="B678" s="868" t="s">
        <v>1074</v>
      </c>
      <c r="C678" s="925">
        <f t="shared" si="143"/>
        <v>1726920.3</v>
      </c>
      <c r="D678" s="925">
        <f t="shared" si="144"/>
        <v>0</v>
      </c>
      <c r="E678" s="925">
        <v>0</v>
      </c>
      <c r="F678" s="925">
        <v>0</v>
      </c>
      <c r="G678" s="925">
        <v>0</v>
      </c>
      <c r="H678" s="925">
        <v>0</v>
      </c>
      <c r="I678" s="925">
        <v>0</v>
      </c>
      <c r="J678" s="925">
        <v>0</v>
      </c>
      <c r="K678" s="861">
        <v>0</v>
      </c>
      <c r="L678" s="925">
        <v>0</v>
      </c>
      <c r="M678" s="925">
        <v>0</v>
      </c>
      <c r="N678" s="925">
        <v>0</v>
      </c>
      <c r="O678" s="925">
        <v>0</v>
      </c>
      <c r="P678" s="925">
        <v>0</v>
      </c>
      <c r="Q678" s="925">
        <v>0</v>
      </c>
      <c r="R678" s="925">
        <v>0</v>
      </c>
      <c r="S678" s="925">
        <v>386</v>
      </c>
      <c r="T678" s="925">
        <v>1601485.74</v>
      </c>
      <c r="U678" s="925">
        <v>0</v>
      </c>
      <c r="V678" s="925">
        <v>0</v>
      </c>
      <c r="W678" s="925">
        <v>0</v>
      </c>
      <c r="X678" s="925">
        <v>0</v>
      </c>
      <c r="Y678" s="925">
        <v>0</v>
      </c>
      <c r="Z678" s="921">
        <v>125434.56</v>
      </c>
      <c r="AA678" s="925">
        <v>0</v>
      </c>
    </row>
    <row r="679" spans="1:27" s="867" customFormat="1" ht="97.15" customHeight="1">
      <c r="A679" s="927">
        <v>179</v>
      </c>
      <c r="B679" s="868" t="s">
        <v>1619</v>
      </c>
      <c r="C679" s="925">
        <f t="shared" si="143"/>
        <v>1591955.51</v>
      </c>
      <c r="D679" s="925">
        <f t="shared" si="144"/>
        <v>0</v>
      </c>
      <c r="E679" s="925">
        <v>0</v>
      </c>
      <c r="F679" s="925">
        <v>0</v>
      </c>
      <c r="G679" s="925">
        <v>0</v>
      </c>
      <c r="H679" s="925">
        <v>0</v>
      </c>
      <c r="I679" s="925">
        <v>0</v>
      </c>
      <c r="J679" s="925">
        <v>0</v>
      </c>
      <c r="K679" s="861">
        <v>0</v>
      </c>
      <c r="L679" s="925">
        <v>0</v>
      </c>
      <c r="M679" s="925">
        <v>0</v>
      </c>
      <c r="N679" s="925">
        <v>0</v>
      </c>
      <c r="O679" s="925">
        <v>373.39</v>
      </c>
      <c r="P679" s="925">
        <v>1476324.09</v>
      </c>
      <c r="Q679" s="925">
        <v>0</v>
      </c>
      <c r="R679" s="925">
        <v>0</v>
      </c>
      <c r="S679" s="925">
        <v>0</v>
      </c>
      <c r="T679" s="925">
        <v>0</v>
      </c>
      <c r="U679" s="925">
        <v>0</v>
      </c>
      <c r="V679" s="925">
        <v>0</v>
      </c>
      <c r="W679" s="925">
        <v>0</v>
      </c>
      <c r="X679" s="925">
        <v>0</v>
      </c>
      <c r="Y679" s="925">
        <v>0</v>
      </c>
      <c r="Z679" s="921">
        <v>115631.42</v>
      </c>
      <c r="AA679" s="925">
        <v>0</v>
      </c>
    </row>
    <row r="680" spans="1:27" s="867" customFormat="1" ht="135" customHeight="1">
      <c r="A680" s="927">
        <v>180</v>
      </c>
      <c r="B680" s="868" t="s">
        <v>1075</v>
      </c>
      <c r="C680" s="925">
        <f t="shared" si="143"/>
        <v>60901</v>
      </c>
      <c r="D680" s="925">
        <f t="shared" si="144"/>
        <v>0</v>
      </c>
      <c r="E680" s="925">
        <v>0</v>
      </c>
      <c r="F680" s="925">
        <v>0</v>
      </c>
      <c r="G680" s="925">
        <v>0</v>
      </c>
      <c r="H680" s="925">
        <v>0</v>
      </c>
      <c r="I680" s="925">
        <v>0</v>
      </c>
      <c r="J680" s="925">
        <v>0</v>
      </c>
      <c r="K680" s="861">
        <v>0</v>
      </c>
      <c r="L680" s="925">
        <v>0</v>
      </c>
      <c r="M680" s="925">
        <v>0</v>
      </c>
      <c r="N680" s="925">
        <v>0</v>
      </c>
      <c r="O680" s="925">
        <v>0</v>
      </c>
      <c r="P680" s="925">
        <v>0</v>
      </c>
      <c r="Q680" s="925">
        <v>0</v>
      </c>
      <c r="R680" s="925">
        <v>0</v>
      </c>
      <c r="S680" s="925">
        <v>0</v>
      </c>
      <c r="T680" s="925">
        <v>0</v>
      </c>
      <c r="U680" s="925">
        <v>0</v>
      </c>
      <c r="V680" s="925">
        <v>0</v>
      </c>
      <c r="W680" s="925">
        <v>0</v>
      </c>
      <c r="X680" s="925">
        <v>0</v>
      </c>
      <c r="Y680" s="925">
        <v>0</v>
      </c>
      <c r="Z680" s="921">
        <v>60901</v>
      </c>
      <c r="AA680" s="925">
        <v>0</v>
      </c>
    </row>
    <row r="681" spans="1:27" s="867" customFormat="1" ht="97.15" customHeight="1">
      <c r="A681" s="927">
        <v>181</v>
      </c>
      <c r="B681" s="868" t="s">
        <v>2233</v>
      </c>
      <c r="C681" s="925">
        <f t="shared" si="143"/>
        <v>117262</v>
      </c>
      <c r="D681" s="925">
        <f t="shared" si="144"/>
        <v>0</v>
      </c>
      <c r="E681" s="925">
        <v>0</v>
      </c>
      <c r="F681" s="925">
        <v>0</v>
      </c>
      <c r="G681" s="925">
        <v>0</v>
      </c>
      <c r="H681" s="925">
        <v>0</v>
      </c>
      <c r="I681" s="925">
        <v>0</v>
      </c>
      <c r="J681" s="925">
        <v>0</v>
      </c>
      <c r="K681" s="861">
        <v>0</v>
      </c>
      <c r="L681" s="925">
        <v>0</v>
      </c>
      <c r="M681" s="925">
        <v>0</v>
      </c>
      <c r="N681" s="925">
        <v>0</v>
      </c>
      <c r="O681" s="925">
        <v>0</v>
      </c>
      <c r="P681" s="925">
        <v>0</v>
      </c>
      <c r="Q681" s="925">
        <v>0</v>
      </c>
      <c r="R681" s="925">
        <v>0</v>
      </c>
      <c r="S681" s="925">
        <v>0</v>
      </c>
      <c r="T681" s="925">
        <v>0</v>
      </c>
      <c r="U681" s="925">
        <v>0</v>
      </c>
      <c r="V681" s="925">
        <v>0</v>
      </c>
      <c r="W681" s="925">
        <v>0</v>
      </c>
      <c r="X681" s="925">
        <v>0</v>
      </c>
      <c r="Y681" s="925">
        <v>0</v>
      </c>
      <c r="Z681" s="921">
        <v>117262</v>
      </c>
      <c r="AA681" s="925">
        <v>0</v>
      </c>
    </row>
    <row r="682" spans="1:27" s="867" customFormat="1" ht="102" customHeight="1">
      <c r="A682" s="927">
        <v>182</v>
      </c>
      <c r="B682" s="868" t="s">
        <v>1621</v>
      </c>
      <c r="C682" s="925">
        <f t="shared" ref="C682:C691" si="145">D682+N682+P682+R682+T682+X682+Z682</f>
        <v>1074098.0900000001</v>
      </c>
      <c r="D682" s="925">
        <f t="shared" ref="D682:D691" si="146">SUM(E682:J682)</f>
        <v>0</v>
      </c>
      <c r="E682" s="925">
        <v>0</v>
      </c>
      <c r="F682" s="925">
        <v>0</v>
      </c>
      <c r="G682" s="925">
        <v>0</v>
      </c>
      <c r="H682" s="925">
        <v>0</v>
      </c>
      <c r="I682" s="925">
        <v>0</v>
      </c>
      <c r="J682" s="925">
        <v>0</v>
      </c>
      <c r="K682" s="861">
        <v>0</v>
      </c>
      <c r="L682" s="925">
        <v>0</v>
      </c>
      <c r="M682" s="925">
        <v>0</v>
      </c>
      <c r="N682" s="925">
        <v>0</v>
      </c>
      <c r="O682" s="925">
        <v>297.23</v>
      </c>
      <c r="P682" s="925">
        <v>996081.16</v>
      </c>
      <c r="Q682" s="925">
        <v>0</v>
      </c>
      <c r="R682" s="925">
        <v>0</v>
      </c>
      <c r="S682" s="925">
        <v>0</v>
      </c>
      <c r="T682" s="925">
        <v>0</v>
      </c>
      <c r="U682" s="925">
        <v>0</v>
      </c>
      <c r="V682" s="925">
        <v>0</v>
      </c>
      <c r="W682" s="925">
        <v>0</v>
      </c>
      <c r="X682" s="925">
        <v>0</v>
      </c>
      <c r="Y682" s="925">
        <v>0</v>
      </c>
      <c r="Z682" s="921">
        <v>78016.929999999993</v>
      </c>
      <c r="AA682" s="925">
        <v>0</v>
      </c>
    </row>
    <row r="683" spans="1:27" s="867" customFormat="1" ht="167.25" customHeight="1">
      <c r="A683" s="927">
        <v>183</v>
      </c>
      <c r="B683" s="868" t="s">
        <v>1947</v>
      </c>
      <c r="C683" s="925">
        <f t="shared" si="145"/>
        <v>100468</v>
      </c>
      <c r="D683" s="925">
        <f t="shared" si="146"/>
        <v>0</v>
      </c>
      <c r="E683" s="925">
        <v>0</v>
      </c>
      <c r="F683" s="925">
        <v>0</v>
      </c>
      <c r="G683" s="925">
        <v>0</v>
      </c>
      <c r="H683" s="925">
        <v>0</v>
      </c>
      <c r="I683" s="925">
        <v>0</v>
      </c>
      <c r="J683" s="925">
        <v>0</v>
      </c>
      <c r="K683" s="861">
        <v>0</v>
      </c>
      <c r="L683" s="925">
        <v>0</v>
      </c>
      <c r="M683" s="925">
        <v>0</v>
      </c>
      <c r="N683" s="925">
        <v>0</v>
      </c>
      <c r="O683" s="925">
        <v>0</v>
      </c>
      <c r="P683" s="925">
        <v>0</v>
      </c>
      <c r="Q683" s="925">
        <v>0</v>
      </c>
      <c r="R683" s="925">
        <v>0</v>
      </c>
      <c r="S683" s="925">
        <v>0</v>
      </c>
      <c r="T683" s="925">
        <v>0</v>
      </c>
      <c r="U683" s="925">
        <v>0</v>
      </c>
      <c r="V683" s="925">
        <v>0</v>
      </c>
      <c r="W683" s="925">
        <v>0</v>
      </c>
      <c r="X683" s="925">
        <v>0</v>
      </c>
      <c r="Y683" s="925">
        <v>0</v>
      </c>
      <c r="Z683" s="921">
        <v>100468</v>
      </c>
      <c r="AA683" s="925">
        <v>0</v>
      </c>
    </row>
    <row r="684" spans="1:27" s="867" customFormat="1" ht="143.25" customHeight="1">
      <c r="A684" s="927">
        <v>184</v>
      </c>
      <c r="B684" s="868" t="s">
        <v>1948</v>
      </c>
      <c r="C684" s="925">
        <f t="shared" si="145"/>
        <v>2659584.1160000004</v>
      </c>
      <c r="D684" s="925">
        <f t="shared" si="146"/>
        <v>0</v>
      </c>
      <c r="E684" s="925">
        <v>0</v>
      </c>
      <c r="F684" s="925">
        <v>0</v>
      </c>
      <c r="G684" s="925">
        <v>0</v>
      </c>
      <c r="H684" s="925">
        <v>0</v>
      </c>
      <c r="I684" s="925">
        <v>0</v>
      </c>
      <c r="J684" s="925">
        <v>0</v>
      </c>
      <c r="K684" s="861">
        <v>0</v>
      </c>
      <c r="L684" s="925">
        <v>0</v>
      </c>
      <c r="M684" s="925">
        <v>0</v>
      </c>
      <c r="N684" s="925">
        <v>0</v>
      </c>
      <c r="O684" s="925">
        <v>384.45</v>
      </c>
      <c r="P684" s="925">
        <v>2466405.6800000002</v>
      </c>
      <c r="Q684" s="925">
        <v>0</v>
      </c>
      <c r="R684" s="925">
        <v>0</v>
      </c>
      <c r="S684" s="925">
        <v>0</v>
      </c>
      <c r="T684" s="925">
        <v>0</v>
      </c>
      <c r="U684" s="925">
        <v>0</v>
      </c>
      <c r="V684" s="925">
        <v>0</v>
      </c>
      <c r="W684" s="925">
        <v>0</v>
      </c>
      <c r="X684" s="925">
        <v>0</v>
      </c>
      <c r="Y684" s="925">
        <v>0</v>
      </c>
      <c r="Z684" s="926">
        <v>193178.43599999999</v>
      </c>
      <c r="AA684" s="925">
        <v>0</v>
      </c>
    </row>
    <row r="685" spans="1:27" s="867" customFormat="1" ht="102" customHeight="1">
      <c r="A685" s="927">
        <v>185</v>
      </c>
      <c r="B685" s="868" t="s">
        <v>2234</v>
      </c>
      <c r="C685" s="925">
        <f t="shared" si="145"/>
        <v>2152571.71</v>
      </c>
      <c r="D685" s="925">
        <f t="shared" si="146"/>
        <v>0</v>
      </c>
      <c r="E685" s="925">
        <v>0</v>
      </c>
      <c r="F685" s="925">
        <v>0</v>
      </c>
      <c r="G685" s="925">
        <v>0</v>
      </c>
      <c r="H685" s="925">
        <v>0</v>
      </c>
      <c r="I685" s="925">
        <v>0</v>
      </c>
      <c r="J685" s="925">
        <v>0</v>
      </c>
      <c r="K685" s="861">
        <v>0</v>
      </c>
      <c r="L685" s="925">
        <v>0</v>
      </c>
      <c r="M685" s="925">
        <v>0</v>
      </c>
      <c r="N685" s="925">
        <v>0</v>
      </c>
      <c r="O685" s="925">
        <v>311.16000000000003</v>
      </c>
      <c r="P685" s="925">
        <v>1996220.03</v>
      </c>
      <c r="Q685" s="925">
        <v>0</v>
      </c>
      <c r="R685" s="925">
        <v>0</v>
      </c>
      <c r="S685" s="925">
        <v>0</v>
      </c>
      <c r="T685" s="925">
        <v>0</v>
      </c>
      <c r="U685" s="925">
        <v>0</v>
      </c>
      <c r="V685" s="925">
        <v>0</v>
      </c>
      <c r="W685" s="925">
        <v>0</v>
      </c>
      <c r="X685" s="925">
        <v>0</v>
      </c>
      <c r="Y685" s="925">
        <v>0</v>
      </c>
      <c r="Z685" s="921">
        <v>156351.67999999999</v>
      </c>
      <c r="AA685" s="925">
        <v>0</v>
      </c>
    </row>
    <row r="686" spans="1:27" s="867" customFormat="1" ht="102" customHeight="1">
      <c r="A686" s="927">
        <v>186</v>
      </c>
      <c r="B686" s="868" t="s">
        <v>1193</v>
      </c>
      <c r="C686" s="925">
        <f t="shared" si="145"/>
        <v>1810551.06</v>
      </c>
      <c r="D686" s="925">
        <f t="shared" si="146"/>
        <v>0</v>
      </c>
      <c r="E686" s="925">
        <v>0</v>
      </c>
      <c r="F686" s="925">
        <v>0</v>
      </c>
      <c r="G686" s="925">
        <v>0</v>
      </c>
      <c r="H686" s="925">
        <v>0</v>
      </c>
      <c r="I686" s="925">
        <v>0</v>
      </c>
      <c r="J686" s="925">
        <v>0</v>
      </c>
      <c r="K686" s="861">
        <v>0</v>
      </c>
      <c r="L686" s="925">
        <v>0</v>
      </c>
      <c r="M686" s="925">
        <v>0</v>
      </c>
      <c r="N686" s="925">
        <v>0</v>
      </c>
      <c r="O686" s="925">
        <v>261.72000000000003</v>
      </c>
      <c r="P686" s="925">
        <v>1679042</v>
      </c>
      <c r="Q686" s="925">
        <v>0</v>
      </c>
      <c r="R686" s="925">
        <v>0</v>
      </c>
      <c r="S686" s="925">
        <v>0</v>
      </c>
      <c r="T686" s="925">
        <v>0</v>
      </c>
      <c r="U686" s="925">
        <v>0</v>
      </c>
      <c r="V686" s="925">
        <v>0</v>
      </c>
      <c r="W686" s="925">
        <v>0</v>
      </c>
      <c r="X686" s="925">
        <v>0</v>
      </c>
      <c r="Y686" s="925">
        <v>0</v>
      </c>
      <c r="Z686" s="921">
        <v>131509.06</v>
      </c>
      <c r="AA686" s="925">
        <v>0</v>
      </c>
    </row>
    <row r="687" spans="1:27" s="867" customFormat="1" ht="141.75" customHeight="1">
      <c r="A687" s="927">
        <v>187</v>
      </c>
      <c r="B687" s="868" t="s">
        <v>1986</v>
      </c>
      <c r="C687" s="925">
        <f t="shared" si="145"/>
        <v>809195.26</v>
      </c>
      <c r="D687" s="925">
        <f t="shared" si="146"/>
        <v>791959.65</v>
      </c>
      <c r="E687" s="925">
        <v>0</v>
      </c>
      <c r="F687" s="925">
        <v>0</v>
      </c>
      <c r="G687" s="925">
        <v>0</v>
      </c>
      <c r="H687" s="925">
        <v>0</v>
      </c>
      <c r="I687" s="925">
        <v>0</v>
      </c>
      <c r="J687" s="925">
        <v>791959.65</v>
      </c>
      <c r="K687" s="861">
        <v>0</v>
      </c>
      <c r="L687" s="925">
        <v>0</v>
      </c>
      <c r="M687" s="925">
        <v>0</v>
      </c>
      <c r="N687" s="925">
        <v>0</v>
      </c>
      <c r="O687" s="925">
        <v>0</v>
      </c>
      <c r="P687" s="925">
        <v>0</v>
      </c>
      <c r="Q687" s="925">
        <v>0</v>
      </c>
      <c r="R687" s="925">
        <v>0</v>
      </c>
      <c r="S687" s="925">
        <v>0</v>
      </c>
      <c r="T687" s="925">
        <v>0</v>
      </c>
      <c r="U687" s="925">
        <v>0</v>
      </c>
      <c r="V687" s="925">
        <v>0</v>
      </c>
      <c r="W687" s="925">
        <v>0</v>
      </c>
      <c r="X687" s="925">
        <v>0</v>
      </c>
      <c r="Y687" s="925">
        <v>0</v>
      </c>
      <c r="Z687" s="921">
        <v>17235.61</v>
      </c>
      <c r="AA687" s="925">
        <v>0</v>
      </c>
    </row>
    <row r="688" spans="1:27" s="867" customFormat="1" ht="157.5" customHeight="1">
      <c r="A688" s="927">
        <v>188</v>
      </c>
      <c r="B688" s="868" t="s">
        <v>1987</v>
      </c>
      <c r="C688" s="925">
        <f t="shared" si="145"/>
        <v>1230205.48</v>
      </c>
      <c r="D688" s="925">
        <f t="shared" si="146"/>
        <v>1205614.3899999999</v>
      </c>
      <c r="E688" s="925">
        <v>0</v>
      </c>
      <c r="F688" s="925">
        <v>0</v>
      </c>
      <c r="G688" s="925">
        <v>0</v>
      </c>
      <c r="H688" s="925">
        <v>0</v>
      </c>
      <c r="I688" s="925">
        <v>0</v>
      </c>
      <c r="J688" s="925">
        <v>1205614.3899999999</v>
      </c>
      <c r="K688" s="861">
        <v>0</v>
      </c>
      <c r="L688" s="925">
        <v>0</v>
      </c>
      <c r="M688" s="925">
        <v>0</v>
      </c>
      <c r="N688" s="925">
        <v>0</v>
      </c>
      <c r="O688" s="925">
        <v>0</v>
      </c>
      <c r="P688" s="925">
        <v>0</v>
      </c>
      <c r="Q688" s="925">
        <v>0</v>
      </c>
      <c r="R688" s="925">
        <v>0</v>
      </c>
      <c r="S688" s="925">
        <v>0</v>
      </c>
      <c r="T688" s="925">
        <v>0</v>
      </c>
      <c r="U688" s="925">
        <v>0</v>
      </c>
      <c r="V688" s="925">
        <v>0</v>
      </c>
      <c r="W688" s="925">
        <v>0</v>
      </c>
      <c r="X688" s="925">
        <v>0</v>
      </c>
      <c r="Y688" s="925">
        <v>0</v>
      </c>
      <c r="Z688" s="921">
        <v>24591.09</v>
      </c>
      <c r="AA688" s="925">
        <v>0</v>
      </c>
    </row>
    <row r="689" spans="1:27" s="867" customFormat="1" ht="102" customHeight="1">
      <c r="A689" s="927">
        <v>189</v>
      </c>
      <c r="B689" s="868" t="s">
        <v>2235</v>
      </c>
      <c r="C689" s="925">
        <f t="shared" si="145"/>
        <v>3225221.36</v>
      </c>
      <c r="D689" s="925">
        <f t="shared" si="146"/>
        <v>0</v>
      </c>
      <c r="E689" s="925">
        <v>0</v>
      </c>
      <c r="F689" s="925">
        <v>0</v>
      </c>
      <c r="G689" s="925">
        <v>0</v>
      </c>
      <c r="H689" s="925">
        <v>0</v>
      </c>
      <c r="I689" s="925">
        <v>0</v>
      </c>
      <c r="J689" s="925">
        <v>0</v>
      </c>
      <c r="K689" s="861">
        <v>0</v>
      </c>
      <c r="L689" s="925">
        <v>0</v>
      </c>
      <c r="M689" s="925">
        <v>0</v>
      </c>
      <c r="N689" s="925">
        <v>0</v>
      </c>
      <c r="O689" s="925">
        <v>892.5</v>
      </c>
      <c r="P689" s="925">
        <v>2990957.96</v>
      </c>
      <c r="Q689" s="925">
        <v>0</v>
      </c>
      <c r="R689" s="925">
        <v>0</v>
      </c>
      <c r="S689" s="925">
        <v>0</v>
      </c>
      <c r="T689" s="925">
        <v>0</v>
      </c>
      <c r="U689" s="925">
        <v>0</v>
      </c>
      <c r="V689" s="925">
        <v>0</v>
      </c>
      <c r="W689" s="925">
        <v>0</v>
      </c>
      <c r="X689" s="925">
        <v>0</v>
      </c>
      <c r="Y689" s="925">
        <v>0</v>
      </c>
      <c r="Z689" s="921">
        <v>234263.4</v>
      </c>
      <c r="AA689" s="925">
        <v>0</v>
      </c>
    </row>
    <row r="690" spans="1:27" s="867" customFormat="1" ht="145.5" customHeight="1">
      <c r="A690" s="927">
        <v>190</v>
      </c>
      <c r="B690" s="868" t="s">
        <v>1988</v>
      </c>
      <c r="C690" s="925">
        <f t="shared" si="145"/>
        <v>3171577.41</v>
      </c>
      <c r="D690" s="925">
        <f t="shared" si="146"/>
        <v>0</v>
      </c>
      <c r="E690" s="925">
        <v>0</v>
      </c>
      <c r="F690" s="925">
        <v>0</v>
      </c>
      <c r="G690" s="925">
        <v>0</v>
      </c>
      <c r="H690" s="925">
        <v>0</v>
      </c>
      <c r="I690" s="925">
        <v>0</v>
      </c>
      <c r="J690" s="925">
        <v>0</v>
      </c>
      <c r="K690" s="861">
        <v>0</v>
      </c>
      <c r="L690" s="925">
        <v>0</v>
      </c>
      <c r="M690" s="925">
        <v>0</v>
      </c>
      <c r="N690" s="925">
        <v>0</v>
      </c>
      <c r="O690" s="925">
        <v>458.46</v>
      </c>
      <c r="P690" s="925">
        <v>2941210.43</v>
      </c>
      <c r="Q690" s="925">
        <v>0</v>
      </c>
      <c r="R690" s="925">
        <v>0</v>
      </c>
      <c r="S690" s="925">
        <v>0</v>
      </c>
      <c r="T690" s="925">
        <v>0</v>
      </c>
      <c r="U690" s="925">
        <v>0</v>
      </c>
      <c r="V690" s="925">
        <v>0</v>
      </c>
      <c r="W690" s="925">
        <v>0</v>
      </c>
      <c r="X690" s="925">
        <v>0</v>
      </c>
      <c r="Y690" s="925">
        <v>0</v>
      </c>
      <c r="Z690" s="921">
        <v>230366.98</v>
      </c>
      <c r="AA690" s="925">
        <v>0</v>
      </c>
    </row>
    <row r="691" spans="1:27" s="867" customFormat="1" ht="117" customHeight="1">
      <c r="A691" s="927">
        <v>191</v>
      </c>
      <c r="B691" s="868" t="s">
        <v>2236</v>
      </c>
      <c r="C691" s="925">
        <f t="shared" si="145"/>
        <v>3391089.88</v>
      </c>
      <c r="D691" s="925">
        <f t="shared" si="146"/>
        <v>0</v>
      </c>
      <c r="E691" s="925">
        <v>0</v>
      </c>
      <c r="F691" s="925">
        <v>0</v>
      </c>
      <c r="G691" s="925">
        <v>0</v>
      </c>
      <c r="H691" s="925">
        <v>0</v>
      </c>
      <c r="I691" s="925">
        <v>0</v>
      </c>
      <c r="J691" s="925">
        <v>0</v>
      </c>
      <c r="K691" s="861">
        <v>0</v>
      </c>
      <c r="L691" s="925">
        <v>0</v>
      </c>
      <c r="M691" s="925">
        <v>0</v>
      </c>
      <c r="N691" s="925">
        <v>0</v>
      </c>
      <c r="O691" s="925">
        <v>938.4</v>
      </c>
      <c r="P691" s="925">
        <v>3144778.65</v>
      </c>
      <c r="Q691" s="925">
        <v>0</v>
      </c>
      <c r="R691" s="925">
        <v>0</v>
      </c>
      <c r="S691" s="925">
        <v>0</v>
      </c>
      <c r="T691" s="925">
        <v>0</v>
      </c>
      <c r="U691" s="925">
        <v>0</v>
      </c>
      <c r="V691" s="925">
        <v>0</v>
      </c>
      <c r="W691" s="925">
        <v>0</v>
      </c>
      <c r="X691" s="925">
        <v>0</v>
      </c>
      <c r="Y691" s="925">
        <v>0</v>
      </c>
      <c r="Z691" s="921">
        <v>246311.23</v>
      </c>
      <c r="AA691" s="925">
        <v>0</v>
      </c>
    </row>
    <row r="692" spans="1:27" s="867" customFormat="1" ht="94.9" customHeight="1">
      <c r="A692" s="927">
        <v>192</v>
      </c>
      <c r="B692" s="923" t="s">
        <v>2237</v>
      </c>
      <c r="C692" s="925">
        <f t="shared" ref="C692:C702" si="147">D692+N692+P692+R692+T692+X692+Z692</f>
        <v>3498474.04</v>
      </c>
      <c r="D692" s="925">
        <f t="shared" ref="D692:D702" si="148">SUM(E692:J692)</f>
        <v>0</v>
      </c>
      <c r="E692" s="925">
        <v>0</v>
      </c>
      <c r="F692" s="925">
        <v>0</v>
      </c>
      <c r="G692" s="925">
        <v>0</v>
      </c>
      <c r="H692" s="925">
        <v>0</v>
      </c>
      <c r="I692" s="925">
        <v>0</v>
      </c>
      <c r="J692" s="925">
        <v>0</v>
      </c>
      <c r="K692" s="861">
        <v>0</v>
      </c>
      <c r="L692" s="925">
        <v>0</v>
      </c>
      <c r="M692" s="925">
        <v>0</v>
      </c>
      <c r="N692" s="925">
        <v>0</v>
      </c>
      <c r="O692" s="925">
        <v>0</v>
      </c>
      <c r="P692" s="925">
        <v>0</v>
      </c>
      <c r="Q692" s="925">
        <v>0</v>
      </c>
      <c r="R692" s="925">
        <v>0</v>
      </c>
      <c r="S692" s="925">
        <v>1106.3699999999999</v>
      </c>
      <c r="T692" s="925">
        <v>3244362.98</v>
      </c>
      <c r="U692" s="925">
        <v>0</v>
      </c>
      <c r="V692" s="925">
        <v>0</v>
      </c>
      <c r="W692" s="925">
        <v>0</v>
      </c>
      <c r="X692" s="929">
        <v>0</v>
      </c>
      <c r="Y692" s="925">
        <v>0</v>
      </c>
      <c r="Z692" s="921">
        <v>254111.06</v>
      </c>
      <c r="AA692" s="925">
        <v>0</v>
      </c>
    </row>
    <row r="693" spans="1:27" s="867" customFormat="1" ht="133.5" customHeight="1">
      <c r="A693" s="927">
        <v>193</v>
      </c>
      <c r="B693" s="923" t="s">
        <v>2238</v>
      </c>
      <c r="C693" s="925">
        <f t="shared" si="147"/>
        <v>3480854.04</v>
      </c>
      <c r="D693" s="925">
        <f t="shared" si="148"/>
        <v>0</v>
      </c>
      <c r="E693" s="925">
        <v>0</v>
      </c>
      <c r="F693" s="925">
        <v>0</v>
      </c>
      <c r="G693" s="925">
        <v>0</v>
      </c>
      <c r="H693" s="925">
        <v>0</v>
      </c>
      <c r="I693" s="925">
        <v>0</v>
      </c>
      <c r="J693" s="925">
        <v>0</v>
      </c>
      <c r="K693" s="861">
        <v>0</v>
      </c>
      <c r="L693" s="925">
        <v>0</v>
      </c>
      <c r="M693" s="925">
        <v>0</v>
      </c>
      <c r="N693" s="925">
        <v>0</v>
      </c>
      <c r="O693" s="925">
        <v>963.24</v>
      </c>
      <c r="P693" s="925">
        <v>3228022.8</v>
      </c>
      <c r="Q693" s="925">
        <v>0</v>
      </c>
      <c r="R693" s="925">
        <v>0</v>
      </c>
      <c r="S693" s="925">
        <v>0</v>
      </c>
      <c r="T693" s="925">
        <v>0</v>
      </c>
      <c r="U693" s="925">
        <v>0</v>
      </c>
      <c r="V693" s="925">
        <v>0</v>
      </c>
      <c r="W693" s="925">
        <v>0</v>
      </c>
      <c r="X693" s="929">
        <v>0</v>
      </c>
      <c r="Y693" s="925">
        <v>0</v>
      </c>
      <c r="Z693" s="921">
        <v>252831.24</v>
      </c>
      <c r="AA693" s="925">
        <v>0</v>
      </c>
    </row>
    <row r="694" spans="1:27" s="867" customFormat="1" ht="121.5" customHeight="1">
      <c r="A694" s="927">
        <v>194</v>
      </c>
      <c r="B694" s="923" t="s">
        <v>1622</v>
      </c>
      <c r="C694" s="925">
        <f t="shared" si="147"/>
        <v>1441223.3</v>
      </c>
      <c r="D694" s="925">
        <f t="shared" si="148"/>
        <v>0</v>
      </c>
      <c r="E694" s="925">
        <v>0</v>
      </c>
      <c r="F694" s="925">
        <v>0</v>
      </c>
      <c r="G694" s="925">
        <v>0</v>
      </c>
      <c r="H694" s="925">
        <v>0</v>
      </c>
      <c r="I694" s="925">
        <v>0</v>
      </c>
      <c r="J694" s="925">
        <v>0</v>
      </c>
      <c r="K694" s="861">
        <v>0</v>
      </c>
      <c r="L694" s="925">
        <v>0</v>
      </c>
      <c r="M694" s="925">
        <v>0</v>
      </c>
      <c r="N694" s="925">
        <v>0</v>
      </c>
      <c r="O694" s="925">
        <v>0</v>
      </c>
      <c r="P694" s="925">
        <v>0</v>
      </c>
      <c r="Q694" s="925">
        <v>786.2</v>
      </c>
      <c r="R694" s="925">
        <v>1405293.19</v>
      </c>
      <c r="S694" s="925">
        <v>0</v>
      </c>
      <c r="T694" s="925">
        <v>0</v>
      </c>
      <c r="U694" s="925">
        <v>0</v>
      </c>
      <c r="V694" s="925">
        <v>0</v>
      </c>
      <c r="W694" s="925">
        <v>0</v>
      </c>
      <c r="X694" s="929">
        <v>0</v>
      </c>
      <c r="Y694" s="925">
        <v>0</v>
      </c>
      <c r="Z694" s="921">
        <v>35930.11</v>
      </c>
      <c r="AA694" s="925">
        <v>0</v>
      </c>
    </row>
    <row r="695" spans="1:27" s="867" customFormat="1" ht="109.5" customHeight="1">
      <c r="A695" s="927">
        <v>195</v>
      </c>
      <c r="B695" s="923" t="s">
        <v>1623</v>
      </c>
      <c r="C695" s="925">
        <f t="shared" si="147"/>
        <v>3837521.05</v>
      </c>
      <c r="D695" s="925">
        <f t="shared" si="148"/>
        <v>0</v>
      </c>
      <c r="E695" s="925">
        <v>0</v>
      </c>
      <c r="F695" s="925">
        <v>0</v>
      </c>
      <c r="G695" s="925">
        <v>0</v>
      </c>
      <c r="H695" s="925">
        <v>0</v>
      </c>
      <c r="I695" s="925">
        <v>0</v>
      </c>
      <c r="J695" s="925">
        <v>0</v>
      </c>
      <c r="K695" s="861">
        <v>0</v>
      </c>
      <c r="L695" s="925">
        <v>0</v>
      </c>
      <c r="M695" s="925">
        <v>0</v>
      </c>
      <c r="N695" s="925">
        <v>0</v>
      </c>
      <c r="O695" s="925">
        <v>0</v>
      </c>
      <c r="P695" s="925">
        <v>0</v>
      </c>
      <c r="Q695" s="925">
        <v>0</v>
      </c>
      <c r="R695" s="925">
        <v>0</v>
      </c>
      <c r="S695" s="925">
        <v>908.9</v>
      </c>
      <c r="T695" s="925">
        <v>3770959.57</v>
      </c>
      <c r="U695" s="925">
        <v>0</v>
      </c>
      <c r="V695" s="925">
        <v>0</v>
      </c>
      <c r="W695" s="925">
        <v>0</v>
      </c>
      <c r="X695" s="929">
        <v>0</v>
      </c>
      <c r="Y695" s="925">
        <v>0</v>
      </c>
      <c r="Z695" s="921">
        <v>66561.48</v>
      </c>
      <c r="AA695" s="925">
        <v>0</v>
      </c>
    </row>
    <row r="696" spans="1:27" s="867" customFormat="1" ht="121.5" customHeight="1">
      <c r="A696" s="927">
        <v>196</v>
      </c>
      <c r="B696" s="923" t="s">
        <v>2239</v>
      </c>
      <c r="C696" s="925">
        <f t="shared" si="147"/>
        <v>3339052.7</v>
      </c>
      <c r="D696" s="925">
        <f t="shared" si="148"/>
        <v>0</v>
      </c>
      <c r="E696" s="925">
        <v>0</v>
      </c>
      <c r="F696" s="925">
        <v>0</v>
      </c>
      <c r="G696" s="925">
        <v>0</v>
      </c>
      <c r="H696" s="925">
        <v>0</v>
      </c>
      <c r="I696" s="925">
        <v>0</v>
      </c>
      <c r="J696" s="925">
        <v>0</v>
      </c>
      <c r="K696" s="861">
        <v>0</v>
      </c>
      <c r="L696" s="925">
        <v>0</v>
      </c>
      <c r="M696" s="925">
        <v>0</v>
      </c>
      <c r="N696" s="925">
        <v>0</v>
      </c>
      <c r="O696" s="925">
        <v>924</v>
      </c>
      <c r="P696" s="925">
        <v>3096521.18</v>
      </c>
      <c r="Q696" s="925">
        <v>0</v>
      </c>
      <c r="R696" s="925">
        <v>0</v>
      </c>
      <c r="S696" s="925">
        <v>0</v>
      </c>
      <c r="T696" s="925">
        <v>0</v>
      </c>
      <c r="U696" s="925">
        <v>0</v>
      </c>
      <c r="V696" s="925">
        <v>0</v>
      </c>
      <c r="W696" s="925">
        <v>0</v>
      </c>
      <c r="X696" s="929">
        <v>0</v>
      </c>
      <c r="Y696" s="925">
        <v>0</v>
      </c>
      <c r="Z696" s="921">
        <v>242531.52</v>
      </c>
      <c r="AA696" s="925">
        <v>0</v>
      </c>
    </row>
    <row r="697" spans="1:27" s="867" customFormat="1" ht="136.5" customHeight="1">
      <c r="A697" s="927">
        <v>197</v>
      </c>
      <c r="B697" s="923" t="s">
        <v>1098</v>
      </c>
      <c r="C697" s="925">
        <f t="shared" si="147"/>
        <v>2878258.73</v>
      </c>
      <c r="D697" s="925">
        <f t="shared" si="148"/>
        <v>0</v>
      </c>
      <c r="E697" s="925">
        <v>0</v>
      </c>
      <c r="F697" s="925">
        <v>0</v>
      </c>
      <c r="G697" s="925">
        <v>0</v>
      </c>
      <c r="H697" s="925">
        <v>0</v>
      </c>
      <c r="I697" s="925">
        <v>0</v>
      </c>
      <c r="J697" s="925">
        <v>0</v>
      </c>
      <c r="K697" s="861">
        <v>0</v>
      </c>
      <c r="L697" s="925">
        <v>0</v>
      </c>
      <c r="M697" s="925">
        <v>0</v>
      </c>
      <c r="N697" s="925">
        <v>0</v>
      </c>
      <c r="O697" s="925">
        <v>416.06</v>
      </c>
      <c r="P697" s="925">
        <v>2669196.9</v>
      </c>
      <c r="Q697" s="925">
        <v>0</v>
      </c>
      <c r="R697" s="925">
        <v>0</v>
      </c>
      <c r="S697" s="925">
        <v>0</v>
      </c>
      <c r="T697" s="925">
        <v>0</v>
      </c>
      <c r="U697" s="925">
        <v>0</v>
      </c>
      <c r="V697" s="925">
        <v>0</v>
      </c>
      <c r="W697" s="925">
        <v>0</v>
      </c>
      <c r="X697" s="929">
        <v>0</v>
      </c>
      <c r="Y697" s="925">
        <v>0</v>
      </c>
      <c r="Z697" s="921">
        <v>209061.83</v>
      </c>
      <c r="AA697" s="925">
        <v>0</v>
      </c>
    </row>
    <row r="698" spans="1:27" s="867" customFormat="1" ht="94.9" customHeight="1">
      <c r="A698" s="927">
        <v>198</v>
      </c>
      <c r="B698" s="923" t="s">
        <v>1219</v>
      </c>
      <c r="C698" s="925">
        <f t="shared" si="147"/>
        <v>2345791.0299999998</v>
      </c>
      <c r="D698" s="925">
        <f t="shared" si="148"/>
        <v>0</v>
      </c>
      <c r="E698" s="925">
        <v>0</v>
      </c>
      <c r="F698" s="925">
        <v>0</v>
      </c>
      <c r="G698" s="925">
        <v>0</v>
      </c>
      <c r="H698" s="925">
        <v>0</v>
      </c>
      <c r="I698" s="925">
        <v>0</v>
      </c>
      <c r="J698" s="925">
        <v>0</v>
      </c>
      <c r="K698" s="861">
        <v>0</v>
      </c>
      <c r="L698" s="925">
        <v>0</v>
      </c>
      <c r="M698" s="925">
        <v>0</v>
      </c>
      <c r="N698" s="925">
        <v>0</v>
      </c>
      <c r="O698" s="925">
        <v>578.79999999999995</v>
      </c>
      <c r="P698" s="925">
        <v>2203028.5499999998</v>
      </c>
      <c r="Q698" s="925">
        <v>0</v>
      </c>
      <c r="R698" s="925">
        <v>0</v>
      </c>
      <c r="S698" s="925">
        <v>0</v>
      </c>
      <c r="T698" s="925">
        <v>0</v>
      </c>
      <c r="U698" s="925">
        <v>0</v>
      </c>
      <c r="V698" s="925">
        <v>0</v>
      </c>
      <c r="W698" s="925">
        <v>0</v>
      </c>
      <c r="X698" s="929">
        <v>0</v>
      </c>
      <c r="Y698" s="925">
        <v>0</v>
      </c>
      <c r="Z698" s="921">
        <v>142762.48000000001</v>
      </c>
      <c r="AA698" s="925">
        <v>0</v>
      </c>
    </row>
    <row r="699" spans="1:27" s="867" customFormat="1" ht="144.75" customHeight="1">
      <c r="A699" s="927">
        <v>199</v>
      </c>
      <c r="B699" s="923" t="s">
        <v>1989</v>
      </c>
      <c r="C699" s="925">
        <f t="shared" si="147"/>
        <v>1223137.73</v>
      </c>
      <c r="D699" s="925">
        <f t="shared" si="148"/>
        <v>1209340.53</v>
      </c>
      <c r="E699" s="925">
        <v>0</v>
      </c>
      <c r="F699" s="925">
        <v>0</v>
      </c>
      <c r="G699" s="925">
        <v>0</v>
      </c>
      <c r="H699" s="925">
        <v>0</v>
      </c>
      <c r="I699" s="925">
        <v>0</v>
      </c>
      <c r="J699" s="925">
        <v>1209340.53</v>
      </c>
      <c r="K699" s="861">
        <v>0</v>
      </c>
      <c r="L699" s="925">
        <v>0</v>
      </c>
      <c r="M699" s="925">
        <v>0</v>
      </c>
      <c r="N699" s="925">
        <v>0</v>
      </c>
      <c r="O699" s="925">
        <v>0</v>
      </c>
      <c r="P699" s="925">
        <v>0</v>
      </c>
      <c r="Q699" s="925">
        <v>0</v>
      </c>
      <c r="R699" s="925">
        <v>0</v>
      </c>
      <c r="S699" s="925">
        <v>0</v>
      </c>
      <c r="T699" s="925">
        <v>0</v>
      </c>
      <c r="U699" s="925">
        <v>0</v>
      </c>
      <c r="V699" s="925">
        <v>0</v>
      </c>
      <c r="W699" s="925">
        <v>0</v>
      </c>
      <c r="X699" s="929">
        <v>0</v>
      </c>
      <c r="Y699" s="925">
        <v>0</v>
      </c>
      <c r="Z699" s="921">
        <v>13797.2</v>
      </c>
      <c r="AA699" s="925">
        <v>0</v>
      </c>
    </row>
    <row r="700" spans="1:27" s="867" customFormat="1" ht="133.5" customHeight="1">
      <c r="A700" s="927">
        <v>200</v>
      </c>
      <c r="B700" s="868" t="s">
        <v>1233</v>
      </c>
      <c r="C700" s="925">
        <f t="shared" si="147"/>
        <v>4258574.92</v>
      </c>
      <c r="D700" s="925">
        <f t="shared" si="148"/>
        <v>0</v>
      </c>
      <c r="E700" s="925">
        <v>0</v>
      </c>
      <c r="F700" s="925">
        <v>0</v>
      </c>
      <c r="G700" s="925">
        <v>0</v>
      </c>
      <c r="H700" s="925">
        <v>0</v>
      </c>
      <c r="I700" s="925">
        <v>0</v>
      </c>
      <c r="J700" s="925">
        <v>0</v>
      </c>
      <c r="K700" s="861">
        <v>0</v>
      </c>
      <c r="L700" s="925">
        <v>0</v>
      </c>
      <c r="M700" s="925">
        <v>0</v>
      </c>
      <c r="N700" s="925">
        <v>0</v>
      </c>
      <c r="O700" s="925">
        <v>479.2</v>
      </c>
      <c r="P700" s="925">
        <v>4074222.42</v>
      </c>
      <c r="Q700" s="925">
        <v>0</v>
      </c>
      <c r="R700" s="925">
        <v>0</v>
      </c>
      <c r="S700" s="925">
        <v>0</v>
      </c>
      <c r="T700" s="925">
        <v>0</v>
      </c>
      <c r="U700" s="925">
        <v>0</v>
      </c>
      <c r="V700" s="925">
        <v>0</v>
      </c>
      <c r="W700" s="925">
        <v>0</v>
      </c>
      <c r="X700" s="929">
        <v>0</v>
      </c>
      <c r="Y700" s="925">
        <v>0</v>
      </c>
      <c r="Z700" s="921">
        <v>184352.5</v>
      </c>
      <c r="AA700" s="925">
        <v>0</v>
      </c>
    </row>
    <row r="701" spans="1:27" s="867" customFormat="1" ht="153" customHeight="1">
      <c r="A701" s="927">
        <v>201</v>
      </c>
      <c r="B701" s="923" t="s">
        <v>1990</v>
      </c>
      <c r="C701" s="925">
        <f t="shared" si="147"/>
        <v>5169049.9499999993</v>
      </c>
      <c r="D701" s="925">
        <f t="shared" si="148"/>
        <v>0</v>
      </c>
      <c r="E701" s="925">
        <v>0</v>
      </c>
      <c r="F701" s="925">
        <v>0</v>
      </c>
      <c r="G701" s="925">
        <v>0</v>
      </c>
      <c r="H701" s="925">
        <v>0</v>
      </c>
      <c r="I701" s="925">
        <v>0</v>
      </c>
      <c r="J701" s="925">
        <v>0</v>
      </c>
      <c r="K701" s="861">
        <v>0</v>
      </c>
      <c r="L701" s="925">
        <v>0</v>
      </c>
      <c r="M701" s="925">
        <v>0</v>
      </c>
      <c r="N701" s="925">
        <v>0</v>
      </c>
      <c r="O701" s="925">
        <v>747.2</v>
      </c>
      <c r="P701" s="925">
        <v>4793596.8899999997</v>
      </c>
      <c r="Q701" s="925">
        <v>0</v>
      </c>
      <c r="R701" s="925">
        <v>0</v>
      </c>
      <c r="S701" s="925">
        <v>0</v>
      </c>
      <c r="T701" s="925">
        <v>0</v>
      </c>
      <c r="U701" s="925">
        <v>0</v>
      </c>
      <c r="V701" s="925">
        <v>0</v>
      </c>
      <c r="W701" s="925">
        <v>0</v>
      </c>
      <c r="X701" s="929">
        <v>0</v>
      </c>
      <c r="Y701" s="925">
        <v>0</v>
      </c>
      <c r="Z701" s="921">
        <v>375453.06</v>
      </c>
      <c r="AA701" s="925">
        <v>0</v>
      </c>
    </row>
    <row r="702" spans="1:27" s="867" customFormat="1" ht="94.9" customHeight="1">
      <c r="A702" s="927">
        <v>202</v>
      </c>
      <c r="B702" s="868" t="s">
        <v>2240</v>
      </c>
      <c r="C702" s="925">
        <f t="shared" si="147"/>
        <v>60340</v>
      </c>
      <c r="D702" s="925">
        <f t="shared" si="148"/>
        <v>0</v>
      </c>
      <c r="E702" s="925">
        <v>0</v>
      </c>
      <c r="F702" s="925">
        <v>0</v>
      </c>
      <c r="G702" s="925">
        <v>0</v>
      </c>
      <c r="H702" s="925">
        <v>0</v>
      </c>
      <c r="I702" s="925">
        <v>0</v>
      </c>
      <c r="J702" s="925">
        <v>0</v>
      </c>
      <c r="K702" s="861">
        <v>0</v>
      </c>
      <c r="L702" s="925">
        <v>0</v>
      </c>
      <c r="M702" s="925">
        <v>0</v>
      </c>
      <c r="N702" s="925">
        <v>0</v>
      </c>
      <c r="O702" s="925">
        <v>0</v>
      </c>
      <c r="P702" s="925">
        <v>0</v>
      </c>
      <c r="Q702" s="925">
        <v>0</v>
      </c>
      <c r="R702" s="925">
        <v>0</v>
      </c>
      <c r="S702" s="925">
        <v>0</v>
      </c>
      <c r="T702" s="925">
        <v>0</v>
      </c>
      <c r="U702" s="925">
        <v>0</v>
      </c>
      <c r="V702" s="925">
        <v>0</v>
      </c>
      <c r="W702" s="925">
        <v>0</v>
      </c>
      <c r="X702" s="929">
        <v>0</v>
      </c>
      <c r="Y702" s="925">
        <v>0</v>
      </c>
      <c r="Z702" s="864">
        <v>60340</v>
      </c>
      <c r="AA702" s="925">
        <v>0</v>
      </c>
    </row>
    <row r="703" spans="1:27" s="867" customFormat="1" ht="89.25" customHeight="1">
      <c r="A703" s="1198" t="s">
        <v>1186</v>
      </c>
      <c r="B703" s="1199"/>
      <c r="C703" s="925">
        <f>SUM(C704:C720)</f>
        <v>93075275.149999991</v>
      </c>
      <c r="D703" s="925">
        <f t="shared" ref="D703:T703" si="149">SUM(D704:D720)</f>
        <v>0</v>
      </c>
      <c r="E703" s="925">
        <f t="shared" si="149"/>
        <v>0</v>
      </c>
      <c r="F703" s="925">
        <f t="shared" si="149"/>
        <v>0</v>
      </c>
      <c r="G703" s="925">
        <f t="shared" si="149"/>
        <v>0</v>
      </c>
      <c r="H703" s="925">
        <f t="shared" si="149"/>
        <v>0</v>
      </c>
      <c r="I703" s="925">
        <f t="shared" si="149"/>
        <v>0</v>
      </c>
      <c r="J703" s="925">
        <f t="shared" si="149"/>
        <v>0</v>
      </c>
      <c r="K703" s="861">
        <f t="shared" si="149"/>
        <v>0</v>
      </c>
      <c r="L703" s="925">
        <f t="shared" si="149"/>
        <v>0</v>
      </c>
      <c r="M703" s="925">
        <f t="shared" si="149"/>
        <v>0</v>
      </c>
      <c r="N703" s="925">
        <f t="shared" si="149"/>
        <v>0</v>
      </c>
      <c r="O703" s="925">
        <f t="shared" si="149"/>
        <v>14487.84</v>
      </c>
      <c r="P703" s="925">
        <f t="shared" si="149"/>
        <v>72894430.370000005</v>
      </c>
      <c r="Q703" s="925">
        <f t="shared" si="149"/>
        <v>0</v>
      </c>
      <c r="R703" s="925">
        <f t="shared" si="149"/>
        <v>0</v>
      </c>
      <c r="S703" s="925">
        <f t="shared" si="149"/>
        <v>4348</v>
      </c>
      <c r="T703" s="925">
        <f t="shared" si="149"/>
        <v>12750246.51</v>
      </c>
      <c r="U703" s="925">
        <v>0</v>
      </c>
      <c r="V703" s="925">
        <v>0</v>
      </c>
      <c r="W703" s="925">
        <f>SUM(W704:W720)</f>
        <v>0</v>
      </c>
      <c r="X703" s="925">
        <f>SUM(X704:X720)</f>
        <v>0</v>
      </c>
      <c r="Y703" s="925">
        <v>0</v>
      </c>
      <c r="Z703" s="921">
        <f>SUM(Z704:Z720)</f>
        <v>5748876.2700000005</v>
      </c>
      <c r="AA703" s="925">
        <f>SUM(AA704:AA720)</f>
        <v>0</v>
      </c>
    </row>
    <row r="704" spans="1:27" s="867" customFormat="1" ht="101.25" customHeight="1">
      <c r="A704" s="927">
        <v>203</v>
      </c>
      <c r="B704" s="868" t="s">
        <v>2241</v>
      </c>
      <c r="C704" s="925">
        <f>D704+N704+P704+R704+T704+X704+Z704</f>
        <v>3525282.72</v>
      </c>
      <c r="D704" s="925">
        <f>SUM(E704:J704)</f>
        <v>0</v>
      </c>
      <c r="E704" s="925">
        <v>0</v>
      </c>
      <c r="F704" s="925">
        <v>0</v>
      </c>
      <c r="G704" s="925">
        <v>0</v>
      </c>
      <c r="H704" s="925">
        <v>0</v>
      </c>
      <c r="I704" s="925">
        <v>0</v>
      </c>
      <c r="J704" s="925">
        <v>0</v>
      </c>
      <c r="K704" s="861">
        <v>0</v>
      </c>
      <c r="L704" s="925">
        <v>0</v>
      </c>
      <c r="M704" s="925">
        <v>0</v>
      </c>
      <c r="N704" s="925">
        <v>0</v>
      </c>
      <c r="O704" s="925">
        <v>894</v>
      </c>
      <c r="P704" s="929">
        <v>3363063.68</v>
      </c>
      <c r="Q704" s="925">
        <v>0</v>
      </c>
      <c r="R704" s="925">
        <v>0</v>
      </c>
      <c r="S704" s="925">
        <v>0</v>
      </c>
      <c r="T704" s="925">
        <v>0</v>
      </c>
      <c r="U704" s="925">
        <v>0</v>
      </c>
      <c r="V704" s="925">
        <v>0</v>
      </c>
      <c r="W704" s="925">
        <v>0</v>
      </c>
      <c r="X704" s="925">
        <v>0</v>
      </c>
      <c r="Y704" s="925">
        <v>0</v>
      </c>
      <c r="Z704" s="864">
        <v>162219.04</v>
      </c>
      <c r="AA704" s="925">
        <v>0</v>
      </c>
    </row>
    <row r="705" spans="1:27" s="867" customFormat="1" ht="101.25" customHeight="1">
      <c r="A705" s="927">
        <v>204</v>
      </c>
      <c r="B705" s="868" t="s">
        <v>1778</v>
      </c>
      <c r="C705" s="925">
        <f t="shared" ref="C705:C719" si="150">D705+N705+P705+R705+T705+X705+Z705</f>
        <v>4196830.01</v>
      </c>
      <c r="D705" s="925">
        <f t="shared" ref="D705:D719" si="151">SUM(E705:J705)</f>
        <v>0</v>
      </c>
      <c r="E705" s="925">
        <v>0</v>
      </c>
      <c r="F705" s="925">
        <v>0</v>
      </c>
      <c r="G705" s="925">
        <v>0</v>
      </c>
      <c r="H705" s="925">
        <v>0</v>
      </c>
      <c r="I705" s="925">
        <v>0</v>
      </c>
      <c r="J705" s="925">
        <v>0</v>
      </c>
      <c r="K705" s="861">
        <v>0</v>
      </c>
      <c r="L705" s="925">
        <v>0</v>
      </c>
      <c r="M705" s="925">
        <v>0</v>
      </c>
      <c r="N705" s="925">
        <v>0</v>
      </c>
      <c r="O705" s="925">
        <v>1071</v>
      </c>
      <c r="P705" s="929">
        <v>4028905.15</v>
      </c>
      <c r="Q705" s="925">
        <v>0</v>
      </c>
      <c r="R705" s="925">
        <v>0</v>
      </c>
      <c r="S705" s="925">
        <v>0</v>
      </c>
      <c r="T705" s="925">
        <v>0</v>
      </c>
      <c r="U705" s="925">
        <v>0</v>
      </c>
      <c r="V705" s="925">
        <v>0</v>
      </c>
      <c r="W705" s="925">
        <v>0</v>
      </c>
      <c r="X705" s="925">
        <v>0</v>
      </c>
      <c r="Y705" s="925">
        <v>0</v>
      </c>
      <c r="Z705" s="864">
        <v>167924.86</v>
      </c>
      <c r="AA705" s="925">
        <v>0</v>
      </c>
    </row>
    <row r="706" spans="1:27" s="867" customFormat="1" ht="101.25" customHeight="1">
      <c r="A706" s="927">
        <v>205</v>
      </c>
      <c r="B706" s="868" t="s">
        <v>1779</v>
      </c>
      <c r="C706" s="925">
        <f t="shared" si="150"/>
        <v>4615004.63</v>
      </c>
      <c r="D706" s="925">
        <f t="shared" si="151"/>
        <v>0</v>
      </c>
      <c r="E706" s="925">
        <v>0</v>
      </c>
      <c r="F706" s="925">
        <v>0</v>
      </c>
      <c r="G706" s="925">
        <v>0</v>
      </c>
      <c r="H706" s="925">
        <v>0</v>
      </c>
      <c r="I706" s="925">
        <v>0</v>
      </c>
      <c r="J706" s="925">
        <v>0</v>
      </c>
      <c r="K706" s="861">
        <v>0</v>
      </c>
      <c r="L706" s="925">
        <v>0</v>
      </c>
      <c r="M706" s="925">
        <v>0</v>
      </c>
      <c r="N706" s="925">
        <v>0</v>
      </c>
      <c r="O706" s="925">
        <v>1171</v>
      </c>
      <c r="P706" s="929">
        <v>4405086.7699999996</v>
      </c>
      <c r="Q706" s="925">
        <v>0</v>
      </c>
      <c r="R706" s="925">
        <v>0</v>
      </c>
      <c r="S706" s="925">
        <v>0</v>
      </c>
      <c r="T706" s="925">
        <v>0</v>
      </c>
      <c r="U706" s="925">
        <v>0</v>
      </c>
      <c r="V706" s="925">
        <v>0</v>
      </c>
      <c r="W706" s="925">
        <v>0</v>
      </c>
      <c r="X706" s="925">
        <v>0</v>
      </c>
      <c r="Y706" s="925">
        <v>0</v>
      </c>
      <c r="Z706" s="864">
        <v>209917.86</v>
      </c>
      <c r="AA706" s="925">
        <v>0</v>
      </c>
    </row>
    <row r="707" spans="1:27" s="867" customFormat="1" ht="101.25" customHeight="1">
      <c r="A707" s="927">
        <v>206</v>
      </c>
      <c r="B707" s="868" t="s">
        <v>1780</v>
      </c>
      <c r="C707" s="925">
        <f t="shared" si="150"/>
        <v>5661296.2299999995</v>
      </c>
      <c r="D707" s="925">
        <f t="shared" si="151"/>
        <v>0</v>
      </c>
      <c r="E707" s="925">
        <v>0</v>
      </c>
      <c r="F707" s="925">
        <v>0</v>
      </c>
      <c r="G707" s="925">
        <v>0</v>
      </c>
      <c r="H707" s="925">
        <v>0</v>
      </c>
      <c r="I707" s="925">
        <v>0</v>
      </c>
      <c r="J707" s="925">
        <v>0</v>
      </c>
      <c r="K707" s="861">
        <v>0</v>
      </c>
      <c r="L707" s="925">
        <v>0</v>
      </c>
      <c r="M707" s="925">
        <v>0</v>
      </c>
      <c r="N707" s="925">
        <v>0</v>
      </c>
      <c r="O707" s="925">
        <v>1429</v>
      </c>
      <c r="P707" s="929">
        <v>5377516.2599999998</v>
      </c>
      <c r="Q707" s="925">
        <v>0</v>
      </c>
      <c r="R707" s="925">
        <v>0</v>
      </c>
      <c r="S707" s="925">
        <v>0</v>
      </c>
      <c r="T707" s="925">
        <v>0</v>
      </c>
      <c r="U707" s="925">
        <v>0</v>
      </c>
      <c r="V707" s="925">
        <v>0</v>
      </c>
      <c r="W707" s="925">
        <v>0</v>
      </c>
      <c r="X707" s="925">
        <v>0</v>
      </c>
      <c r="Y707" s="925">
        <v>0</v>
      </c>
      <c r="Z707" s="864">
        <v>283779.96999999997</v>
      </c>
      <c r="AA707" s="925">
        <v>0</v>
      </c>
    </row>
    <row r="708" spans="1:27" s="867" customFormat="1" ht="101.25" customHeight="1">
      <c r="A708" s="927">
        <v>207</v>
      </c>
      <c r="B708" s="868" t="s">
        <v>1954</v>
      </c>
      <c r="C708" s="925">
        <f t="shared" si="150"/>
        <v>3919423.39</v>
      </c>
      <c r="D708" s="925">
        <f t="shared" si="151"/>
        <v>0</v>
      </c>
      <c r="E708" s="925">
        <v>0</v>
      </c>
      <c r="F708" s="925">
        <v>0</v>
      </c>
      <c r="G708" s="925">
        <v>0</v>
      </c>
      <c r="H708" s="925">
        <v>0</v>
      </c>
      <c r="I708" s="925">
        <v>0</v>
      </c>
      <c r="J708" s="925">
        <v>0</v>
      </c>
      <c r="K708" s="861">
        <v>0</v>
      </c>
      <c r="L708" s="925">
        <v>0</v>
      </c>
      <c r="M708" s="925">
        <v>0</v>
      </c>
      <c r="N708" s="925">
        <v>0</v>
      </c>
      <c r="O708" s="925">
        <v>992</v>
      </c>
      <c r="P708" s="929">
        <v>3731721.67</v>
      </c>
      <c r="Q708" s="925">
        <v>0</v>
      </c>
      <c r="R708" s="925">
        <v>0</v>
      </c>
      <c r="S708" s="925">
        <v>0</v>
      </c>
      <c r="T708" s="925">
        <v>0</v>
      </c>
      <c r="U708" s="925">
        <v>0</v>
      </c>
      <c r="V708" s="925">
        <v>0</v>
      </c>
      <c r="W708" s="925">
        <v>0</v>
      </c>
      <c r="X708" s="925">
        <v>0</v>
      </c>
      <c r="Y708" s="925">
        <v>0</v>
      </c>
      <c r="Z708" s="864">
        <v>187701.72</v>
      </c>
      <c r="AA708" s="925">
        <v>0</v>
      </c>
    </row>
    <row r="709" spans="1:27" s="867" customFormat="1" ht="101.25" customHeight="1">
      <c r="A709" s="927">
        <v>208</v>
      </c>
      <c r="B709" s="868" t="s">
        <v>2242</v>
      </c>
      <c r="C709" s="925">
        <f t="shared" si="150"/>
        <v>7289383.3799999999</v>
      </c>
      <c r="D709" s="925">
        <f t="shared" si="151"/>
        <v>0</v>
      </c>
      <c r="E709" s="925">
        <v>0</v>
      </c>
      <c r="F709" s="925">
        <v>0</v>
      </c>
      <c r="G709" s="925">
        <v>0</v>
      </c>
      <c r="H709" s="925">
        <v>0</v>
      </c>
      <c r="I709" s="925">
        <v>0</v>
      </c>
      <c r="J709" s="925">
        <v>0</v>
      </c>
      <c r="K709" s="861">
        <v>0</v>
      </c>
      <c r="L709" s="925">
        <v>0</v>
      </c>
      <c r="M709" s="925">
        <v>0</v>
      </c>
      <c r="N709" s="925">
        <v>0</v>
      </c>
      <c r="O709" s="925">
        <v>900</v>
      </c>
      <c r="P709" s="929">
        <v>6998326.3799999999</v>
      </c>
      <c r="Q709" s="925">
        <v>0</v>
      </c>
      <c r="R709" s="925">
        <v>0</v>
      </c>
      <c r="S709" s="925">
        <v>0</v>
      </c>
      <c r="T709" s="925">
        <v>0</v>
      </c>
      <c r="U709" s="925">
        <v>0</v>
      </c>
      <c r="V709" s="925">
        <v>0</v>
      </c>
      <c r="W709" s="925">
        <v>0</v>
      </c>
      <c r="X709" s="925">
        <v>0</v>
      </c>
      <c r="Y709" s="925">
        <v>0</v>
      </c>
      <c r="Z709" s="864">
        <v>291057</v>
      </c>
      <c r="AA709" s="925">
        <v>0</v>
      </c>
    </row>
    <row r="710" spans="1:27" s="867" customFormat="1" ht="101.25" customHeight="1">
      <c r="A710" s="927">
        <v>209</v>
      </c>
      <c r="B710" s="868" t="s">
        <v>1184</v>
      </c>
      <c r="C710" s="925">
        <f t="shared" si="150"/>
        <v>7047781.0999999996</v>
      </c>
      <c r="D710" s="925">
        <f t="shared" si="151"/>
        <v>0</v>
      </c>
      <c r="E710" s="925">
        <v>0</v>
      </c>
      <c r="F710" s="925">
        <v>0</v>
      </c>
      <c r="G710" s="925">
        <v>0</v>
      </c>
      <c r="H710" s="925">
        <v>0</v>
      </c>
      <c r="I710" s="925">
        <v>0</v>
      </c>
      <c r="J710" s="925">
        <v>0</v>
      </c>
      <c r="K710" s="861">
        <v>0</v>
      </c>
      <c r="L710" s="925">
        <v>0</v>
      </c>
      <c r="M710" s="925">
        <v>0</v>
      </c>
      <c r="N710" s="925">
        <v>0</v>
      </c>
      <c r="O710" s="925">
        <v>1442</v>
      </c>
      <c r="P710" s="929">
        <v>6535867.0999999996</v>
      </c>
      <c r="Q710" s="925">
        <v>0</v>
      </c>
      <c r="R710" s="925">
        <v>0</v>
      </c>
      <c r="S710" s="925">
        <v>0</v>
      </c>
      <c r="T710" s="925">
        <v>0</v>
      </c>
      <c r="U710" s="925">
        <v>0</v>
      </c>
      <c r="V710" s="925">
        <v>0</v>
      </c>
      <c r="W710" s="925">
        <v>0</v>
      </c>
      <c r="X710" s="925">
        <v>0</v>
      </c>
      <c r="Y710" s="925">
        <v>0</v>
      </c>
      <c r="Z710" s="864">
        <v>511914</v>
      </c>
      <c r="AA710" s="925">
        <v>0</v>
      </c>
    </row>
    <row r="711" spans="1:27" s="867" customFormat="1" ht="101.25" customHeight="1">
      <c r="A711" s="927">
        <v>210</v>
      </c>
      <c r="B711" s="868" t="s">
        <v>1781</v>
      </c>
      <c r="C711" s="925">
        <f t="shared" si="150"/>
        <v>1992301.3</v>
      </c>
      <c r="D711" s="925">
        <f t="shared" si="151"/>
        <v>0</v>
      </c>
      <c r="E711" s="925">
        <v>0</v>
      </c>
      <c r="F711" s="925">
        <v>0</v>
      </c>
      <c r="G711" s="925">
        <v>0</v>
      </c>
      <c r="H711" s="925">
        <v>0</v>
      </c>
      <c r="I711" s="925">
        <v>0</v>
      </c>
      <c r="J711" s="925">
        <v>0</v>
      </c>
      <c r="K711" s="861">
        <v>0</v>
      </c>
      <c r="L711" s="925">
        <v>0</v>
      </c>
      <c r="M711" s="925">
        <v>0</v>
      </c>
      <c r="N711" s="925">
        <v>0</v>
      </c>
      <c r="O711" s="925">
        <v>299</v>
      </c>
      <c r="P711" s="929">
        <v>1918208.61</v>
      </c>
      <c r="Q711" s="925">
        <v>0</v>
      </c>
      <c r="R711" s="925">
        <v>0</v>
      </c>
      <c r="S711" s="925">
        <v>0</v>
      </c>
      <c r="T711" s="925">
        <v>0</v>
      </c>
      <c r="U711" s="925">
        <v>0</v>
      </c>
      <c r="V711" s="925">
        <v>0</v>
      </c>
      <c r="W711" s="925">
        <v>0</v>
      </c>
      <c r="X711" s="925">
        <v>0</v>
      </c>
      <c r="Y711" s="925">
        <v>0</v>
      </c>
      <c r="Z711" s="864">
        <v>74092.69</v>
      </c>
      <c r="AA711" s="925">
        <v>0</v>
      </c>
    </row>
    <row r="712" spans="1:27" s="867" customFormat="1" ht="101.25" customHeight="1">
      <c r="A712" s="927">
        <v>211</v>
      </c>
      <c r="B712" s="868" t="s">
        <v>1239</v>
      </c>
      <c r="C712" s="925">
        <f t="shared" si="150"/>
        <v>3874020.3</v>
      </c>
      <c r="D712" s="925">
        <f t="shared" si="151"/>
        <v>0</v>
      </c>
      <c r="E712" s="925">
        <v>0</v>
      </c>
      <c r="F712" s="925">
        <v>0</v>
      </c>
      <c r="G712" s="925">
        <v>0</v>
      </c>
      <c r="H712" s="925">
        <v>0</v>
      </c>
      <c r="I712" s="925">
        <v>0</v>
      </c>
      <c r="J712" s="925">
        <v>0</v>
      </c>
      <c r="K712" s="861">
        <v>0</v>
      </c>
      <c r="L712" s="925">
        <v>0</v>
      </c>
      <c r="M712" s="925">
        <v>0</v>
      </c>
      <c r="N712" s="925">
        <v>0</v>
      </c>
      <c r="O712" s="925">
        <v>560</v>
      </c>
      <c r="P712" s="929">
        <v>3592631.5</v>
      </c>
      <c r="Q712" s="925">
        <v>0</v>
      </c>
      <c r="R712" s="925">
        <v>0</v>
      </c>
      <c r="S712" s="925">
        <v>0</v>
      </c>
      <c r="T712" s="925">
        <v>0</v>
      </c>
      <c r="U712" s="925">
        <v>0</v>
      </c>
      <c r="V712" s="925">
        <v>0</v>
      </c>
      <c r="W712" s="925">
        <v>0</v>
      </c>
      <c r="X712" s="925">
        <v>0</v>
      </c>
      <c r="Y712" s="925">
        <v>0</v>
      </c>
      <c r="Z712" s="864">
        <v>281388.79999999999</v>
      </c>
      <c r="AA712" s="925">
        <v>0</v>
      </c>
    </row>
    <row r="713" spans="1:27" s="867" customFormat="1" ht="101.25" customHeight="1">
      <c r="A713" s="927">
        <v>212</v>
      </c>
      <c r="B713" s="868" t="s">
        <v>1238</v>
      </c>
      <c r="C713" s="925">
        <f t="shared" si="150"/>
        <v>6608643</v>
      </c>
      <c r="D713" s="925">
        <f t="shared" si="151"/>
        <v>0</v>
      </c>
      <c r="E713" s="925">
        <v>0</v>
      </c>
      <c r="F713" s="925">
        <v>0</v>
      </c>
      <c r="G713" s="925">
        <v>0</v>
      </c>
      <c r="H713" s="925">
        <v>0</v>
      </c>
      <c r="I713" s="925">
        <v>0</v>
      </c>
      <c r="J713" s="925">
        <v>0</v>
      </c>
      <c r="K713" s="861">
        <v>0</v>
      </c>
      <c r="L713" s="925">
        <v>0</v>
      </c>
      <c r="M713" s="925">
        <v>0</v>
      </c>
      <c r="N713" s="925">
        <v>0</v>
      </c>
      <c r="O713" s="925">
        <v>860</v>
      </c>
      <c r="P713" s="929">
        <v>6128625</v>
      </c>
      <c r="Q713" s="925">
        <v>0</v>
      </c>
      <c r="R713" s="925">
        <v>0</v>
      </c>
      <c r="S713" s="925">
        <v>0</v>
      </c>
      <c r="T713" s="925">
        <v>0</v>
      </c>
      <c r="U713" s="925">
        <v>0</v>
      </c>
      <c r="V713" s="925">
        <v>0</v>
      </c>
      <c r="W713" s="925">
        <v>0</v>
      </c>
      <c r="X713" s="925">
        <v>0</v>
      </c>
      <c r="Y713" s="925">
        <v>0</v>
      </c>
      <c r="Z713" s="864">
        <v>480018</v>
      </c>
      <c r="AA713" s="925">
        <v>0</v>
      </c>
    </row>
    <row r="714" spans="1:27" s="867" customFormat="1" ht="101.25" customHeight="1">
      <c r="A714" s="927">
        <v>213</v>
      </c>
      <c r="B714" s="868" t="s">
        <v>1237</v>
      </c>
      <c r="C714" s="925">
        <f t="shared" si="150"/>
        <v>3346280.09</v>
      </c>
      <c r="D714" s="925">
        <f t="shared" si="151"/>
        <v>0</v>
      </c>
      <c r="E714" s="925">
        <v>0</v>
      </c>
      <c r="F714" s="925">
        <v>0</v>
      </c>
      <c r="G714" s="925">
        <v>0</v>
      </c>
      <c r="H714" s="925">
        <v>0</v>
      </c>
      <c r="I714" s="925">
        <v>0</v>
      </c>
      <c r="J714" s="925">
        <v>0</v>
      </c>
      <c r="K714" s="861">
        <v>0</v>
      </c>
      <c r="L714" s="925">
        <v>0</v>
      </c>
      <c r="M714" s="925">
        <v>0</v>
      </c>
      <c r="N714" s="925">
        <v>0</v>
      </c>
      <c r="O714" s="925">
        <v>926</v>
      </c>
      <c r="P714" s="929">
        <v>3103223.61</v>
      </c>
      <c r="Q714" s="925">
        <v>0</v>
      </c>
      <c r="R714" s="925">
        <v>0</v>
      </c>
      <c r="S714" s="925">
        <v>0</v>
      </c>
      <c r="T714" s="925">
        <v>0</v>
      </c>
      <c r="U714" s="925">
        <v>0</v>
      </c>
      <c r="V714" s="925">
        <v>0</v>
      </c>
      <c r="W714" s="925">
        <v>0</v>
      </c>
      <c r="X714" s="925">
        <v>0</v>
      </c>
      <c r="Y714" s="925">
        <v>0</v>
      </c>
      <c r="Z714" s="864">
        <v>243056.48</v>
      </c>
      <c r="AA714" s="925">
        <v>0</v>
      </c>
    </row>
    <row r="715" spans="1:27" s="867" customFormat="1" ht="101.25" customHeight="1">
      <c r="A715" s="927">
        <v>214</v>
      </c>
      <c r="B715" s="868" t="s">
        <v>1237</v>
      </c>
      <c r="C715" s="925">
        <f t="shared" si="150"/>
        <v>8208861.96</v>
      </c>
      <c r="D715" s="925">
        <f t="shared" si="151"/>
        <v>0</v>
      </c>
      <c r="E715" s="925">
        <v>0</v>
      </c>
      <c r="F715" s="925">
        <v>0</v>
      </c>
      <c r="G715" s="925">
        <v>0</v>
      </c>
      <c r="H715" s="925">
        <v>0</v>
      </c>
      <c r="I715" s="925">
        <v>0</v>
      </c>
      <c r="J715" s="925">
        <v>0</v>
      </c>
      <c r="K715" s="861">
        <v>0</v>
      </c>
      <c r="L715" s="925">
        <v>0</v>
      </c>
      <c r="M715" s="925">
        <v>0</v>
      </c>
      <c r="N715" s="925">
        <v>0</v>
      </c>
      <c r="O715" s="929">
        <v>0</v>
      </c>
      <c r="P715" s="929">
        <v>0</v>
      </c>
      <c r="Q715" s="925">
        <v>0</v>
      </c>
      <c r="R715" s="925">
        <v>0</v>
      </c>
      <c r="S715" s="929">
        <v>2596</v>
      </c>
      <c r="T715" s="929">
        <v>7612612.6799999997</v>
      </c>
      <c r="U715" s="925">
        <v>0</v>
      </c>
      <c r="V715" s="925">
        <v>0</v>
      </c>
      <c r="W715" s="925">
        <v>0</v>
      </c>
      <c r="X715" s="925">
        <v>0</v>
      </c>
      <c r="Y715" s="925">
        <v>0</v>
      </c>
      <c r="Z715" s="864">
        <v>596249.28</v>
      </c>
      <c r="AA715" s="925">
        <v>0</v>
      </c>
    </row>
    <row r="716" spans="1:27" s="867" customFormat="1" ht="101.25" customHeight="1">
      <c r="A716" s="927">
        <v>215</v>
      </c>
      <c r="B716" s="868" t="s">
        <v>1774</v>
      </c>
      <c r="C716" s="925">
        <f t="shared" si="150"/>
        <v>3183530.62</v>
      </c>
      <c r="D716" s="925">
        <f t="shared" si="151"/>
        <v>0</v>
      </c>
      <c r="E716" s="925">
        <v>0</v>
      </c>
      <c r="F716" s="925">
        <v>0</v>
      </c>
      <c r="G716" s="925">
        <v>0</v>
      </c>
      <c r="H716" s="925">
        <v>0</v>
      </c>
      <c r="I716" s="925">
        <v>0</v>
      </c>
      <c r="J716" s="925">
        <v>0</v>
      </c>
      <c r="K716" s="861">
        <v>0</v>
      </c>
      <c r="L716" s="925">
        <v>0</v>
      </c>
      <c r="M716" s="925">
        <v>0</v>
      </c>
      <c r="N716" s="925">
        <v>0</v>
      </c>
      <c r="O716" s="925">
        <v>620</v>
      </c>
      <c r="P716" s="929">
        <v>2952295.42</v>
      </c>
      <c r="Q716" s="925">
        <v>0</v>
      </c>
      <c r="R716" s="925">
        <v>0</v>
      </c>
      <c r="S716" s="929"/>
      <c r="T716" s="929"/>
      <c r="U716" s="925">
        <v>0</v>
      </c>
      <c r="V716" s="925">
        <v>0</v>
      </c>
      <c r="W716" s="925">
        <v>0</v>
      </c>
      <c r="X716" s="925">
        <v>0</v>
      </c>
      <c r="Y716" s="925">
        <v>0</v>
      </c>
      <c r="Z716" s="864">
        <v>231235.20000000001</v>
      </c>
      <c r="AA716" s="925">
        <v>0</v>
      </c>
    </row>
    <row r="717" spans="1:27" s="867" customFormat="1" ht="101.25" customHeight="1">
      <c r="A717" s="927">
        <v>216</v>
      </c>
      <c r="B717" s="868" t="s">
        <v>1774</v>
      </c>
      <c r="C717" s="925">
        <f>D717+N717+P717+R717+T717+V717+Z717</f>
        <v>7221755.1900000004</v>
      </c>
      <c r="D717" s="925">
        <f>SUM(E717:J717)</f>
        <v>0</v>
      </c>
      <c r="E717" s="925">
        <v>0</v>
      </c>
      <c r="F717" s="925">
        <v>0</v>
      </c>
      <c r="G717" s="925">
        <v>0</v>
      </c>
      <c r="H717" s="925">
        <v>0</v>
      </c>
      <c r="I717" s="925">
        <v>0</v>
      </c>
      <c r="J717" s="925">
        <v>0</v>
      </c>
      <c r="K717" s="861">
        <v>0</v>
      </c>
      <c r="L717" s="925">
        <v>0</v>
      </c>
      <c r="M717" s="925">
        <v>0</v>
      </c>
      <c r="N717" s="925">
        <v>0</v>
      </c>
      <c r="O717" s="929">
        <v>0</v>
      </c>
      <c r="P717" s="929">
        <v>0</v>
      </c>
      <c r="Q717" s="925">
        <v>0</v>
      </c>
      <c r="R717" s="925">
        <v>0</v>
      </c>
      <c r="S717" s="929">
        <v>1752</v>
      </c>
      <c r="T717" s="929">
        <v>5137633.83</v>
      </c>
      <c r="U717" s="925">
        <v>378</v>
      </c>
      <c r="V717" s="925">
        <v>1681722</v>
      </c>
      <c r="W717" s="925">
        <v>0</v>
      </c>
      <c r="X717" s="925">
        <v>0</v>
      </c>
      <c r="Y717" s="925">
        <v>0</v>
      </c>
      <c r="Z717" s="864">
        <v>402399.36</v>
      </c>
      <c r="AA717" s="925">
        <v>0</v>
      </c>
    </row>
    <row r="718" spans="1:27" s="867" customFormat="1" ht="101.25" customHeight="1">
      <c r="A718" s="927">
        <v>217</v>
      </c>
      <c r="B718" s="868" t="s">
        <v>2243</v>
      </c>
      <c r="C718" s="925">
        <f t="shared" si="150"/>
        <v>12909905.9</v>
      </c>
      <c r="D718" s="925">
        <f t="shared" si="151"/>
        <v>0</v>
      </c>
      <c r="E718" s="925">
        <v>0</v>
      </c>
      <c r="F718" s="925">
        <v>0</v>
      </c>
      <c r="G718" s="925">
        <v>0</v>
      </c>
      <c r="H718" s="925">
        <v>0</v>
      </c>
      <c r="I718" s="925">
        <v>0</v>
      </c>
      <c r="J718" s="925">
        <v>0</v>
      </c>
      <c r="K718" s="861">
        <v>0</v>
      </c>
      <c r="L718" s="925">
        <v>0</v>
      </c>
      <c r="M718" s="925">
        <v>0</v>
      </c>
      <c r="N718" s="925">
        <v>0</v>
      </c>
      <c r="O718" s="925">
        <v>1680</v>
      </c>
      <c r="P718" s="929">
        <v>11972197.1</v>
      </c>
      <c r="Q718" s="925">
        <v>0</v>
      </c>
      <c r="R718" s="925">
        <v>0</v>
      </c>
      <c r="S718" s="925">
        <v>0</v>
      </c>
      <c r="T718" s="925">
        <v>0</v>
      </c>
      <c r="U718" s="925">
        <v>0</v>
      </c>
      <c r="V718" s="925">
        <v>0</v>
      </c>
      <c r="W718" s="925">
        <v>0</v>
      </c>
      <c r="X718" s="925">
        <v>0</v>
      </c>
      <c r="Y718" s="925">
        <v>0</v>
      </c>
      <c r="Z718" s="864">
        <v>937708.8</v>
      </c>
      <c r="AA718" s="925">
        <v>0</v>
      </c>
    </row>
    <row r="719" spans="1:27" s="867" customFormat="1" ht="101.25" customHeight="1">
      <c r="A719" s="927">
        <v>218</v>
      </c>
      <c r="B719" s="868" t="s">
        <v>1776</v>
      </c>
      <c r="C719" s="925">
        <f t="shared" si="150"/>
        <v>5511607.6899999995</v>
      </c>
      <c r="D719" s="925">
        <f t="shared" si="151"/>
        <v>0</v>
      </c>
      <c r="E719" s="925">
        <v>0</v>
      </c>
      <c r="F719" s="925">
        <v>0</v>
      </c>
      <c r="G719" s="925">
        <v>0</v>
      </c>
      <c r="H719" s="925">
        <v>0</v>
      </c>
      <c r="I719" s="925">
        <v>0</v>
      </c>
      <c r="J719" s="925">
        <v>0</v>
      </c>
      <c r="K719" s="861">
        <v>0</v>
      </c>
      <c r="L719" s="925">
        <v>0</v>
      </c>
      <c r="M719" s="925">
        <v>0</v>
      </c>
      <c r="N719" s="925">
        <v>0</v>
      </c>
      <c r="O719" s="925">
        <v>717.24</v>
      </c>
      <c r="P719" s="929">
        <v>5111273.01</v>
      </c>
      <c r="Q719" s="925">
        <v>0</v>
      </c>
      <c r="R719" s="925">
        <v>0</v>
      </c>
      <c r="S719" s="925">
        <v>0</v>
      </c>
      <c r="T719" s="925">
        <v>0</v>
      </c>
      <c r="U719" s="925">
        <v>0</v>
      </c>
      <c r="V719" s="925">
        <v>0</v>
      </c>
      <c r="W719" s="925">
        <v>0</v>
      </c>
      <c r="X719" s="925">
        <v>0</v>
      </c>
      <c r="Y719" s="925">
        <v>0</v>
      </c>
      <c r="Z719" s="864">
        <v>400334.68</v>
      </c>
      <c r="AA719" s="925">
        <v>0</v>
      </c>
    </row>
    <row r="720" spans="1:27" s="867" customFormat="1" ht="101.25" customHeight="1">
      <c r="A720" s="927">
        <v>219</v>
      </c>
      <c r="B720" s="868" t="s">
        <v>1777</v>
      </c>
      <c r="C720" s="925">
        <f>D720+N720+P720+R720+T720+X720+Z720</f>
        <v>3963367.6399999997</v>
      </c>
      <c r="D720" s="925">
        <f>SUM(E720:J720)</f>
        <v>0</v>
      </c>
      <c r="E720" s="925">
        <v>0</v>
      </c>
      <c r="F720" s="925">
        <v>0</v>
      </c>
      <c r="G720" s="925">
        <v>0</v>
      </c>
      <c r="H720" s="925">
        <v>0</v>
      </c>
      <c r="I720" s="925">
        <v>0</v>
      </c>
      <c r="J720" s="925">
        <v>0</v>
      </c>
      <c r="K720" s="861">
        <v>0</v>
      </c>
      <c r="L720" s="925">
        <v>0</v>
      </c>
      <c r="M720" s="925">
        <v>0</v>
      </c>
      <c r="N720" s="925">
        <v>0</v>
      </c>
      <c r="O720" s="925">
        <v>926.6</v>
      </c>
      <c r="P720" s="929">
        <v>3675489.11</v>
      </c>
      <c r="Q720" s="925">
        <v>0</v>
      </c>
      <c r="R720" s="925">
        <v>0</v>
      </c>
      <c r="S720" s="925">
        <v>0</v>
      </c>
      <c r="T720" s="925">
        <v>0</v>
      </c>
      <c r="U720" s="925">
        <v>0</v>
      </c>
      <c r="V720" s="925">
        <v>0</v>
      </c>
      <c r="W720" s="925">
        <v>0</v>
      </c>
      <c r="X720" s="925">
        <v>0</v>
      </c>
      <c r="Y720" s="925">
        <v>0</v>
      </c>
      <c r="Z720" s="864">
        <v>287878.53000000003</v>
      </c>
      <c r="AA720" s="925">
        <v>0</v>
      </c>
    </row>
    <row r="721" spans="1:27" s="867" customFormat="1" ht="72" customHeight="1">
      <c r="A721" s="1198" t="s">
        <v>2272</v>
      </c>
      <c r="B721" s="1199"/>
      <c r="C721" s="925">
        <f>SUM(C722:C731)</f>
        <v>30371186.370000001</v>
      </c>
      <c r="D721" s="925">
        <f t="shared" ref="D721:AA721" si="152">SUM(D722:D731)</f>
        <v>913639.74</v>
      </c>
      <c r="E721" s="925">
        <f t="shared" si="152"/>
        <v>0</v>
      </c>
      <c r="F721" s="925">
        <f t="shared" si="152"/>
        <v>0</v>
      </c>
      <c r="G721" s="925">
        <f t="shared" si="152"/>
        <v>0</v>
      </c>
      <c r="H721" s="925">
        <f t="shared" si="152"/>
        <v>559808.91</v>
      </c>
      <c r="I721" s="925">
        <f t="shared" si="152"/>
        <v>0</v>
      </c>
      <c r="J721" s="925">
        <f t="shared" si="152"/>
        <v>353830.83</v>
      </c>
      <c r="K721" s="861">
        <f t="shared" si="152"/>
        <v>0</v>
      </c>
      <c r="L721" s="925">
        <f t="shared" si="152"/>
        <v>0</v>
      </c>
      <c r="M721" s="925">
        <f t="shared" si="152"/>
        <v>0</v>
      </c>
      <c r="N721" s="925">
        <f t="shared" si="152"/>
        <v>0</v>
      </c>
      <c r="O721" s="925">
        <f t="shared" si="152"/>
        <v>4206.22</v>
      </c>
      <c r="P721" s="925">
        <f t="shared" si="152"/>
        <v>25075197.200000003</v>
      </c>
      <c r="Q721" s="925">
        <f t="shared" si="152"/>
        <v>0</v>
      </c>
      <c r="R721" s="925">
        <f t="shared" si="152"/>
        <v>0</v>
      </c>
      <c r="S721" s="925">
        <f t="shared" si="152"/>
        <v>0</v>
      </c>
      <c r="T721" s="925">
        <f t="shared" si="152"/>
        <v>0</v>
      </c>
      <c r="U721" s="925">
        <f t="shared" si="152"/>
        <v>937.59</v>
      </c>
      <c r="V721" s="925">
        <f t="shared" si="152"/>
        <v>2313693</v>
      </c>
      <c r="W721" s="925">
        <f t="shared" si="152"/>
        <v>0</v>
      </c>
      <c r="X721" s="925">
        <f t="shared" si="152"/>
        <v>0</v>
      </c>
      <c r="Y721" s="925">
        <f t="shared" si="152"/>
        <v>0</v>
      </c>
      <c r="Z721" s="921">
        <f t="shared" si="152"/>
        <v>1939191.43</v>
      </c>
      <c r="AA721" s="925">
        <f t="shared" si="152"/>
        <v>689273.91</v>
      </c>
    </row>
    <row r="722" spans="1:27" s="867" customFormat="1" ht="85.9" customHeight="1">
      <c r="A722" s="927">
        <v>220</v>
      </c>
      <c r="B722" s="863" t="s">
        <v>2244</v>
      </c>
      <c r="C722" s="925">
        <f t="shared" ref="C722:C731" si="153">D722+N722+P722+R722+T722+X722+Z722</f>
        <v>6099848.7300000004</v>
      </c>
      <c r="D722" s="925">
        <f t="shared" ref="D722:D731" si="154">SUM(E722:J722)</f>
        <v>0</v>
      </c>
      <c r="E722" s="925">
        <v>0</v>
      </c>
      <c r="F722" s="925">
        <v>0</v>
      </c>
      <c r="G722" s="925">
        <v>0</v>
      </c>
      <c r="H722" s="925">
        <v>0</v>
      </c>
      <c r="I722" s="925">
        <v>0</v>
      </c>
      <c r="J722" s="925">
        <v>0</v>
      </c>
      <c r="K722" s="861">
        <v>0</v>
      </c>
      <c r="L722" s="925">
        <v>0</v>
      </c>
      <c r="M722" s="925">
        <v>0</v>
      </c>
      <c r="N722" s="925">
        <v>0</v>
      </c>
      <c r="O722" s="925">
        <v>930.52</v>
      </c>
      <c r="P722" s="925">
        <v>5969670.4800000004</v>
      </c>
      <c r="Q722" s="925">
        <v>0</v>
      </c>
      <c r="R722" s="925">
        <v>0</v>
      </c>
      <c r="S722" s="925">
        <v>0</v>
      </c>
      <c r="T722" s="925">
        <v>0</v>
      </c>
      <c r="U722" s="925">
        <v>0</v>
      </c>
      <c r="V722" s="925">
        <v>0</v>
      </c>
      <c r="W722" s="925">
        <v>0</v>
      </c>
      <c r="X722" s="925">
        <v>0</v>
      </c>
      <c r="Y722" s="925">
        <v>0</v>
      </c>
      <c r="Z722" s="921">
        <v>130178.25</v>
      </c>
      <c r="AA722" s="925">
        <v>0</v>
      </c>
    </row>
    <row r="723" spans="1:27" s="867" customFormat="1" ht="93" customHeight="1">
      <c r="A723" s="927">
        <v>221</v>
      </c>
      <c r="B723" s="863" t="s">
        <v>2245</v>
      </c>
      <c r="C723" s="925">
        <f t="shared" si="153"/>
        <v>8647366.75</v>
      </c>
      <c r="D723" s="925">
        <f t="shared" si="154"/>
        <v>0</v>
      </c>
      <c r="E723" s="925">
        <v>0</v>
      </c>
      <c r="F723" s="925">
        <v>0</v>
      </c>
      <c r="G723" s="925">
        <v>0</v>
      </c>
      <c r="H723" s="925">
        <v>0</v>
      </c>
      <c r="I723" s="925">
        <v>0</v>
      </c>
      <c r="J723" s="925">
        <v>0</v>
      </c>
      <c r="K723" s="861">
        <v>0</v>
      </c>
      <c r="L723" s="925">
        <v>0</v>
      </c>
      <c r="M723" s="925">
        <v>0</v>
      </c>
      <c r="N723" s="925">
        <v>0</v>
      </c>
      <c r="O723" s="925">
        <v>1250</v>
      </c>
      <c r="P723" s="925">
        <v>8019266.75</v>
      </c>
      <c r="Q723" s="925">
        <v>0</v>
      </c>
      <c r="R723" s="925">
        <v>0</v>
      </c>
      <c r="S723" s="925">
        <v>0</v>
      </c>
      <c r="T723" s="925">
        <v>0</v>
      </c>
      <c r="U723" s="925">
        <v>0</v>
      </c>
      <c r="V723" s="925">
        <v>0</v>
      </c>
      <c r="W723" s="925">
        <v>0</v>
      </c>
      <c r="X723" s="925">
        <v>0</v>
      </c>
      <c r="Y723" s="925">
        <v>0</v>
      </c>
      <c r="Z723" s="921">
        <v>628100</v>
      </c>
      <c r="AA723" s="925">
        <v>0</v>
      </c>
    </row>
    <row r="724" spans="1:27" s="867" customFormat="1" ht="85.15" customHeight="1">
      <c r="A724" s="927">
        <v>222</v>
      </c>
      <c r="B724" s="863" t="s">
        <v>1318</v>
      </c>
      <c r="C724" s="925">
        <f t="shared" si="153"/>
        <v>1249211.18</v>
      </c>
      <c r="D724" s="925">
        <f t="shared" si="154"/>
        <v>0</v>
      </c>
      <c r="E724" s="925">
        <v>0</v>
      </c>
      <c r="F724" s="925">
        <v>0</v>
      </c>
      <c r="G724" s="925">
        <v>0</v>
      </c>
      <c r="H724" s="925">
        <v>0</v>
      </c>
      <c r="I724" s="925">
        <v>0</v>
      </c>
      <c r="J724" s="925">
        <v>0</v>
      </c>
      <c r="K724" s="861">
        <v>0</v>
      </c>
      <c r="L724" s="925">
        <v>0</v>
      </c>
      <c r="M724" s="925">
        <v>0</v>
      </c>
      <c r="N724" s="925">
        <v>0</v>
      </c>
      <c r="O724" s="925">
        <v>293</v>
      </c>
      <c r="P724" s="925">
        <v>1158474.94</v>
      </c>
      <c r="Q724" s="925">
        <v>0</v>
      </c>
      <c r="R724" s="925">
        <v>0</v>
      </c>
      <c r="S724" s="925">
        <v>0</v>
      </c>
      <c r="T724" s="925">
        <v>0</v>
      </c>
      <c r="U724" s="925">
        <v>0</v>
      </c>
      <c r="V724" s="925">
        <v>0</v>
      </c>
      <c r="W724" s="925">
        <v>0</v>
      </c>
      <c r="X724" s="925">
        <v>0</v>
      </c>
      <c r="Y724" s="925">
        <v>0</v>
      </c>
      <c r="Z724" s="921">
        <v>90736.24</v>
      </c>
      <c r="AA724" s="925">
        <v>0</v>
      </c>
    </row>
    <row r="725" spans="1:27" s="867" customFormat="1" ht="87.75" customHeight="1">
      <c r="A725" s="927">
        <v>223</v>
      </c>
      <c r="B725" s="863" t="s">
        <v>1857</v>
      </c>
      <c r="C725" s="925">
        <f t="shared" si="153"/>
        <v>8647366.75</v>
      </c>
      <c r="D725" s="925">
        <f t="shared" si="154"/>
        <v>0</v>
      </c>
      <c r="E725" s="925">
        <v>0</v>
      </c>
      <c r="F725" s="925">
        <v>0</v>
      </c>
      <c r="G725" s="925">
        <v>0</v>
      </c>
      <c r="H725" s="925">
        <v>0</v>
      </c>
      <c r="I725" s="925">
        <v>0</v>
      </c>
      <c r="J725" s="925">
        <v>0</v>
      </c>
      <c r="K725" s="861">
        <v>0</v>
      </c>
      <c r="L725" s="925">
        <v>0</v>
      </c>
      <c r="M725" s="925">
        <v>0</v>
      </c>
      <c r="N725" s="925">
        <v>0</v>
      </c>
      <c r="O725" s="925">
        <v>1250</v>
      </c>
      <c r="P725" s="925">
        <f>7851250+168016.75</f>
        <v>8019266.75</v>
      </c>
      <c r="Q725" s="925">
        <v>0</v>
      </c>
      <c r="R725" s="925">
        <v>0</v>
      </c>
      <c r="S725" s="925">
        <v>0</v>
      </c>
      <c r="T725" s="925">
        <v>0</v>
      </c>
      <c r="U725" s="925">
        <v>0</v>
      </c>
      <c r="V725" s="925">
        <v>0</v>
      </c>
      <c r="W725" s="925">
        <v>0</v>
      </c>
      <c r="X725" s="925">
        <v>0</v>
      </c>
      <c r="Y725" s="925">
        <v>0</v>
      </c>
      <c r="Z725" s="921">
        <v>628100</v>
      </c>
      <c r="AA725" s="925">
        <v>0</v>
      </c>
    </row>
    <row r="726" spans="1:27" s="867" customFormat="1" ht="93" customHeight="1">
      <c r="A726" s="927">
        <v>224</v>
      </c>
      <c r="B726" s="863" t="s">
        <v>1320</v>
      </c>
      <c r="C726" s="925">
        <f t="shared" si="153"/>
        <v>381544.23000000004</v>
      </c>
      <c r="D726" s="925">
        <f t="shared" si="154"/>
        <v>353830.83</v>
      </c>
      <c r="E726" s="925">
        <v>0</v>
      </c>
      <c r="F726" s="925">
        <v>0</v>
      </c>
      <c r="G726" s="925">
        <v>0</v>
      </c>
      <c r="H726" s="925">
        <v>0</v>
      </c>
      <c r="I726" s="925">
        <v>0</v>
      </c>
      <c r="J726" s="925">
        <v>353830.83</v>
      </c>
      <c r="K726" s="861">
        <v>0</v>
      </c>
      <c r="L726" s="925">
        <v>0</v>
      </c>
      <c r="M726" s="925">
        <v>0</v>
      </c>
      <c r="N726" s="925">
        <v>0</v>
      </c>
      <c r="O726" s="925">
        <v>0</v>
      </c>
      <c r="P726" s="925">
        <v>0</v>
      </c>
      <c r="Q726" s="925">
        <v>0</v>
      </c>
      <c r="R726" s="925">
        <v>0</v>
      </c>
      <c r="S726" s="925">
        <v>0</v>
      </c>
      <c r="T726" s="925">
        <v>0</v>
      </c>
      <c r="U726" s="925">
        <v>0</v>
      </c>
      <c r="V726" s="925">
        <v>0</v>
      </c>
      <c r="W726" s="925">
        <v>0</v>
      </c>
      <c r="X726" s="925">
        <v>0</v>
      </c>
      <c r="Y726" s="925">
        <v>0</v>
      </c>
      <c r="Z726" s="921">
        <v>27713.4</v>
      </c>
      <c r="AA726" s="925">
        <v>0</v>
      </c>
    </row>
    <row r="727" spans="1:27" s="867" customFormat="1" ht="99.6" customHeight="1">
      <c r="A727" s="927">
        <v>225</v>
      </c>
      <c r="B727" s="863" t="s">
        <v>1321</v>
      </c>
      <c r="C727" s="925">
        <f>D727+N727+P727+R727+T727+X727+Z727+AA727</f>
        <v>129465</v>
      </c>
      <c r="D727" s="925">
        <f t="shared" si="154"/>
        <v>0</v>
      </c>
      <c r="E727" s="925">
        <v>0</v>
      </c>
      <c r="F727" s="925">
        <v>0</v>
      </c>
      <c r="G727" s="925">
        <v>0</v>
      </c>
      <c r="H727" s="925">
        <v>0</v>
      </c>
      <c r="I727" s="925">
        <v>0</v>
      </c>
      <c r="J727" s="925">
        <v>0</v>
      </c>
      <c r="K727" s="861">
        <v>0</v>
      </c>
      <c r="L727" s="925">
        <v>0</v>
      </c>
      <c r="M727" s="925">
        <v>0</v>
      </c>
      <c r="N727" s="925">
        <v>0</v>
      </c>
      <c r="O727" s="925">
        <v>0</v>
      </c>
      <c r="P727" s="925">
        <v>0</v>
      </c>
      <c r="Q727" s="925">
        <v>0</v>
      </c>
      <c r="R727" s="925">
        <v>0</v>
      </c>
      <c r="S727" s="925">
        <v>0</v>
      </c>
      <c r="T727" s="925">
        <v>0</v>
      </c>
      <c r="U727" s="925">
        <v>0</v>
      </c>
      <c r="V727" s="925">
        <v>0</v>
      </c>
      <c r="W727" s="925">
        <v>0</v>
      </c>
      <c r="X727" s="925">
        <v>0</v>
      </c>
      <c r="Y727" s="925">
        <v>0</v>
      </c>
      <c r="Z727" s="921">
        <v>0</v>
      </c>
      <c r="AA727" s="925">
        <v>129465</v>
      </c>
    </row>
    <row r="728" spans="1:27" s="867" customFormat="1" ht="111.75" customHeight="1">
      <c r="A728" s="927">
        <v>226</v>
      </c>
      <c r="B728" s="863" t="s">
        <v>1322</v>
      </c>
      <c r="C728" s="925">
        <f>D728+N728+P728+R728+T728+X728+Z728+L728</f>
        <v>2058000.82</v>
      </c>
      <c r="D728" s="925">
        <f t="shared" si="154"/>
        <v>0</v>
      </c>
      <c r="E728" s="925">
        <v>0</v>
      </c>
      <c r="F728" s="925">
        <v>0</v>
      </c>
      <c r="G728" s="925">
        <v>0</v>
      </c>
      <c r="H728" s="925">
        <v>0</v>
      </c>
      <c r="I728" s="925">
        <v>0</v>
      </c>
      <c r="J728" s="925">
        <v>0</v>
      </c>
      <c r="K728" s="861">
        <v>0</v>
      </c>
      <c r="L728" s="925">
        <v>0</v>
      </c>
      <c r="M728" s="925">
        <v>0</v>
      </c>
      <c r="N728" s="925">
        <v>0</v>
      </c>
      <c r="O728" s="925">
        <v>482.7</v>
      </c>
      <c r="P728" s="925">
        <v>1908518.28</v>
      </c>
      <c r="Q728" s="925">
        <v>0</v>
      </c>
      <c r="R728" s="925">
        <v>0</v>
      </c>
      <c r="S728" s="925">
        <v>0</v>
      </c>
      <c r="T728" s="925">
        <v>0</v>
      </c>
      <c r="U728" s="925">
        <v>0</v>
      </c>
      <c r="V728" s="925">
        <v>0</v>
      </c>
      <c r="W728" s="925">
        <v>0</v>
      </c>
      <c r="X728" s="925">
        <v>0</v>
      </c>
      <c r="Y728" s="925">
        <v>0</v>
      </c>
      <c r="Z728" s="921">
        <v>149482.54</v>
      </c>
      <c r="AA728" s="925">
        <v>559808.91</v>
      </c>
    </row>
    <row r="729" spans="1:27" s="867" customFormat="1" ht="100.5" customHeight="1">
      <c r="A729" s="927">
        <v>227</v>
      </c>
      <c r="B729" s="863" t="s">
        <v>2244</v>
      </c>
      <c r="C729" s="925">
        <f>D729+N729+P729+R729+T729+X729+Z729+V729</f>
        <v>2494910</v>
      </c>
      <c r="D729" s="925">
        <f>SUM(E729:J729)</f>
        <v>0</v>
      </c>
      <c r="E729" s="925">
        <v>0</v>
      </c>
      <c r="F729" s="925">
        <v>0</v>
      </c>
      <c r="G729" s="925">
        <v>0</v>
      </c>
      <c r="H729" s="925">
        <v>0</v>
      </c>
      <c r="I729" s="925">
        <v>0</v>
      </c>
      <c r="J729" s="925">
        <v>0</v>
      </c>
      <c r="K729" s="861">
        <v>0</v>
      </c>
      <c r="L729" s="925">
        <v>0</v>
      </c>
      <c r="M729" s="925">
        <v>0</v>
      </c>
      <c r="N729" s="925">
        <v>0</v>
      </c>
      <c r="O729" s="925">
        <v>0</v>
      </c>
      <c r="P729" s="925">
        <v>0</v>
      </c>
      <c r="Q729" s="925">
        <v>0</v>
      </c>
      <c r="R729" s="925">
        <v>0</v>
      </c>
      <c r="S729" s="925">
        <v>0</v>
      </c>
      <c r="T729" s="925">
        <v>0</v>
      </c>
      <c r="U729" s="925">
        <v>937.59</v>
      </c>
      <c r="V729" s="925">
        <v>2313693</v>
      </c>
      <c r="W729" s="925">
        <v>0</v>
      </c>
      <c r="X729" s="925">
        <v>0</v>
      </c>
      <c r="Y729" s="925">
        <v>0</v>
      </c>
      <c r="Z729" s="921">
        <v>181217</v>
      </c>
      <c r="AA729" s="925">
        <v>0</v>
      </c>
    </row>
    <row r="730" spans="1:27" s="867" customFormat="1" ht="98.25" customHeight="1">
      <c r="A730" s="927">
        <v>228</v>
      </c>
      <c r="B730" s="863" t="s">
        <v>1320</v>
      </c>
      <c r="C730" s="925">
        <f t="shared" si="153"/>
        <v>603654.91</v>
      </c>
      <c r="D730" s="925">
        <f t="shared" si="154"/>
        <v>559808.91</v>
      </c>
      <c r="E730" s="925">
        <v>0</v>
      </c>
      <c r="F730" s="925">
        <v>0</v>
      </c>
      <c r="G730" s="925">
        <v>0</v>
      </c>
      <c r="H730" s="925">
        <v>559808.91</v>
      </c>
      <c r="I730" s="925">
        <v>0</v>
      </c>
      <c r="J730" s="925">
        <v>0</v>
      </c>
      <c r="K730" s="861">
        <v>0</v>
      </c>
      <c r="L730" s="925">
        <v>0</v>
      </c>
      <c r="M730" s="925">
        <v>0</v>
      </c>
      <c r="N730" s="925">
        <v>0</v>
      </c>
      <c r="O730" s="925">
        <v>0</v>
      </c>
      <c r="P730" s="925">
        <v>0</v>
      </c>
      <c r="Q730" s="925">
        <v>0</v>
      </c>
      <c r="R730" s="925">
        <v>0</v>
      </c>
      <c r="S730" s="925">
        <v>0</v>
      </c>
      <c r="T730" s="925">
        <v>0</v>
      </c>
      <c r="U730" s="925">
        <v>0</v>
      </c>
      <c r="V730" s="925">
        <v>0</v>
      </c>
      <c r="W730" s="925">
        <v>0</v>
      </c>
      <c r="X730" s="925">
        <v>0</v>
      </c>
      <c r="Y730" s="925">
        <v>0</v>
      </c>
      <c r="Z730" s="921">
        <v>43846</v>
      </c>
      <c r="AA730" s="925">
        <v>0</v>
      </c>
    </row>
    <row r="731" spans="1:27" s="867" customFormat="1" ht="101.25" customHeight="1">
      <c r="A731" s="927">
        <v>229</v>
      </c>
      <c r="B731" s="863" t="s">
        <v>2159</v>
      </c>
      <c r="C731" s="925">
        <f t="shared" si="153"/>
        <v>59818</v>
      </c>
      <c r="D731" s="925">
        <f t="shared" si="154"/>
        <v>0</v>
      </c>
      <c r="E731" s="925">
        <v>0</v>
      </c>
      <c r="F731" s="925">
        <v>0</v>
      </c>
      <c r="G731" s="925">
        <v>0</v>
      </c>
      <c r="H731" s="925">
        <v>0</v>
      </c>
      <c r="I731" s="925">
        <v>0</v>
      </c>
      <c r="J731" s="925">
        <v>0</v>
      </c>
      <c r="K731" s="861">
        <v>0</v>
      </c>
      <c r="L731" s="925">
        <v>0</v>
      </c>
      <c r="M731" s="925">
        <v>0</v>
      </c>
      <c r="N731" s="925">
        <v>0</v>
      </c>
      <c r="O731" s="925">
        <v>0</v>
      </c>
      <c r="P731" s="925">
        <v>0</v>
      </c>
      <c r="Q731" s="925">
        <v>0</v>
      </c>
      <c r="R731" s="925">
        <v>0</v>
      </c>
      <c r="S731" s="925">
        <v>0</v>
      </c>
      <c r="T731" s="925">
        <v>0</v>
      </c>
      <c r="U731" s="925">
        <v>0</v>
      </c>
      <c r="V731" s="925">
        <v>0</v>
      </c>
      <c r="W731" s="925">
        <v>0</v>
      </c>
      <c r="X731" s="925">
        <v>0</v>
      </c>
      <c r="Y731" s="925">
        <v>0</v>
      </c>
      <c r="Z731" s="921">
        <v>59818</v>
      </c>
      <c r="AA731" s="925">
        <v>0</v>
      </c>
    </row>
    <row r="732" spans="1:27" s="867" customFormat="1" ht="111.6" customHeight="1">
      <c r="A732" s="1198" t="s">
        <v>2054</v>
      </c>
      <c r="B732" s="1199"/>
      <c r="C732" s="925">
        <f>SUM(C733:C746)</f>
        <v>75961800.190000013</v>
      </c>
      <c r="D732" s="925">
        <f t="shared" ref="D732:AA732" si="155">SUM(D733:D746)</f>
        <v>25838934.420000002</v>
      </c>
      <c r="E732" s="925">
        <f t="shared" si="155"/>
        <v>0</v>
      </c>
      <c r="F732" s="925">
        <f t="shared" si="155"/>
        <v>21738680.09</v>
      </c>
      <c r="G732" s="925">
        <f t="shared" si="155"/>
        <v>0</v>
      </c>
      <c r="H732" s="925">
        <f t="shared" si="155"/>
        <v>0</v>
      </c>
      <c r="I732" s="925">
        <f t="shared" si="155"/>
        <v>0</v>
      </c>
      <c r="J732" s="925">
        <f t="shared" si="155"/>
        <v>4100254.33</v>
      </c>
      <c r="K732" s="861">
        <f t="shared" si="155"/>
        <v>4</v>
      </c>
      <c r="L732" s="925">
        <f t="shared" si="155"/>
        <v>1389437.47</v>
      </c>
      <c r="M732" s="925">
        <f t="shared" si="155"/>
        <v>0</v>
      </c>
      <c r="N732" s="925">
        <f t="shared" si="155"/>
        <v>0</v>
      </c>
      <c r="O732" s="925">
        <f t="shared" si="155"/>
        <v>8573</v>
      </c>
      <c r="P732" s="925">
        <f t="shared" si="155"/>
        <v>43951569.229999997</v>
      </c>
      <c r="Q732" s="925">
        <f t="shared" si="155"/>
        <v>0</v>
      </c>
      <c r="R732" s="925">
        <f t="shared" si="155"/>
        <v>0</v>
      </c>
      <c r="S732" s="925">
        <f t="shared" si="155"/>
        <v>0</v>
      </c>
      <c r="T732" s="925">
        <f t="shared" si="155"/>
        <v>0</v>
      </c>
      <c r="U732" s="925">
        <v>0</v>
      </c>
      <c r="V732" s="925">
        <v>0</v>
      </c>
      <c r="W732" s="925">
        <f t="shared" si="155"/>
        <v>0</v>
      </c>
      <c r="X732" s="925">
        <f t="shared" si="155"/>
        <v>0</v>
      </c>
      <c r="Y732" s="925">
        <f t="shared" si="155"/>
        <v>0</v>
      </c>
      <c r="Z732" s="921">
        <f t="shared" si="155"/>
        <v>4781859.0699999994</v>
      </c>
      <c r="AA732" s="925">
        <f t="shared" si="155"/>
        <v>0</v>
      </c>
    </row>
    <row r="733" spans="1:27" s="867" customFormat="1" ht="111.75" customHeight="1">
      <c r="A733" s="927">
        <v>230</v>
      </c>
      <c r="B733" s="863" t="s">
        <v>1461</v>
      </c>
      <c r="C733" s="925">
        <f>D733+N733+P733+R733+T733+X733+Z733</f>
        <v>2463360.0700000003</v>
      </c>
      <c r="D733" s="925">
        <f>SUM(E733:J733)</f>
        <v>2284434.33</v>
      </c>
      <c r="E733" s="925">
        <v>0</v>
      </c>
      <c r="F733" s="925">
        <v>0</v>
      </c>
      <c r="G733" s="925">
        <v>0</v>
      </c>
      <c r="H733" s="925">
        <v>0</v>
      </c>
      <c r="I733" s="925">
        <v>0</v>
      </c>
      <c r="J733" s="925">
        <v>2284434.33</v>
      </c>
      <c r="K733" s="861">
        <v>0</v>
      </c>
      <c r="L733" s="925">
        <v>0</v>
      </c>
      <c r="M733" s="925">
        <v>0</v>
      </c>
      <c r="N733" s="925">
        <v>0</v>
      </c>
      <c r="O733" s="925">
        <v>0</v>
      </c>
      <c r="P733" s="925">
        <v>0</v>
      </c>
      <c r="Q733" s="925">
        <v>0</v>
      </c>
      <c r="R733" s="925">
        <v>0</v>
      </c>
      <c r="S733" s="925">
        <v>0</v>
      </c>
      <c r="T733" s="925">
        <v>0</v>
      </c>
      <c r="U733" s="925">
        <v>0</v>
      </c>
      <c r="V733" s="925">
        <v>0</v>
      </c>
      <c r="W733" s="925">
        <v>0</v>
      </c>
      <c r="X733" s="925">
        <v>0</v>
      </c>
      <c r="Y733" s="925">
        <v>0</v>
      </c>
      <c r="Z733" s="921">
        <v>178925.74</v>
      </c>
      <c r="AA733" s="925">
        <v>0</v>
      </c>
    </row>
    <row r="734" spans="1:27" s="867" customFormat="1" ht="91.5" customHeight="1">
      <c r="A734" s="927">
        <v>231</v>
      </c>
      <c r="B734" s="863" t="s">
        <v>1856</v>
      </c>
      <c r="C734" s="925">
        <f>D734+N734+P734+R734+T734+X734+Z734</f>
        <v>1958042</v>
      </c>
      <c r="D734" s="925">
        <f>SUM(E734:J734)</f>
        <v>1815820</v>
      </c>
      <c r="E734" s="925">
        <v>0</v>
      </c>
      <c r="F734" s="925">
        <v>0</v>
      </c>
      <c r="G734" s="925">
        <v>0</v>
      </c>
      <c r="H734" s="925">
        <v>0</v>
      </c>
      <c r="I734" s="925">
        <v>0</v>
      </c>
      <c r="J734" s="925">
        <v>1815820</v>
      </c>
      <c r="K734" s="861">
        <v>0</v>
      </c>
      <c r="L734" s="925">
        <v>0</v>
      </c>
      <c r="M734" s="925">
        <v>0</v>
      </c>
      <c r="N734" s="925">
        <v>0</v>
      </c>
      <c r="O734" s="925">
        <v>0</v>
      </c>
      <c r="P734" s="925">
        <v>0</v>
      </c>
      <c r="Q734" s="925">
        <v>0</v>
      </c>
      <c r="R734" s="925">
        <v>0</v>
      </c>
      <c r="S734" s="925">
        <v>0</v>
      </c>
      <c r="T734" s="925">
        <v>0</v>
      </c>
      <c r="U734" s="925">
        <v>0</v>
      </c>
      <c r="V734" s="925">
        <v>0</v>
      </c>
      <c r="W734" s="925">
        <v>0</v>
      </c>
      <c r="X734" s="925">
        <v>0</v>
      </c>
      <c r="Y734" s="925">
        <v>0</v>
      </c>
      <c r="Z734" s="921">
        <v>142222</v>
      </c>
      <c r="AA734" s="925">
        <v>0</v>
      </c>
    </row>
    <row r="735" spans="1:27" s="867" customFormat="1" ht="104.25" customHeight="1">
      <c r="A735" s="927">
        <v>232</v>
      </c>
      <c r="B735" s="863" t="s">
        <v>1463</v>
      </c>
      <c r="C735" s="925">
        <f>D735+N735+P735+R735+T735+X735+Z735</f>
        <v>9966078.040000001</v>
      </c>
      <c r="D735" s="925">
        <f>SUM(E735:J735)</f>
        <v>0</v>
      </c>
      <c r="E735" s="925">
        <v>0</v>
      </c>
      <c r="F735" s="925">
        <v>0</v>
      </c>
      <c r="G735" s="925">
        <v>0</v>
      </c>
      <c r="H735" s="925">
        <v>0</v>
      </c>
      <c r="I735" s="925">
        <v>0</v>
      </c>
      <c r="J735" s="925">
        <v>0</v>
      </c>
      <c r="K735" s="861">
        <v>0</v>
      </c>
      <c r="L735" s="925">
        <v>0</v>
      </c>
      <c r="M735" s="925">
        <v>0</v>
      </c>
      <c r="N735" s="925">
        <v>0</v>
      </c>
      <c r="O735" s="925">
        <v>1223</v>
      </c>
      <c r="P735" s="925">
        <v>9509947.9600000009</v>
      </c>
      <c r="Q735" s="925">
        <v>0</v>
      </c>
      <c r="R735" s="925">
        <v>0</v>
      </c>
      <c r="S735" s="925">
        <v>0</v>
      </c>
      <c r="T735" s="925">
        <v>0</v>
      </c>
      <c r="U735" s="925">
        <v>0</v>
      </c>
      <c r="V735" s="925">
        <v>0</v>
      </c>
      <c r="W735" s="925">
        <v>0</v>
      </c>
      <c r="X735" s="925">
        <v>0</v>
      </c>
      <c r="Y735" s="925">
        <v>0</v>
      </c>
      <c r="Z735" s="921">
        <v>456130.08</v>
      </c>
      <c r="AA735" s="925">
        <v>0</v>
      </c>
    </row>
    <row r="736" spans="1:27" s="867" customFormat="1" ht="93.75" customHeight="1">
      <c r="A736" s="927">
        <v>233</v>
      </c>
      <c r="B736" s="863" t="s">
        <v>1464</v>
      </c>
      <c r="C736" s="925">
        <f>D736+N736+P736+R736+T736+X736+Z736</f>
        <v>9966078.040000001</v>
      </c>
      <c r="D736" s="925">
        <f>SUM(E736:J736)</f>
        <v>0</v>
      </c>
      <c r="E736" s="925">
        <v>0</v>
      </c>
      <c r="F736" s="925">
        <v>0</v>
      </c>
      <c r="G736" s="925">
        <v>0</v>
      </c>
      <c r="H736" s="925">
        <v>0</v>
      </c>
      <c r="I736" s="925">
        <v>0</v>
      </c>
      <c r="J736" s="925">
        <v>0</v>
      </c>
      <c r="K736" s="861">
        <v>0</v>
      </c>
      <c r="L736" s="925">
        <v>0</v>
      </c>
      <c r="M736" s="925">
        <v>0</v>
      </c>
      <c r="N736" s="925">
        <v>0</v>
      </c>
      <c r="O736" s="925">
        <v>1223</v>
      </c>
      <c r="P736" s="925">
        <v>9509947.9600000009</v>
      </c>
      <c r="Q736" s="925">
        <v>0</v>
      </c>
      <c r="R736" s="925">
        <v>0</v>
      </c>
      <c r="S736" s="925">
        <v>0</v>
      </c>
      <c r="T736" s="925">
        <v>0</v>
      </c>
      <c r="U736" s="925">
        <v>0</v>
      </c>
      <c r="V736" s="925">
        <v>0</v>
      </c>
      <c r="W736" s="925">
        <v>0</v>
      </c>
      <c r="X736" s="925">
        <v>0</v>
      </c>
      <c r="Y736" s="925">
        <v>0</v>
      </c>
      <c r="Z736" s="921">
        <v>456130.08</v>
      </c>
      <c r="AA736" s="925">
        <v>0</v>
      </c>
    </row>
    <row r="737" spans="1:27" s="867" customFormat="1" ht="78.599999999999994" customHeight="1">
      <c r="A737" s="927">
        <v>234</v>
      </c>
      <c r="B737" s="863" t="s">
        <v>1465</v>
      </c>
      <c r="C737" s="925">
        <f t="shared" ref="C737:C742" si="156">D737+N737+P737+R737+T737+X737+Z737</f>
        <v>4943532.5699999994</v>
      </c>
      <c r="D737" s="925">
        <f t="shared" ref="D737:D743" si="157">SUM(E737:J737)</f>
        <v>0</v>
      </c>
      <c r="E737" s="925">
        <v>0</v>
      </c>
      <c r="F737" s="925">
        <v>0</v>
      </c>
      <c r="G737" s="925">
        <v>0</v>
      </c>
      <c r="H737" s="925">
        <v>0</v>
      </c>
      <c r="I737" s="925">
        <v>0</v>
      </c>
      <c r="J737" s="925">
        <v>0</v>
      </c>
      <c r="K737" s="861">
        <v>0</v>
      </c>
      <c r="L737" s="925">
        <v>0</v>
      </c>
      <c r="M737" s="925">
        <v>0</v>
      </c>
      <c r="N737" s="925">
        <v>0</v>
      </c>
      <c r="O737" s="925">
        <v>1368</v>
      </c>
      <c r="P737" s="925">
        <v>4584459.93</v>
      </c>
      <c r="Q737" s="925">
        <v>0</v>
      </c>
      <c r="R737" s="925">
        <v>0</v>
      </c>
      <c r="S737" s="925">
        <v>0</v>
      </c>
      <c r="T737" s="925">
        <v>0</v>
      </c>
      <c r="U737" s="925">
        <v>0</v>
      </c>
      <c r="V737" s="925">
        <v>0</v>
      </c>
      <c r="W737" s="925">
        <v>0</v>
      </c>
      <c r="X737" s="925">
        <v>0</v>
      </c>
      <c r="Y737" s="925">
        <v>0</v>
      </c>
      <c r="Z737" s="921">
        <v>359072.64</v>
      </c>
      <c r="AA737" s="925">
        <v>0</v>
      </c>
    </row>
    <row r="738" spans="1:27" s="867" customFormat="1" ht="105.75" customHeight="1">
      <c r="A738" s="927">
        <v>235</v>
      </c>
      <c r="B738" s="863" t="s">
        <v>1466</v>
      </c>
      <c r="C738" s="925">
        <f t="shared" si="156"/>
        <v>7448074.6700000009</v>
      </c>
      <c r="D738" s="925">
        <f t="shared" si="157"/>
        <v>0</v>
      </c>
      <c r="E738" s="925">
        <v>0</v>
      </c>
      <c r="F738" s="925">
        <v>0</v>
      </c>
      <c r="G738" s="925">
        <v>0</v>
      </c>
      <c r="H738" s="925">
        <v>0</v>
      </c>
      <c r="I738" s="925">
        <v>0</v>
      </c>
      <c r="J738" s="925">
        <v>0</v>
      </c>
      <c r="K738" s="861">
        <v>0</v>
      </c>
      <c r="L738" s="925">
        <v>0</v>
      </c>
      <c r="M738" s="925">
        <v>0</v>
      </c>
      <c r="N738" s="925">
        <v>0</v>
      </c>
      <c r="O738" s="925">
        <v>914</v>
      </c>
      <c r="P738" s="925">
        <v>7107189.2300000004</v>
      </c>
      <c r="Q738" s="925">
        <v>0</v>
      </c>
      <c r="R738" s="925">
        <v>0</v>
      </c>
      <c r="S738" s="925">
        <v>0</v>
      </c>
      <c r="T738" s="925">
        <v>0</v>
      </c>
      <c r="U738" s="925">
        <v>0</v>
      </c>
      <c r="V738" s="925">
        <v>0</v>
      </c>
      <c r="W738" s="925">
        <v>0</v>
      </c>
      <c r="X738" s="925">
        <v>0</v>
      </c>
      <c r="Y738" s="925">
        <v>0</v>
      </c>
      <c r="Z738" s="921">
        <v>340885.44</v>
      </c>
      <c r="AA738" s="925">
        <v>0</v>
      </c>
    </row>
    <row r="739" spans="1:27" s="867" customFormat="1" ht="95.25" customHeight="1">
      <c r="A739" s="927">
        <v>236</v>
      </c>
      <c r="B739" s="863" t="s">
        <v>1467</v>
      </c>
      <c r="C739" s="925">
        <f t="shared" si="156"/>
        <v>4083473.54</v>
      </c>
      <c r="D739" s="925">
        <f t="shared" si="157"/>
        <v>0</v>
      </c>
      <c r="E739" s="925">
        <v>0</v>
      </c>
      <c r="F739" s="925">
        <v>0</v>
      </c>
      <c r="G739" s="925">
        <v>0</v>
      </c>
      <c r="H739" s="925">
        <v>0</v>
      </c>
      <c r="I739" s="925">
        <v>0</v>
      </c>
      <c r="J739" s="925">
        <v>0</v>
      </c>
      <c r="K739" s="861">
        <v>0</v>
      </c>
      <c r="L739" s="925">
        <v>0</v>
      </c>
      <c r="M739" s="925">
        <v>0</v>
      </c>
      <c r="N739" s="925">
        <v>0</v>
      </c>
      <c r="O739" s="925">
        <v>1130</v>
      </c>
      <c r="P739" s="925">
        <v>3786871.14</v>
      </c>
      <c r="Q739" s="925">
        <v>0</v>
      </c>
      <c r="R739" s="925">
        <v>0</v>
      </c>
      <c r="S739" s="925">
        <v>0</v>
      </c>
      <c r="T739" s="925">
        <v>0</v>
      </c>
      <c r="U739" s="925">
        <v>0</v>
      </c>
      <c r="V739" s="925">
        <v>0</v>
      </c>
      <c r="W739" s="925">
        <v>0</v>
      </c>
      <c r="X739" s="925">
        <v>0</v>
      </c>
      <c r="Y739" s="925">
        <v>0</v>
      </c>
      <c r="Z739" s="921">
        <v>296602.40000000002</v>
      </c>
      <c r="AA739" s="925">
        <v>0</v>
      </c>
    </row>
    <row r="740" spans="1:27" s="867" customFormat="1" ht="95.25" customHeight="1">
      <c r="A740" s="927">
        <v>237</v>
      </c>
      <c r="B740" s="863" t="s">
        <v>1468</v>
      </c>
      <c r="C740" s="925">
        <f t="shared" si="156"/>
        <v>4018427.0599999996</v>
      </c>
      <c r="D740" s="925">
        <f t="shared" si="157"/>
        <v>0</v>
      </c>
      <c r="E740" s="925">
        <v>0</v>
      </c>
      <c r="F740" s="925">
        <v>0</v>
      </c>
      <c r="G740" s="925">
        <v>0</v>
      </c>
      <c r="H740" s="925">
        <v>0</v>
      </c>
      <c r="I740" s="925">
        <v>0</v>
      </c>
      <c r="J740" s="925">
        <v>0</v>
      </c>
      <c r="K740" s="861">
        <v>0</v>
      </c>
      <c r="L740" s="925">
        <v>0</v>
      </c>
      <c r="M740" s="925">
        <v>0</v>
      </c>
      <c r="N740" s="925">
        <v>0</v>
      </c>
      <c r="O740" s="925">
        <v>1113</v>
      </c>
      <c r="P740" s="925">
        <v>3726549.3</v>
      </c>
      <c r="Q740" s="925">
        <v>0</v>
      </c>
      <c r="R740" s="925">
        <v>0</v>
      </c>
      <c r="S740" s="925">
        <v>0</v>
      </c>
      <c r="T740" s="925">
        <v>0</v>
      </c>
      <c r="U740" s="925">
        <v>0</v>
      </c>
      <c r="V740" s="925">
        <v>0</v>
      </c>
      <c r="W740" s="925">
        <v>0</v>
      </c>
      <c r="X740" s="925">
        <v>0</v>
      </c>
      <c r="Y740" s="925">
        <v>0</v>
      </c>
      <c r="Z740" s="921">
        <v>291877.76000000001</v>
      </c>
      <c r="AA740" s="925">
        <v>0</v>
      </c>
    </row>
    <row r="741" spans="1:27" s="867" customFormat="1" ht="95.25" customHeight="1">
      <c r="A741" s="927">
        <v>238</v>
      </c>
      <c r="B741" s="863" t="s">
        <v>1469</v>
      </c>
      <c r="C741" s="925">
        <f t="shared" si="156"/>
        <v>3642602.9499999997</v>
      </c>
      <c r="D741" s="925">
        <f t="shared" si="157"/>
        <v>0</v>
      </c>
      <c r="E741" s="925">
        <v>0</v>
      </c>
      <c r="F741" s="925">
        <v>0</v>
      </c>
      <c r="G741" s="925">
        <v>0</v>
      </c>
      <c r="H741" s="925">
        <v>0</v>
      </c>
      <c r="I741" s="925">
        <v>0</v>
      </c>
      <c r="J741" s="925">
        <v>0</v>
      </c>
      <c r="K741" s="861">
        <v>0</v>
      </c>
      <c r="L741" s="925">
        <v>0</v>
      </c>
      <c r="M741" s="925">
        <v>0</v>
      </c>
      <c r="N741" s="925">
        <v>0</v>
      </c>
      <c r="O741" s="925">
        <v>1008</v>
      </c>
      <c r="P741" s="925">
        <v>3378023.11</v>
      </c>
      <c r="Q741" s="925">
        <v>0</v>
      </c>
      <c r="R741" s="925">
        <v>0</v>
      </c>
      <c r="S741" s="925">
        <v>0</v>
      </c>
      <c r="T741" s="925">
        <v>0</v>
      </c>
      <c r="U741" s="925">
        <v>0</v>
      </c>
      <c r="V741" s="925">
        <v>0</v>
      </c>
      <c r="W741" s="925">
        <v>0</v>
      </c>
      <c r="X741" s="925">
        <v>0</v>
      </c>
      <c r="Y741" s="925">
        <v>0</v>
      </c>
      <c r="Z741" s="921">
        <v>264579.84000000003</v>
      </c>
      <c r="AA741" s="925">
        <v>0</v>
      </c>
    </row>
    <row r="742" spans="1:27" s="867" customFormat="1" ht="84.75" customHeight="1">
      <c r="A742" s="927">
        <v>239</v>
      </c>
      <c r="B742" s="863" t="s">
        <v>1854</v>
      </c>
      <c r="C742" s="925">
        <f t="shared" si="156"/>
        <v>2532530.52</v>
      </c>
      <c r="D742" s="925">
        <f t="shared" si="157"/>
        <v>0</v>
      </c>
      <c r="E742" s="925">
        <v>0</v>
      </c>
      <c r="F742" s="925">
        <v>0</v>
      </c>
      <c r="G742" s="925">
        <v>0</v>
      </c>
      <c r="H742" s="925">
        <v>0</v>
      </c>
      <c r="I742" s="925">
        <v>0</v>
      </c>
      <c r="J742" s="925">
        <v>0</v>
      </c>
      <c r="K742" s="861">
        <v>0</v>
      </c>
      <c r="L742" s="925">
        <v>0</v>
      </c>
      <c r="M742" s="925">
        <v>0</v>
      </c>
      <c r="N742" s="925">
        <v>0</v>
      </c>
      <c r="O742" s="925">
        <v>594</v>
      </c>
      <c r="P742" s="925">
        <v>2348580.6</v>
      </c>
      <c r="Q742" s="925">
        <v>0</v>
      </c>
      <c r="R742" s="925">
        <v>0</v>
      </c>
      <c r="S742" s="925">
        <v>0</v>
      </c>
      <c r="T742" s="925">
        <v>0</v>
      </c>
      <c r="U742" s="925">
        <v>0</v>
      </c>
      <c r="V742" s="925">
        <v>0</v>
      </c>
      <c r="W742" s="925">
        <v>0</v>
      </c>
      <c r="X742" s="925">
        <v>0</v>
      </c>
      <c r="Y742" s="925">
        <v>0</v>
      </c>
      <c r="Z742" s="921">
        <v>183949.92</v>
      </c>
      <c r="AA742" s="925">
        <v>0</v>
      </c>
    </row>
    <row r="743" spans="1:27" s="867" customFormat="1" ht="106.5" customHeight="1">
      <c r="A743" s="927">
        <v>240</v>
      </c>
      <c r="B743" s="863" t="s">
        <v>1853</v>
      </c>
      <c r="C743" s="925">
        <f>D743+N743+P743+R743+T743+X743+Z743+L743</f>
        <v>4930203.2</v>
      </c>
      <c r="D743" s="925">
        <f t="shared" si="157"/>
        <v>4243317.2300000004</v>
      </c>
      <c r="E743" s="925">
        <v>0</v>
      </c>
      <c r="F743" s="925">
        <v>4243317.2300000004</v>
      </c>
      <c r="G743" s="925">
        <v>0</v>
      </c>
      <c r="H743" s="925">
        <v>0</v>
      </c>
      <c r="I743" s="925">
        <v>0</v>
      </c>
      <c r="J743" s="925">
        <v>0</v>
      </c>
      <c r="K743" s="861">
        <v>1</v>
      </c>
      <c r="L743" s="925">
        <v>328781.51</v>
      </c>
      <c r="M743" s="925">
        <v>0</v>
      </c>
      <c r="N743" s="925">
        <v>0</v>
      </c>
      <c r="O743" s="925">
        <v>0</v>
      </c>
      <c r="P743" s="925">
        <v>0</v>
      </c>
      <c r="Q743" s="925">
        <v>0</v>
      </c>
      <c r="R743" s="925">
        <v>0</v>
      </c>
      <c r="S743" s="925">
        <v>0</v>
      </c>
      <c r="T743" s="925">
        <v>0</v>
      </c>
      <c r="U743" s="925">
        <v>0</v>
      </c>
      <c r="V743" s="925">
        <v>0</v>
      </c>
      <c r="W743" s="925">
        <v>0</v>
      </c>
      <c r="X743" s="925">
        <v>0</v>
      </c>
      <c r="Y743" s="925">
        <v>0</v>
      </c>
      <c r="Z743" s="921">
        <v>358104.46</v>
      </c>
      <c r="AA743" s="925">
        <v>0</v>
      </c>
    </row>
    <row r="744" spans="1:27" s="867" customFormat="1" ht="84.75" customHeight="1">
      <c r="A744" s="927">
        <v>241</v>
      </c>
      <c r="B744" s="863" t="s">
        <v>1472</v>
      </c>
      <c r="C744" s="925">
        <f>D744+N744+P744+R744+T744+X744+Z744+L744</f>
        <v>7129266.595999999</v>
      </c>
      <c r="D744" s="925">
        <f>SUM(E744:J744)</f>
        <v>6245496.5599999996</v>
      </c>
      <c r="E744" s="925">
        <v>0</v>
      </c>
      <c r="F744" s="925">
        <v>6245496.5599999996</v>
      </c>
      <c r="G744" s="925">
        <v>0</v>
      </c>
      <c r="H744" s="925">
        <v>0</v>
      </c>
      <c r="I744" s="925">
        <v>0</v>
      </c>
      <c r="J744" s="925">
        <v>0</v>
      </c>
      <c r="K744" s="861">
        <v>1</v>
      </c>
      <c r="L744" s="925">
        <v>365936.98</v>
      </c>
      <c r="M744" s="925">
        <v>0</v>
      </c>
      <c r="N744" s="925">
        <v>0</v>
      </c>
      <c r="O744" s="925">
        <v>0</v>
      </c>
      <c r="P744" s="925">
        <v>0</v>
      </c>
      <c r="Q744" s="925">
        <v>0</v>
      </c>
      <c r="R744" s="925">
        <v>0</v>
      </c>
      <c r="S744" s="925">
        <v>0</v>
      </c>
      <c r="T744" s="925">
        <v>0</v>
      </c>
      <c r="U744" s="925">
        <v>0</v>
      </c>
      <c r="V744" s="925">
        <v>0</v>
      </c>
      <c r="W744" s="925">
        <v>0</v>
      </c>
      <c r="X744" s="925">
        <v>0</v>
      </c>
      <c r="Y744" s="925">
        <v>0</v>
      </c>
      <c r="Z744" s="921">
        <v>517833.05599999998</v>
      </c>
      <c r="AA744" s="925">
        <v>0</v>
      </c>
    </row>
    <row r="745" spans="1:27" s="867" customFormat="1" ht="103.5" customHeight="1">
      <c r="A745" s="927">
        <v>242</v>
      </c>
      <c r="B745" s="863" t="s">
        <v>1473</v>
      </c>
      <c r="C745" s="925">
        <f>D745+N745+P745+R745+T745+X745+Z745+L745</f>
        <v>7996916.0439999998</v>
      </c>
      <c r="D745" s="925">
        <f>SUM(E745:J745)</f>
        <v>7050124.4400000004</v>
      </c>
      <c r="E745" s="925">
        <v>0</v>
      </c>
      <c r="F745" s="925">
        <v>7050124.4400000004</v>
      </c>
      <c r="G745" s="925">
        <v>0</v>
      </c>
      <c r="H745" s="925">
        <v>0</v>
      </c>
      <c r="I745" s="925">
        <v>0</v>
      </c>
      <c r="J745" s="925">
        <v>0</v>
      </c>
      <c r="K745" s="861">
        <v>1</v>
      </c>
      <c r="L745" s="925">
        <v>365936.98</v>
      </c>
      <c r="M745" s="925">
        <v>0</v>
      </c>
      <c r="N745" s="925">
        <v>0</v>
      </c>
      <c r="O745" s="925">
        <v>0</v>
      </c>
      <c r="P745" s="925">
        <v>0</v>
      </c>
      <c r="Q745" s="925">
        <v>0</v>
      </c>
      <c r="R745" s="925">
        <v>0</v>
      </c>
      <c r="S745" s="925">
        <v>0</v>
      </c>
      <c r="T745" s="925">
        <v>0</v>
      </c>
      <c r="U745" s="925">
        <v>0</v>
      </c>
      <c r="V745" s="925">
        <v>0</v>
      </c>
      <c r="W745" s="925">
        <v>0</v>
      </c>
      <c r="X745" s="925">
        <v>0</v>
      </c>
      <c r="Y745" s="925">
        <v>0</v>
      </c>
      <c r="Z745" s="921">
        <v>580854.62399999995</v>
      </c>
      <c r="AA745" s="925">
        <v>0</v>
      </c>
    </row>
    <row r="746" spans="1:27" s="867" customFormat="1" ht="95.25" customHeight="1">
      <c r="A746" s="927">
        <v>243</v>
      </c>
      <c r="B746" s="863" t="s">
        <v>1855</v>
      </c>
      <c r="C746" s="925">
        <f>D746+N746+P746+R746+T746+X746+Z746+L746</f>
        <v>4883214.8900000006</v>
      </c>
      <c r="D746" s="925">
        <f>SUM(E746:J746)</f>
        <v>4199741.8600000003</v>
      </c>
      <c r="E746" s="925">
        <v>0</v>
      </c>
      <c r="F746" s="925">
        <v>4199741.8600000003</v>
      </c>
      <c r="G746" s="925">
        <v>0</v>
      </c>
      <c r="H746" s="925">
        <v>0</v>
      </c>
      <c r="I746" s="925">
        <v>0</v>
      </c>
      <c r="J746" s="925">
        <v>0</v>
      </c>
      <c r="K746" s="861">
        <v>1</v>
      </c>
      <c r="L746" s="925">
        <v>328782</v>
      </c>
      <c r="M746" s="925">
        <v>0</v>
      </c>
      <c r="N746" s="925">
        <v>0</v>
      </c>
      <c r="O746" s="925">
        <v>0</v>
      </c>
      <c r="P746" s="925">
        <v>0</v>
      </c>
      <c r="Q746" s="925">
        <v>0</v>
      </c>
      <c r="R746" s="925">
        <v>0</v>
      </c>
      <c r="S746" s="925">
        <v>0</v>
      </c>
      <c r="T746" s="925">
        <v>0</v>
      </c>
      <c r="U746" s="925">
        <v>0</v>
      </c>
      <c r="V746" s="925">
        <v>0</v>
      </c>
      <c r="W746" s="925">
        <v>0</v>
      </c>
      <c r="X746" s="925">
        <v>0</v>
      </c>
      <c r="Y746" s="925">
        <v>0</v>
      </c>
      <c r="Z746" s="921">
        <v>354691.03</v>
      </c>
      <c r="AA746" s="925">
        <v>0</v>
      </c>
    </row>
    <row r="747" spans="1:27" s="867" customFormat="1" ht="94.9" customHeight="1">
      <c r="A747" s="1198" t="s">
        <v>2055</v>
      </c>
      <c r="B747" s="1199"/>
      <c r="C747" s="925">
        <f>C748</f>
        <v>11459859.27</v>
      </c>
      <c r="D747" s="925">
        <f t="shared" ref="D747:AA747" si="158">D748</f>
        <v>0</v>
      </c>
      <c r="E747" s="925">
        <f t="shared" si="158"/>
        <v>0</v>
      </c>
      <c r="F747" s="925">
        <f t="shared" si="158"/>
        <v>0</v>
      </c>
      <c r="G747" s="925">
        <f t="shared" si="158"/>
        <v>0</v>
      </c>
      <c r="H747" s="925">
        <f t="shared" si="158"/>
        <v>0</v>
      </c>
      <c r="I747" s="925">
        <f t="shared" si="158"/>
        <v>0</v>
      </c>
      <c r="J747" s="925">
        <f t="shared" si="158"/>
        <v>0</v>
      </c>
      <c r="K747" s="861">
        <f t="shared" si="158"/>
        <v>0</v>
      </c>
      <c r="L747" s="925">
        <f t="shared" si="158"/>
        <v>0</v>
      </c>
      <c r="M747" s="925">
        <f t="shared" si="158"/>
        <v>0</v>
      </c>
      <c r="N747" s="925">
        <f t="shared" si="158"/>
        <v>0</v>
      </c>
      <c r="O747" s="925">
        <f t="shared" si="158"/>
        <v>0</v>
      </c>
      <c r="P747" s="925">
        <f t="shared" si="158"/>
        <v>0</v>
      </c>
      <c r="Q747" s="925">
        <f t="shared" si="158"/>
        <v>0</v>
      </c>
      <c r="R747" s="925">
        <f t="shared" si="158"/>
        <v>0</v>
      </c>
      <c r="S747" s="925">
        <f t="shared" si="158"/>
        <v>1829.9</v>
      </c>
      <c r="T747" s="925">
        <f t="shared" si="158"/>
        <v>10627474.359999999</v>
      </c>
      <c r="U747" s="925">
        <f t="shared" si="158"/>
        <v>0</v>
      </c>
      <c r="V747" s="925">
        <f t="shared" si="158"/>
        <v>0</v>
      </c>
      <c r="W747" s="925">
        <f t="shared" si="158"/>
        <v>0</v>
      </c>
      <c r="X747" s="925">
        <f t="shared" si="158"/>
        <v>0</v>
      </c>
      <c r="Y747" s="925">
        <f t="shared" si="158"/>
        <v>0</v>
      </c>
      <c r="Z747" s="921">
        <f t="shared" si="158"/>
        <v>832384.91</v>
      </c>
      <c r="AA747" s="925">
        <f t="shared" si="158"/>
        <v>0</v>
      </c>
    </row>
    <row r="748" spans="1:27" s="867" customFormat="1" ht="97.5" customHeight="1">
      <c r="A748" s="927">
        <v>244</v>
      </c>
      <c r="B748" s="863" t="s">
        <v>1380</v>
      </c>
      <c r="C748" s="925">
        <f>D748+N748+P748+R748+T748+X748+Z748</f>
        <v>11459859.27</v>
      </c>
      <c r="D748" s="925">
        <f>SUM(E748:J748)</f>
        <v>0</v>
      </c>
      <c r="E748" s="925">
        <v>0</v>
      </c>
      <c r="F748" s="925">
        <v>0</v>
      </c>
      <c r="G748" s="925">
        <v>0</v>
      </c>
      <c r="H748" s="925">
        <v>0</v>
      </c>
      <c r="I748" s="925">
        <v>0</v>
      </c>
      <c r="J748" s="925">
        <v>0</v>
      </c>
      <c r="K748" s="861">
        <v>0</v>
      </c>
      <c r="L748" s="925">
        <v>0</v>
      </c>
      <c r="M748" s="925">
        <v>0</v>
      </c>
      <c r="N748" s="925">
        <v>0</v>
      </c>
      <c r="O748" s="925">
        <v>0</v>
      </c>
      <c r="P748" s="925">
        <v>0</v>
      </c>
      <c r="Q748" s="925">
        <v>0</v>
      </c>
      <c r="R748" s="925">
        <v>0</v>
      </c>
      <c r="S748" s="925">
        <v>1829.9</v>
      </c>
      <c r="T748" s="925">
        <v>10627474.359999999</v>
      </c>
      <c r="U748" s="925">
        <v>0</v>
      </c>
      <c r="V748" s="925">
        <v>0</v>
      </c>
      <c r="W748" s="925">
        <v>0</v>
      </c>
      <c r="X748" s="925">
        <v>0</v>
      </c>
      <c r="Y748" s="925">
        <v>0</v>
      </c>
      <c r="Z748" s="921">
        <v>832384.91</v>
      </c>
      <c r="AA748" s="925">
        <v>0</v>
      </c>
    </row>
    <row r="749" spans="1:27" s="867" customFormat="1" ht="109.15" customHeight="1">
      <c r="A749" s="1198" t="s">
        <v>1053</v>
      </c>
      <c r="B749" s="1199"/>
      <c r="C749" s="925">
        <f>SUM(C750:C757)</f>
        <v>18914802.670000002</v>
      </c>
      <c r="D749" s="925">
        <f t="shared" ref="D749:T749" si="159">SUM(D750:D757)</f>
        <v>0</v>
      </c>
      <c r="E749" s="925">
        <f t="shared" si="159"/>
        <v>0</v>
      </c>
      <c r="F749" s="925">
        <f t="shared" si="159"/>
        <v>0</v>
      </c>
      <c r="G749" s="925">
        <f t="shared" si="159"/>
        <v>0</v>
      </c>
      <c r="H749" s="925">
        <f t="shared" si="159"/>
        <v>0</v>
      </c>
      <c r="I749" s="925">
        <f t="shared" si="159"/>
        <v>0</v>
      </c>
      <c r="J749" s="925">
        <f t="shared" si="159"/>
        <v>0</v>
      </c>
      <c r="K749" s="861">
        <f t="shared" si="159"/>
        <v>0</v>
      </c>
      <c r="L749" s="925">
        <f t="shared" si="159"/>
        <v>0</v>
      </c>
      <c r="M749" s="925">
        <f t="shared" si="159"/>
        <v>0</v>
      </c>
      <c r="N749" s="925">
        <f t="shared" si="159"/>
        <v>0</v>
      </c>
      <c r="O749" s="925">
        <f t="shared" si="159"/>
        <v>3641</v>
      </c>
      <c r="P749" s="925">
        <f t="shared" si="159"/>
        <v>16850392.75</v>
      </c>
      <c r="Q749" s="925">
        <f t="shared" si="159"/>
        <v>0</v>
      </c>
      <c r="R749" s="925">
        <f t="shared" si="159"/>
        <v>0</v>
      </c>
      <c r="S749" s="925">
        <f t="shared" si="159"/>
        <v>412</v>
      </c>
      <c r="T749" s="925">
        <f t="shared" si="159"/>
        <v>898244</v>
      </c>
      <c r="U749" s="925">
        <v>0</v>
      </c>
      <c r="V749" s="925">
        <v>0</v>
      </c>
      <c r="W749" s="925">
        <f>SUM(W750:W757)</f>
        <v>0</v>
      </c>
      <c r="X749" s="925">
        <f>SUM(X750:X757)</f>
        <v>0</v>
      </c>
      <c r="Y749" s="925">
        <v>0</v>
      </c>
      <c r="Z749" s="921">
        <f>SUM(Z750:Z757)</f>
        <v>1166165.92</v>
      </c>
      <c r="AA749" s="925">
        <f>SUM(AA750:AA757)</f>
        <v>0</v>
      </c>
    </row>
    <row r="750" spans="1:27" s="867" customFormat="1" ht="109.15" customHeight="1">
      <c r="A750" s="927">
        <v>245</v>
      </c>
      <c r="B750" s="863" t="s">
        <v>1110</v>
      </c>
      <c r="C750" s="925">
        <f>D750+N750+P750+R750+T750+X750+Z750</f>
        <v>1473794.61</v>
      </c>
      <c r="D750" s="925">
        <f>SUM(E750:J750)</f>
        <v>0</v>
      </c>
      <c r="E750" s="925">
        <v>0</v>
      </c>
      <c r="F750" s="925">
        <v>0</v>
      </c>
      <c r="G750" s="925">
        <v>0</v>
      </c>
      <c r="H750" s="925">
        <v>0</v>
      </c>
      <c r="I750" s="925">
        <v>0</v>
      </c>
      <c r="J750" s="925">
        <v>0</v>
      </c>
      <c r="K750" s="861">
        <v>0</v>
      </c>
      <c r="L750" s="925">
        <v>0</v>
      </c>
      <c r="M750" s="925">
        <v>0</v>
      </c>
      <c r="N750" s="925">
        <v>0</v>
      </c>
      <c r="O750" s="925">
        <v>400</v>
      </c>
      <c r="P750" s="925">
        <v>1383843.79</v>
      </c>
      <c r="Q750" s="925">
        <v>0</v>
      </c>
      <c r="R750" s="925">
        <v>0</v>
      </c>
      <c r="S750" s="925">
        <v>0</v>
      </c>
      <c r="T750" s="925">
        <v>0</v>
      </c>
      <c r="U750" s="925">
        <v>0</v>
      </c>
      <c r="V750" s="925">
        <v>0</v>
      </c>
      <c r="W750" s="925">
        <v>0</v>
      </c>
      <c r="X750" s="925">
        <v>0</v>
      </c>
      <c r="Y750" s="925">
        <v>0</v>
      </c>
      <c r="Z750" s="921">
        <v>89950.82</v>
      </c>
      <c r="AA750" s="925">
        <v>0</v>
      </c>
    </row>
    <row r="751" spans="1:27" s="867" customFormat="1" ht="111.6" customHeight="1">
      <c r="A751" s="927">
        <v>246</v>
      </c>
      <c r="B751" s="863" t="s">
        <v>1205</v>
      </c>
      <c r="C751" s="925">
        <f t="shared" ref="C751:C757" si="160">D751+N751+P751+R751+T751+X751+Z751</f>
        <v>2121307.2200000002</v>
      </c>
      <c r="D751" s="925">
        <f t="shared" ref="D751:D757" si="161">SUM(E751:J751)</f>
        <v>0</v>
      </c>
      <c r="E751" s="925">
        <v>0</v>
      </c>
      <c r="F751" s="925">
        <v>0</v>
      </c>
      <c r="G751" s="925">
        <v>0</v>
      </c>
      <c r="H751" s="925">
        <v>0</v>
      </c>
      <c r="I751" s="925">
        <v>0</v>
      </c>
      <c r="J751" s="925">
        <v>0</v>
      </c>
      <c r="K751" s="861">
        <v>0</v>
      </c>
      <c r="L751" s="925">
        <v>0</v>
      </c>
      <c r="M751" s="925">
        <v>0</v>
      </c>
      <c r="N751" s="925">
        <v>0</v>
      </c>
      <c r="O751" s="925">
        <v>507</v>
      </c>
      <c r="P751" s="925">
        <v>2004596.58</v>
      </c>
      <c r="Q751" s="925">
        <v>0</v>
      </c>
      <c r="R751" s="925">
        <v>0</v>
      </c>
      <c r="S751" s="925">
        <v>0</v>
      </c>
      <c r="T751" s="925">
        <v>0</v>
      </c>
      <c r="U751" s="925">
        <v>0</v>
      </c>
      <c r="V751" s="925">
        <v>0</v>
      </c>
      <c r="W751" s="925">
        <v>0</v>
      </c>
      <c r="X751" s="925">
        <v>0</v>
      </c>
      <c r="Y751" s="925">
        <v>0</v>
      </c>
      <c r="Z751" s="921">
        <v>116710.64</v>
      </c>
      <c r="AA751" s="925">
        <v>0</v>
      </c>
    </row>
    <row r="752" spans="1:27" s="867" customFormat="1" ht="87.6" customHeight="1">
      <c r="A752" s="927">
        <v>247</v>
      </c>
      <c r="B752" s="863" t="s">
        <v>1110</v>
      </c>
      <c r="C752" s="925">
        <f t="shared" si="160"/>
        <v>943734.47</v>
      </c>
      <c r="D752" s="925">
        <f t="shared" si="161"/>
        <v>0</v>
      </c>
      <c r="E752" s="925">
        <v>0</v>
      </c>
      <c r="F752" s="925">
        <v>0</v>
      </c>
      <c r="G752" s="925">
        <v>0</v>
      </c>
      <c r="H752" s="925">
        <v>0</v>
      </c>
      <c r="I752" s="925">
        <v>0</v>
      </c>
      <c r="J752" s="925">
        <v>0</v>
      </c>
      <c r="K752" s="861">
        <v>0</v>
      </c>
      <c r="L752" s="925">
        <v>0</v>
      </c>
      <c r="M752" s="925">
        <v>0</v>
      </c>
      <c r="N752" s="925">
        <v>0</v>
      </c>
      <c r="O752" s="925">
        <v>0</v>
      </c>
      <c r="P752" s="925">
        <v>0</v>
      </c>
      <c r="Q752" s="925">
        <v>0</v>
      </c>
      <c r="R752" s="925">
        <v>0</v>
      </c>
      <c r="S752" s="925">
        <v>412</v>
      </c>
      <c r="T752" s="925">
        <v>898244</v>
      </c>
      <c r="U752" s="925">
        <v>0</v>
      </c>
      <c r="V752" s="925">
        <v>0</v>
      </c>
      <c r="W752" s="925">
        <v>0</v>
      </c>
      <c r="X752" s="925">
        <v>0</v>
      </c>
      <c r="Y752" s="925">
        <v>0</v>
      </c>
      <c r="Z752" s="921">
        <v>45490.47</v>
      </c>
      <c r="AA752" s="925">
        <v>0</v>
      </c>
    </row>
    <row r="753" spans="1:27" s="867" customFormat="1" ht="87.6" customHeight="1">
      <c r="A753" s="927">
        <v>248</v>
      </c>
      <c r="B753" s="863" t="s">
        <v>2246</v>
      </c>
      <c r="C753" s="925">
        <f t="shared" si="160"/>
        <v>1679437.55</v>
      </c>
      <c r="D753" s="925">
        <f t="shared" si="161"/>
        <v>0</v>
      </c>
      <c r="E753" s="925">
        <v>0</v>
      </c>
      <c r="F753" s="925">
        <v>0</v>
      </c>
      <c r="G753" s="925">
        <v>0</v>
      </c>
      <c r="H753" s="925">
        <v>0</v>
      </c>
      <c r="I753" s="925">
        <v>0</v>
      </c>
      <c r="J753" s="925">
        <v>0</v>
      </c>
      <c r="K753" s="861">
        <v>0</v>
      </c>
      <c r="L753" s="925">
        <v>0</v>
      </c>
      <c r="M753" s="925">
        <v>0</v>
      </c>
      <c r="N753" s="925">
        <v>0</v>
      </c>
      <c r="O753" s="925">
        <v>400</v>
      </c>
      <c r="P753" s="925">
        <v>1581535.76</v>
      </c>
      <c r="Q753" s="925">
        <v>0</v>
      </c>
      <c r="R753" s="925">
        <v>0</v>
      </c>
      <c r="S753" s="925">
        <v>0</v>
      </c>
      <c r="T753" s="925">
        <v>0</v>
      </c>
      <c r="U753" s="925">
        <v>0</v>
      </c>
      <c r="V753" s="925">
        <v>0</v>
      </c>
      <c r="W753" s="925">
        <v>0</v>
      </c>
      <c r="X753" s="925">
        <v>0</v>
      </c>
      <c r="Y753" s="925">
        <v>0</v>
      </c>
      <c r="Z753" s="921">
        <v>97901.79</v>
      </c>
      <c r="AA753" s="925">
        <v>0</v>
      </c>
    </row>
    <row r="754" spans="1:27" s="867" customFormat="1" ht="87.6" customHeight="1">
      <c r="A754" s="927">
        <v>249</v>
      </c>
      <c r="B754" s="863" t="s">
        <v>1082</v>
      </c>
      <c r="C754" s="925">
        <f t="shared" si="160"/>
        <v>3195065</v>
      </c>
      <c r="D754" s="925">
        <f t="shared" si="161"/>
        <v>0</v>
      </c>
      <c r="E754" s="925">
        <v>0</v>
      </c>
      <c r="F754" s="925">
        <v>0</v>
      </c>
      <c r="G754" s="925">
        <v>0</v>
      </c>
      <c r="H754" s="925">
        <v>0</v>
      </c>
      <c r="I754" s="925">
        <v>0</v>
      </c>
      <c r="J754" s="925">
        <v>0</v>
      </c>
      <c r="K754" s="861">
        <v>0</v>
      </c>
      <c r="L754" s="925">
        <v>0</v>
      </c>
      <c r="M754" s="925">
        <v>0</v>
      </c>
      <c r="N754" s="925">
        <v>0</v>
      </c>
      <c r="O754" s="925">
        <v>944</v>
      </c>
      <c r="P754" s="925">
        <v>2962992</v>
      </c>
      <c r="Q754" s="925">
        <v>0</v>
      </c>
      <c r="R754" s="925">
        <v>0</v>
      </c>
      <c r="S754" s="925">
        <v>0</v>
      </c>
      <c r="T754" s="925">
        <v>0</v>
      </c>
      <c r="U754" s="925">
        <v>0</v>
      </c>
      <c r="V754" s="925">
        <v>0</v>
      </c>
      <c r="W754" s="925">
        <v>0</v>
      </c>
      <c r="X754" s="925">
        <v>0</v>
      </c>
      <c r="Y754" s="925">
        <v>0</v>
      </c>
      <c r="Z754" s="921">
        <v>232073</v>
      </c>
      <c r="AA754" s="925">
        <v>0</v>
      </c>
    </row>
    <row r="755" spans="1:27" s="867" customFormat="1" ht="94.9" customHeight="1">
      <c r="A755" s="927">
        <v>250</v>
      </c>
      <c r="B755" s="863" t="s">
        <v>2247</v>
      </c>
      <c r="C755" s="925">
        <f t="shared" si="160"/>
        <v>2306854.69</v>
      </c>
      <c r="D755" s="925">
        <f t="shared" si="161"/>
        <v>0</v>
      </c>
      <c r="E755" s="925">
        <v>0</v>
      </c>
      <c r="F755" s="925">
        <v>0</v>
      </c>
      <c r="G755" s="925">
        <v>0</v>
      </c>
      <c r="H755" s="925">
        <v>0</v>
      </c>
      <c r="I755" s="925">
        <v>0</v>
      </c>
      <c r="J755" s="925">
        <v>0</v>
      </c>
      <c r="K755" s="861">
        <v>0</v>
      </c>
      <c r="L755" s="925">
        <v>0</v>
      </c>
      <c r="M755" s="925">
        <v>0</v>
      </c>
      <c r="N755" s="925">
        <v>0</v>
      </c>
      <c r="O755" s="925">
        <v>350</v>
      </c>
      <c r="P755" s="925">
        <v>2245394.69</v>
      </c>
      <c r="Q755" s="925">
        <v>0</v>
      </c>
      <c r="R755" s="925">
        <v>0</v>
      </c>
      <c r="S755" s="925">
        <v>0</v>
      </c>
      <c r="T755" s="925">
        <v>0</v>
      </c>
      <c r="U755" s="925">
        <v>0</v>
      </c>
      <c r="V755" s="925">
        <v>0</v>
      </c>
      <c r="W755" s="925">
        <v>0</v>
      </c>
      <c r="X755" s="925">
        <v>0</v>
      </c>
      <c r="Y755" s="925">
        <v>0</v>
      </c>
      <c r="Z755" s="921">
        <v>61460</v>
      </c>
      <c r="AA755" s="925">
        <v>0</v>
      </c>
    </row>
    <row r="756" spans="1:27" s="867" customFormat="1" ht="109.15" customHeight="1">
      <c r="A756" s="927">
        <v>251</v>
      </c>
      <c r="B756" s="863" t="s">
        <v>2248</v>
      </c>
      <c r="C756" s="925">
        <f t="shared" si="160"/>
        <v>3182230.96</v>
      </c>
      <c r="D756" s="925">
        <f t="shared" si="161"/>
        <v>0</v>
      </c>
      <c r="E756" s="925">
        <v>0</v>
      </c>
      <c r="F756" s="925">
        <v>0</v>
      </c>
      <c r="G756" s="925">
        <v>0</v>
      </c>
      <c r="H756" s="925">
        <v>0</v>
      </c>
      <c r="I756" s="925">
        <v>0</v>
      </c>
      <c r="J756" s="925">
        <v>0</v>
      </c>
      <c r="K756" s="861">
        <v>0</v>
      </c>
      <c r="L756" s="925">
        <v>0</v>
      </c>
      <c r="M756" s="925">
        <v>0</v>
      </c>
      <c r="N756" s="925">
        <v>0</v>
      </c>
      <c r="O756" s="925">
        <v>460</v>
      </c>
      <c r="P756" s="925">
        <v>2951090.16</v>
      </c>
      <c r="Q756" s="925">
        <v>0</v>
      </c>
      <c r="R756" s="925">
        <v>0</v>
      </c>
      <c r="S756" s="925">
        <v>0</v>
      </c>
      <c r="T756" s="925">
        <v>0</v>
      </c>
      <c r="U756" s="925">
        <v>0</v>
      </c>
      <c r="V756" s="925">
        <v>0</v>
      </c>
      <c r="W756" s="925">
        <v>0</v>
      </c>
      <c r="X756" s="925">
        <v>0</v>
      </c>
      <c r="Y756" s="925">
        <v>0</v>
      </c>
      <c r="Z756" s="921">
        <v>231140.8</v>
      </c>
      <c r="AA756" s="925">
        <v>0</v>
      </c>
    </row>
    <row r="757" spans="1:27" s="867" customFormat="1" ht="84.75" customHeight="1">
      <c r="A757" s="927">
        <v>252</v>
      </c>
      <c r="B757" s="863" t="s">
        <v>1100</v>
      </c>
      <c r="C757" s="925">
        <f t="shared" si="160"/>
        <v>4012378.17</v>
      </c>
      <c r="D757" s="925">
        <f t="shared" si="161"/>
        <v>0</v>
      </c>
      <c r="E757" s="925">
        <v>0</v>
      </c>
      <c r="F757" s="925">
        <v>0</v>
      </c>
      <c r="G757" s="925">
        <v>0</v>
      </c>
      <c r="H757" s="925">
        <v>0</v>
      </c>
      <c r="I757" s="925">
        <v>0</v>
      </c>
      <c r="J757" s="925">
        <v>0</v>
      </c>
      <c r="K757" s="861">
        <v>0</v>
      </c>
      <c r="L757" s="925">
        <v>0</v>
      </c>
      <c r="M757" s="925">
        <v>0</v>
      </c>
      <c r="N757" s="925">
        <v>0</v>
      </c>
      <c r="O757" s="925">
        <v>580</v>
      </c>
      <c r="P757" s="925">
        <v>3720939.77</v>
      </c>
      <c r="Q757" s="925">
        <v>0</v>
      </c>
      <c r="R757" s="925">
        <v>0</v>
      </c>
      <c r="S757" s="925">
        <v>0</v>
      </c>
      <c r="T757" s="925">
        <v>0</v>
      </c>
      <c r="U757" s="925">
        <v>0</v>
      </c>
      <c r="V757" s="925">
        <v>0</v>
      </c>
      <c r="W757" s="925">
        <v>0</v>
      </c>
      <c r="X757" s="925">
        <v>0</v>
      </c>
      <c r="Y757" s="925">
        <v>0</v>
      </c>
      <c r="Z757" s="921">
        <v>291438.40000000002</v>
      </c>
      <c r="AA757" s="925">
        <v>0</v>
      </c>
    </row>
    <row r="758" spans="1:27" s="867" customFormat="1" ht="96" customHeight="1">
      <c r="A758" s="1198" t="s">
        <v>1973</v>
      </c>
      <c r="B758" s="1199"/>
      <c r="C758" s="925">
        <f>SUM(C759:C769)</f>
        <v>39849754.019999996</v>
      </c>
      <c r="D758" s="925">
        <f t="shared" ref="D758:Z758" si="162">SUM(D759:D769)</f>
        <v>5332601.07</v>
      </c>
      <c r="E758" s="925">
        <f t="shared" si="162"/>
        <v>1422503.78</v>
      </c>
      <c r="F758" s="925">
        <f t="shared" si="162"/>
        <v>2737748.4699999997</v>
      </c>
      <c r="G758" s="925">
        <f t="shared" si="162"/>
        <v>0</v>
      </c>
      <c r="H758" s="925">
        <f t="shared" si="162"/>
        <v>0</v>
      </c>
      <c r="I758" s="925">
        <f t="shared" si="162"/>
        <v>0</v>
      </c>
      <c r="J758" s="925">
        <f t="shared" si="162"/>
        <v>1172348.8199999998</v>
      </c>
      <c r="K758" s="861">
        <f t="shared" si="162"/>
        <v>0</v>
      </c>
      <c r="L758" s="925">
        <f t="shared" si="162"/>
        <v>0</v>
      </c>
      <c r="M758" s="925">
        <f t="shared" si="162"/>
        <v>0</v>
      </c>
      <c r="N758" s="925">
        <f t="shared" si="162"/>
        <v>0</v>
      </c>
      <c r="O758" s="925">
        <f t="shared" si="162"/>
        <v>4969.9900000000007</v>
      </c>
      <c r="P758" s="925">
        <f t="shared" si="162"/>
        <v>32044580.759999998</v>
      </c>
      <c r="Q758" s="925">
        <f t="shared" si="162"/>
        <v>0</v>
      </c>
      <c r="R758" s="925">
        <f t="shared" si="162"/>
        <v>0</v>
      </c>
      <c r="S758" s="925">
        <f t="shared" si="162"/>
        <v>0</v>
      </c>
      <c r="T758" s="925">
        <f t="shared" si="162"/>
        <v>0</v>
      </c>
      <c r="U758" s="925">
        <f t="shared" si="162"/>
        <v>0</v>
      </c>
      <c r="V758" s="925">
        <f t="shared" si="162"/>
        <v>0</v>
      </c>
      <c r="W758" s="925">
        <f t="shared" si="162"/>
        <v>0</v>
      </c>
      <c r="X758" s="925">
        <f t="shared" si="162"/>
        <v>0</v>
      </c>
      <c r="Y758" s="925">
        <f t="shared" si="162"/>
        <v>0</v>
      </c>
      <c r="Z758" s="921">
        <f t="shared" si="162"/>
        <v>2472572.1900000004</v>
      </c>
      <c r="AA758" s="925">
        <f>AA759+AA760+AA761+AA762+AA763+AA764+AA765+AA766+AA767+AA768+AA769</f>
        <v>0</v>
      </c>
    </row>
    <row r="759" spans="1:27" s="867" customFormat="1" ht="97.15" customHeight="1">
      <c r="A759" s="927">
        <v>253</v>
      </c>
      <c r="B759" s="868" t="s">
        <v>827</v>
      </c>
      <c r="C759" s="925">
        <f>D759+N759+P759+R759+T759+X759+Z759</f>
        <v>873523.9</v>
      </c>
      <c r="D759" s="925">
        <f>SUM(E759:J759)</f>
        <v>834483.8</v>
      </c>
      <c r="E759" s="925">
        <v>834483.8</v>
      </c>
      <c r="F759" s="925">
        <v>0</v>
      </c>
      <c r="G759" s="925">
        <v>0</v>
      </c>
      <c r="H759" s="925">
        <v>0</v>
      </c>
      <c r="I759" s="925">
        <v>0</v>
      </c>
      <c r="J759" s="925">
        <v>0</v>
      </c>
      <c r="K759" s="861">
        <v>0</v>
      </c>
      <c r="L759" s="925">
        <v>0</v>
      </c>
      <c r="M759" s="925">
        <v>0</v>
      </c>
      <c r="N759" s="925">
        <v>0</v>
      </c>
      <c r="O759" s="925">
        <v>0</v>
      </c>
      <c r="P759" s="925">
        <v>0</v>
      </c>
      <c r="Q759" s="925">
        <v>0</v>
      </c>
      <c r="R759" s="925">
        <v>0</v>
      </c>
      <c r="S759" s="925">
        <v>0</v>
      </c>
      <c r="T759" s="925">
        <v>0</v>
      </c>
      <c r="U759" s="925">
        <v>0</v>
      </c>
      <c r="V759" s="925">
        <v>0</v>
      </c>
      <c r="W759" s="925">
        <v>0</v>
      </c>
      <c r="X759" s="925">
        <v>0</v>
      </c>
      <c r="Y759" s="925">
        <v>0</v>
      </c>
      <c r="Z759" s="921">
        <v>39040.1</v>
      </c>
      <c r="AA759" s="925">
        <v>0</v>
      </c>
    </row>
    <row r="760" spans="1:27" s="867" customFormat="1" ht="99" customHeight="1">
      <c r="A760" s="927">
        <v>254</v>
      </c>
      <c r="B760" s="868" t="s">
        <v>828</v>
      </c>
      <c r="C760" s="925">
        <f>D760+N760+P760+R760+T760+X760+Z760</f>
        <v>1451416.99</v>
      </c>
      <c r="D760" s="925">
        <f>SUM(E760:J760)</f>
        <v>1347384.47</v>
      </c>
      <c r="E760" s="925">
        <v>0</v>
      </c>
      <c r="F760" s="925">
        <v>891407</v>
      </c>
      <c r="G760" s="925">
        <v>0</v>
      </c>
      <c r="H760" s="925">
        <v>0</v>
      </c>
      <c r="I760" s="925">
        <v>0</v>
      </c>
      <c r="J760" s="925">
        <v>455977.47</v>
      </c>
      <c r="K760" s="861">
        <v>0</v>
      </c>
      <c r="L760" s="925">
        <v>0</v>
      </c>
      <c r="M760" s="925">
        <v>0</v>
      </c>
      <c r="N760" s="925">
        <v>0</v>
      </c>
      <c r="O760" s="925">
        <v>0</v>
      </c>
      <c r="P760" s="925">
        <v>0</v>
      </c>
      <c r="Q760" s="925">
        <v>0</v>
      </c>
      <c r="R760" s="925">
        <v>0</v>
      </c>
      <c r="S760" s="925">
        <v>0</v>
      </c>
      <c r="T760" s="925">
        <v>0</v>
      </c>
      <c r="U760" s="925">
        <v>0</v>
      </c>
      <c r="V760" s="925">
        <v>0</v>
      </c>
      <c r="W760" s="925">
        <v>0</v>
      </c>
      <c r="X760" s="925">
        <v>0</v>
      </c>
      <c r="Y760" s="925">
        <v>0</v>
      </c>
      <c r="Z760" s="921">
        <v>104032.52</v>
      </c>
      <c r="AA760" s="925">
        <v>0</v>
      </c>
    </row>
    <row r="761" spans="1:27" s="867" customFormat="1" ht="78.599999999999994" customHeight="1">
      <c r="A761" s="927">
        <v>255</v>
      </c>
      <c r="B761" s="868" t="s">
        <v>1353</v>
      </c>
      <c r="C761" s="925">
        <f>D761+N761+P761+R761+T761+X761+Z761</f>
        <v>2715253.21</v>
      </c>
      <c r="D761" s="925">
        <f>SUM(E761:J761)</f>
        <v>2562712.8199999998</v>
      </c>
      <c r="E761" s="925">
        <v>0</v>
      </c>
      <c r="F761" s="925">
        <v>1846341.47</v>
      </c>
      <c r="G761" s="925">
        <v>0</v>
      </c>
      <c r="H761" s="925">
        <v>0</v>
      </c>
      <c r="I761" s="925">
        <v>0</v>
      </c>
      <c r="J761" s="925">
        <v>716371.35</v>
      </c>
      <c r="K761" s="861">
        <v>0</v>
      </c>
      <c r="L761" s="925">
        <v>0</v>
      </c>
      <c r="M761" s="925">
        <v>0</v>
      </c>
      <c r="N761" s="925">
        <v>0</v>
      </c>
      <c r="O761" s="925">
        <v>0</v>
      </c>
      <c r="P761" s="925">
        <v>0</v>
      </c>
      <c r="Q761" s="925">
        <v>0</v>
      </c>
      <c r="R761" s="925">
        <v>0</v>
      </c>
      <c r="S761" s="925">
        <v>0</v>
      </c>
      <c r="T761" s="925">
        <v>0</v>
      </c>
      <c r="U761" s="925">
        <v>0</v>
      </c>
      <c r="V761" s="925">
        <v>0</v>
      </c>
      <c r="W761" s="925">
        <v>0</v>
      </c>
      <c r="X761" s="925">
        <v>0</v>
      </c>
      <c r="Y761" s="925">
        <v>0</v>
      </c>
      <c r="Z761" s="921">
        <v>152540.39000000001</v>
      </c>
      <c r="AA761" s="925">
        <v>0</v>
      </c>
    </row>
    <row r="762" spans="1:27" s="867" customFormat="1" ht="96" customHeight="1">
      <c r="A762" s="927">
        <v>256</v>
      </c>
      <c r="B762" s="868" t="s">
        <v>1354</v>
      </c>
      <c r="C762" s="925">
        <f>D762+N762+P762+R762+T762+X762+Z762</f>
        <v>634075.98</v>
      </c>
      <c r="D762" s="925">
        <f>SUM(E762:J762)</f>
        <v>588019.98</v>
      </c>
      <c r="E762" s="925">
        <v>588019.98</v>
      </c>
      <c r="F762" s="925">
        <v>0</v>
      </c>
      <c r="G762" s="925">
        <v>0</v>
      </c>
      <c r="H762" s="925">
        <v>0</v>
      </c>
      <c r="I762" s="925">
        <v>0</v>
      </c>
      <c r="J762" s="925">
        <v>0</v>
      </c>
      <c r="K762" s="861">
        <v>0</v>
      </c>
      <c r="L762" s="925">
        <v>0</v>
      </c>
      <c r="M762" s="925">
        <v>0</v>
      </c>
      <c r="N762" s="925">
        <v>0</v>
      </c>
      <c r="O762" s="925">
        <v>0</v>
      </c>
      <c r="P762" s="925">
        <v>0</v>
      </c>
      <c r="Q762" s="925">
        <v>0</v>
      </c>
      <c r="R762" s="925">
        <v>0</v>
      </c>
      <c r="S762" s="925">
        <v>0</v>
      </c>
      <c r="T762" s="925">
        <v>0</v>
      </c>
      <c r="U762" s="925">
        <v>0</v>
      </c>
      <c r="V762" s="925">
        <v>0</v>
      </c>
      <c r="W762" s="925">
        <v>0</v>
      </c>
      <c r="X762" s="925">
        <v>0</v>
      </c>
      <c r="Y762" s="925">
        <v>0</v>
      </c>
      <c r="Z762" s="921">
        <v>46056</v>
      </c>
      <c r="AA762" s="925">
        <v>0</v>
      </c>
    </row>
    <row r="763" spans="1:27" s="867" customFormat="1" ht="101.25" customHeight="1">
      <c r="A763" s="927">
        <v>257</v>
      </c>
      <c r="B763" s="868" t="s">
        <v>1863</v>
      </c>
      <c r="C763" s="925">
        <f t="shared" ref="C763:C768" si="163">D763+N763+P763+R763+T763+X763+Z763</f>
        <v>6749007.4000000004</v>
      </c>
      <c r="D763" s="925">
        <f t="shared" ref="D763:D768" si="164">SUM(E763:J763)</f>
        <v>0</v>
      </c>
      <c r="E763" s="925">
        <v>0</v>
      </c>
      <c r="F763" s="925">
        <v>0</v>
      </c>
      <c r="G763" s="925">
        <v>0</v>
      </c>
      <c r="H763" s="925">
        <v>0</v>
      </c>
      <c r="I763" s="925">
        <v>0</v>
      </c>
      <c r="J763" s="925">
        <v>0</v>
      </c>
      <c r="K763" s="861">
        <v>0</v>
      </c>
      <c r="L763" s="925">
        <v>0</v>
      </c>
      <c r="M763" s="925">
        <v>0</v>
      </c>
      <c r="N763" s="925">
        <v>0</v>
      </c>
      <c r="O763" s="925">
        <v>877.89</v>
      </c>
      <c r="P763" s="925">
        <v>6494630.4000000004</v>
      </c>
      <c r="Q763" s="925">
        <v>0</v>
      </c>
      <c r="R763" s="925">
        <v>0</v>
      </c>
      <c r="S763" s="925">
        <v>0</v>
      </c>
      <c r="T763" s="925">
        <v>0</v>
      </c>
      <c r="U763" s="925">
        <v>0</v>
      </c>
      <c r="V763" s="925">
        <v>0</v>
      </c>
      <c r="W763" s="925">
        <v>0</v>
      </c>
      <c r="X763" s="925">
        <v>0</v>
      </c>
      <c r="Y763" s="925">
        <v>0</v>
      </c>
      <c r="Z763" s="921">
        <v>254377</v>
      </c>
      <c r="AA763" s="925">
        <v>0</v>
      </c>
    </row>
    <row r="764" spans="1:27" s="867" customFormat="1" ht="93" customHeight="1">
      <c r="A764" s="927">
        <v>258</v>
      </c>
      <c r="B764" s="868" t="s">
        <v>2249</v>
      </c>
      <c r="C764" s="925">
        <f t="shared" si="163"/>
        <v>5000298.04</v>
      </c>
      <c r="D764" s="925">
        <f t="shared" si="164"/>
        <v>0</v>
      </c>
      <c r="E764" s="925">
        <v>0</v>
      </c>
      <c r="F764" s="925">
        <v>0</v>
      </c>
      <c r="G764" s="925">
        <v>0</v>
      </c>
      <c r="H764" s="925">
        <v>0</v>
      </c>
      <c r="I764" s="925">
        <v>0</v>
      </c>
      <c r="J764" s="925">
        <v>0</v>
      </c>
      <c r="K764" s="861">
        <v>0</v>
      </c>
      <c r="L764" s="925">
        <v>0</v>
      </c>
      <c r="M764" s="925">
        <v>0</v>
      </c>
      <c r="N764" s="925">
        <v>0</v>
      </c>
      <c r="O764" s="925">
        <v>443.61</v>
      </c>
      <c r="P764" s="925">
        <v>4752692.68</v>
      </c>
      <c r="Q764" s="925">
        <v>0</v>
      </c>
      <c r="R764" s="925">
        <v>0</v>
      </c>
      <c r="S764" s="925">
        <v>0</v>
      </c>
      <c r="T764" s="925">
        <v>0</v>
      </c>
      <c r="U764" s="925">
        <v>0</v>
      </c>
      <c r="V764" s="925">
        <v>0</v>
      </c>
      <c r="W764" s="925">
        <v>0</v>
      </c>
      <c r="X764" s="925">
        <v>0</v>
      </c>
      <c r="Y764" s="925">
        <v>0</v>
      </c>
      <c r="Z764" s="921">
        <v>247605.36</v>
      </c>
      <c r="AA764" s="925">
        <v>0</v>
      </c>
    </row>
    <row r="765" spans="1:27" s="867" customFormat="1" ht="96" customHeight="1">
      <c r="A765" s="927">
        <v>259</v>
      </c>
      <c r="B765" s="868" t="s">
        <v>1357</v>
      </c>
      <c r="C765" s="925">
        <f t="shared" si="163"/>
        <v>5148593</v>
      </c>
      <c r="D765" s="925">
        <f t="shared" si="164"/>
        <v>0</v>
      </c>
      <c r="E765" s="925">
        <v>0</v>
      </c>
      <c r="F765" s="925">
        <v>0</v>
      </c>
      <c r="G765" s="925">
        <v>0</v>
      </c>
      <c r="H765" s="925">
        <v>0</v>
      </c>
      <c r="I765" s="925">
        <v>0</v>
      </c>
      <c r="J765" s="925">
        <v>0</v>
      </c>
      <c r="K765" s="861">
        <v>0</v>
      </c>
      <c r="L765" s="925">
        <v>0</v>
      </c>
      <c r="M765" s="925">
        <v>0</v>
      </c>
      <c r="N765" s="925">
        <v>0</v>
      </c>
      <c r="O765" s="925">
        <v>670</v>
      </c>
      <c r="P765" s="925">
        <v>4774626</v>
      </c>
      <c r="Q765" s="925">
        <v>0</v>
      </c>
      <c r="R765" s="925">
        <v>0</v>
      </c>
      <c r="S765" s="925">
        <v>0</v>
      </c>
      <c r="T765" s="925">
        <v>0</v>
      </c>
      <c r="U765" s="925">
        <v>0</v>
      </c>
      <c r="V765" s="925">
        <v>0</v>
      </c>
      <c r="W765" s="925">
        <v>0</v>
      </c>
      <c r="X765" s="925">
        <v>0</v>
      </c>
      <c r="Y765" s="925">
        <v>0</v>
      </c>
      <c r="Z765" s="921">
        <v>373967</v>
      </c>
      <c r="AA765" s="925">
        <v>0</v>
      </c>
    </row>
    <row r="766" spans="1:27" s="867" customFormat="1" ht="73.900000000000006" customHeight="1">
      <c r="A766" s="927">
        <v>260</v>
      </c>
      <c r="B766" s="868" t="s">
        <v>1358</v>
      </c>
      <c r="C766" s="925">
        <f t="shared" si="163"/>
        <v>6693171</v>
      </c>
      <c r="D766" s="925">
        <f t="shared" si="164"/>
        <v>0</v>
      </c>
      <c r="E766" s="925">
        <v>0</v>
      </c>
      <c r="F766" s="925">
        <v>0</v>
      </c>
      <c r="G766" s="925">
        <v>0</v>
      </c>
      <c r="H766" s="925">
        <v>0</v>
      </c>
      <c r="I766" s="925">
        <v>0</v>
      </c>
      <c r="J766" s="925">
        <v>0</v>
      </c>
      <c r="K766" s="861">
        <v>0</v>
      </c>
      <c r="L766" s="925">
        <v>0</v>
      </c>
      <c r="M766" s="925">
        <v>0</v>
      </c>
      <c r="N766" s="925">
        <v>0</v>
      </c>
      <c r="O766" s="925">
        <v>871</v>
      </c>
      <c r="P766" s="925">
        <v>6207014</v>
      </c>
      <c r="Q766" s="925">
        <v>0</v>
      </c>
      <c r="R766" s="925">
        <v>0</v>
      </c>
      <c r="S766" s="925">
        <v>0</v>
      </c>
      <c r="T766" s="925">
        <v>0</v>
      </c>
      <c r="U766" s="925">
        <v>0</v>
      </c>
      <c r="V766" s="925">
        <v>0</v>
      </c>
      <c r="W766" s="925">
        <v>0</v>
      </c>
      <c r="X766" s="925">
        <v>0</v>
      </c>
      <c r="Y766" s="925">
        <v>0</v>
      </c>
      <c r="Z766" s="921">
        <v>486157</v>
      </c>
      <c r="AA766" s="925">
        <v>0</v>
      </c>
    </row>
    <row r="767" spans="1:27" s="867" customFormat="1" ht="71.45" customHeight="1">
      <c r="A767" s="927">
        <v>261</v>
      </c>
      <c r="B767" s="868" t="s">
        <v>1359</v>
      </c>
      <c r="C767" s="925">
        <f t="shared" si="163"/>
        <v>2701628.34</v>
      </c>
      <c r="D767" s="925">
        <f t="shared" si="164"/>
        <v>0</v>
      </c>
      <c r="E767" s="925">
        <v>0</v>
      </c>
      <c r="F767" s="925">
        <v>0</v>
      </c>
      <c r="G767" s="925">
        <v>0</v>
      </c>
      <c r="H767" s="925">
        <v>0</v>
      </c>
      <c r="I767" s="925">
        <v>0</v>
      </c>
      <c r="J767" s="925">
        <v>0</v>
      </c>
      <c r="K767" s="861">
        <v>0</v>
      </c>
      <c r="L767" s="925">
        <v>0</v>
      </c>
      <c r="M767" s="925">
        <v>0</v>
      </c>
      <c r="N767" s="925">
        <v>0</v>
      </c>
      <c r="O767" s="925">
        <v>351.57</v>
      </c>
      <c r="P767" s="925">
        <v>2505396.0299999998</v>
      </c>
      <c r="Q767" s="925">
        <v>0</v>
      </c>
      <c r="R767" s="925">
        <v>0</v>
      </c>
      <c r="S767" s="925">
        <v>0</v>
      </c>
      <c r="T767" s="925">
        <v>0</v>
      </c>
      <c r="U767" s="925">
        <v>0</v>
      </c>
      <c r="V767" s="925">
        <v>0</v>
      </c>
      <c r="W767" s="925">
        <v>0</v>
      </c>
      <c r="X767" s="925">
        <v>0</v>
      </c>
      <c r="Y767" s="925">
        <v>0</v>
      </c>
      <c r="Z767" s="921">
        <v>196232.31</v>
      </c>
      <c r="AA767" s="925">
        <v>0</v>
      </c>
    </row>
    <row r="768" spans="1:27" s="867" customFormat="1" ht="78.599999999999994" customHeight="1">
      <c r="A768" s="927">
        <v>262</v>
      </c>
      <c r="B768" s="868" t="s">
        <v>1360</v>
      </c>
      <c r="C768" s="925">
        <f t="shared" si="163"/>
        <v>5190079.16</v>
      </c>
      <c r="D768" s="925">
        <f t="shared" si="164"/>
        <v>0</v>
      </c>
      <c r="E768" s="925">
        <v>0</v>
      </c>
      <c r="F768" s="925">
        <v>0</v>
      </c>
      <c r="G768" s="925">
        <v>0</v>
      </c>
      <c r="H768" s="925">
        <v>0</v>
      </c>
      <c r="I768" s="925">
        <v>0</v>
      </c>
      <c r="J768" s="925">
        <v>0</v>
      </c>
      <c r="K768" s="861">
        <v>0</v>
      </c>
      <c r="L768" s="925">
        <v>0</v>
      </c>
      <c r="M768" s="925">
        <v>0</v>
      </c>
      <c r="N768" s="925">
        <v>0</v>
      </c>
      <c r="O768" s="925">
        <v>1010.78</v>
      </c>
      <c r="P768" s="925">
        <v>4813098.6500000004</v>
      </c>
      <c r="Q768" s="925">
        <v>0</v>
      </c>
      <c r="R768" s="925">
        <v>0</v>
      </c>
      <c r="S768" s="925">
        <v>0</v>
      </c>
      <c r="T768" s="925">
        <v>0</v>
      </c>
      <c r="U768" s="925">
        <v>0</v>
      </c>
      <c r="V768" s="925">
        <v>0</v>
      </c>
      <c r="W768" s="925">
        <v>0</v>
      </c>
      <c r="X768" s="925">
        <v>0</v>
      </c>
      <c r="Y768" s="925">
        <v>0</v>
      </c>
      <c r="Z768" s="921">
        <v>376980.51</v>
      </c>
      <c r="AA768" s="925">
        <v>0</v>
      </c>
    </row>
    <row r="769" spans="1:27" s="867" customFormat="1" ht="78.599999999999994" customHeight="1">
      <c r="A769" s="927">
        <v>263</v>
      </c>
      <c r="B769" s="868" t="s">
        <v>1820</v>
      </c>
      <c r="C769" s="925">
        <f>D769+N769+P769+R769+T769+X769+Z769</f>
        <v>2692707</v>
      </c>
      <c r="D769" s="925">
        <f>SUM(E769:J769)</f>
        <v>0</v>
      </c>
      <c r="E769" s="925">
        <v>0</v>
      </c>
      <c r="F769" s="925">
        <v>0</v>
      </c>
      <c r="G769" s="925">
        <v>0</v>
      </c>
      <c r="H769" s="925">
        <v>0</v>
      </c>
      <c r="I769" s="925">
        <v>0</v>
      </c>
      <c r="J769" s="925">
        <v>0</v>
      </c>
      <c r="K769" s="861">
        <v>0</v>
      </c>
      <c r="L769" s="925">
        <v>0</v>
      </c>
      <c r="M769" s="925">
        <v>0</v>
      </c>
      <c r="N769" s="925">
        <v>0</v>
      </c>
      <c r="O769" s="925">
        <v>745.14</v>
      </c>
      <c r="P769" s="925">
        <v>2497123</v>
      </c>
      <c r="Q769" s="925">
        <v>0</v>
      </c>
      <c r="R769" s="925">
        <v>0</v>
      </c>
      <c r="S769" s="925">
        <v>0</v>
      </c>
      <c r="T769" s="925">
        <v>0</v>
      </c>
      <c r="U769" s="925">
        <v>0</v>
      </c>
      <c r="V769" s="925">
        <v>0</v>
      </c>
      <c r="W769" s="925">
        <v>0</v>
      </c>
      <c r="X769" s="925">
        <v>0</v>
      </c>
      <c r="Y769" s="925">
        <v>0</v>
      </c>
      <c r="Z769" s="921">
        <v>195584</v>
      </c>
      <c r="AA769" s="925">
        <v>0</v>
      </c>
    </row>
    <row r="770" spans="1:27" s="867" customFormat="1" ht="83.25" customHeight="1">
      <c r="A770" s="1198" t="s">
        <v>1174</v>
      </c>
      <c r="B770" s="1199"/>
      <c r="C770" s="925">
        <f>SUM(C771:C780)</f>
        <v>6809724.7699999996</v>
      </c>
      <c r="D770" s="925">
        <f t="shared" ref="D770:Z770" si="165">SUM(D771:D780)</f>
        <v>3708837.7100000004</v>
      </c>
      <c r="E770" s="925">
        <f t="shared" si="165"/>
        <v>3363140.18</v>
      </c>
      <c r="F770" s="925">
        <f t="shared" si="165"/>
        <v>0</v>
      </c>
      <c r="G770" s="925">
        <f t="shared" si="165"/>
        <v>0</v>
      </c>
      <c r="H770" s="925">
        <f t="shared" si="165"/>
        <v>0</v>
      </c>
      <c r="I770" s="925">
        <f t="shared" si="165"/>
        <v>0</v>
      </c>
      <c r="J770" s="925">
        <f t="shared" si="165"/>
        <v>345697.53</v>
      </c>
      <c r="K770" s="861">
        <f t="shared" si="165"/>
        <v>0</v>
      </c>
      <c r="L770" s="925">
        <f t="shared" si="165"/>
        <v>0</v>
      </c>
      <c r="M770" s="925">
        <f t="shared" si="165"/>
        <v>0</v>
      </c>
      <c r="N770" s="925">
        <f t="shared" si="165"/>
        <v>0</v>
      </c>
      <c r="O770" s="925">
        <f t="shared" si="165"/>
        <v>411.4</v>
      </c>
      <c r="P770" s="925">
        <f t="shared" si="165"/>
        <v>1860793.06</v>
      </c>
      <c r="Q770" s="925">
        <f t="shared" si="165"/>
        <v>0</v>
      </c>
      <c r="R770" s="925">
        <f t="shared" si="165"/>
        <v>0</v>
      </c>
      <c r="S770" s="925">
        <f t="shared" si="165"/>
        <v>266.8</v>
      </c>
      <c r="T770" s="925">
        <f t="shared" si="165"/>
        <v>836331.71</v>
      </c>
      <c r="U770" s="925">
        <f t="shared" si="165"/>
        <v>0</v>
      </c>
      <c r="V770" s="925">
        <f t="shared" si="165"/>
        <v>0</v>
      </c>
      <c r="W770" s="925">
        <f t="shared" si="165"/>
        <v>0</v>
      </c>
      <c r="X770" s="925">
        <f t="shared" si="165"/>
        <v>0</v>
      </c>
      <c r="Y770" s="925">
        <f t="shared" si="165"/>
        <v>0</v>
      </c>
      <c r="Z770" s="921">
        <f t="shared" si="165"/>
        <v>403762.29000000004</v>
      </c>
      <c r="AA770" s="925">
        <f>SUM(AA771:AA780)</f>
        <v>0</v>
      </c>
    </row>
    <row r="771" spans="1:27" s="867" customFormat="1" ht="96.75" customHeight="1">
      <c r="A771" s="927">
        <v>264</v>
      </c>
      <c r="B771" s="874" t="s">
        <v>1179</v>
      </c>
      <c r="C771" s="925">
        <f>D771+N771+P771+R771+T771+X771+Z771</f>
        <v>372773.9</v>
      </c>
      <c r="D771" s="925">
        <f>SUM(E771:J771)</f>
        <v>345697.53</v>
      </c>
      <c r="E771" s="925">
        <v>0</v>
      </c>
      <c r="F771" s="925">
        <v>0</v>
      </c>
      <c r="G771" s="925">
        <v>0</v>
      </c>
      <c r="H771" s="925">
        <v>0</v>
      </c>
      <c r="I771" s="925">
        <v>0</v>
      </c>
      <c r="J771" s="925">
        <v>345697.53</v>
      </c>
      <c r="K771" s="861">
        <v>0</v>
      </c>
      <c r="L771" s="925">
        <v>0</v>
      </c>
      <c r="M771" s="925">
        <v>0</v>
      </c>
      <c r="N771" s="925">
        <v>0</v>
      </c>
      <c r="O771" s="925">
        <v>0</v>
      </c>
      <c r="P771" s="925">
        <v>0</v>
      </c>
      <c r="Q771" s="925">
        <v>0</v>
      </c>
      <c r="R771" s="925">
        <v>0</v>
      </c>
      <c r="S771" s="925">
        <v>0</v>
      </c>
      <c r="T771" s="925">
        <v>0</v>
      </c>
      <c r="U771" s="925">
        <v>0</v>
      </c>
      <c r="V771" s="925">
        <v>0</v>
      </c>
      <c r="W771" s="925">
        <v>0</v>
      </c>
      <c r="X771" s="925">
        <v>0</v>
      </c>
      <c r="Y771" s="925">
        <v>0</v>
      </c>
      <c r="Z771" s="921">
        <v>27076.37</v>
      </c>
      <c r="AA771" s="925">
        <v>0</v>
      </c>
    </row>
    <row r="772" spans="1:27" s="867" customFormat="1" ht="96.75" customHeight="1">
      <c r="A772" s="927">
        <v>265</v>
      </c>
      <c r="B772" s="874" t="s">
        <v>1864</v>
      </c>
      <c r="C772" s="925">
        <f t="shared" ref="C772:C780" si="166">D772+N772+P772+R772+T772+X772+Z772</f>
        <v>816611.93</v>
      </c>
      <c r="D772" s="925">
        <f t="shared" ref="D772:D780" si="167">SUM(E772:J772)</f>
        <v>785924.4</v>
      </c>
      <c r="E772" s="925">
        <v>785924.4</v>
      </c>
      <c r="F772" s="925">
        <v>0</v>
      </c>
      <c r="G772" s="925">
        <v>0</v>
      </c>
      <c r="H772" s="925">
        <v>0</v>
      </c>
      <c r="I772" s="925">
        <v>0</v>
      </c>
      <c r="J772" s="925">
        <v>0</v>
      </c>
      <c r="K772" s="861">
        <v>0</v>
      </c>
      <c r="L772" s="925">
        <v>0</v>
      </c>
      <c r="M772" s="925">
        <v>0</v>
      </c>
      <c r="N772" s="925">
        <v>0</v>
      </c>
      <c r="O772" s="925">
        <v>0</v>
      </c>
      <c r="P772" s="925">
        <v>0</v>
      </c>
      <c r="Q772" s="925">
        <v>0</v>
      </c>
      <c r="R772" s="925">
        <v>0</v>
      </c>
      <c r="S772" s="925">
        <v>0</v>
      </c>
      <c r="T772" s="925">
        <v>0</v>
      </c>
      <c r="U772" s="925">
        <v>0</v>
      </c>
      <c r="V772" s="925">
        <v>0</v>
      </c>
      <c r="W772" s="925">
        <v>0</v>
      </c>
      <c r="X772" s="925">
        <v>0</v>
      </c>
      <c r="Y772" s="925">
        <v>0</v>
      </c>
      <c r="Z772" s="921">
        <v>30687.53</v>
      </c>
      <c r="AA772" s="925">
        <v>0</v>
      </c>
    </row>
    <row r="773" spans="1:27" s="867" customFormat="1" ht="123" customHeight="1">
      <c r="A773" s="927">
        <v>266</v>
      </c>
      <c r="B773" s="874" t="s">
        <v>1865</v>
      </c>
      <c r="C773" s="925">
        <f t="shared" si="166"/>
        <v>1988195.4100000001</v>
      </c>
      <c r="D773" s="925">
        <f t="shared" si="167"/>
        <v>0</v>
      </c>
      <c r="E773" s="925">
        <v>0</v>
      </c>
      <c r="F773" s="925">
        <v>0</v>
      </c>
      <c r="G773" s="925">
        <v>0</v>
      </c>
      <c r="H773" s="925">
        <v>0</v>
      </c>
      <c r="I773" s="925">
        <v>0</v>
      </c>
      <c r="J773" s="925">
        <v>0</v>
      </c>
      <c r="K773" s="861">
        <v>0</v>
      </c>
      <c r="L773" s="925">
        <v>0</v>
      </c>
      <c r="M773" s="925">
        <v>0</v>
      </c>
      <c r="N773" s="925">
        <v>0</v>
      </c>
      <c r="O773" s="925">
        <v>411.4</v>
      </c>
      <c r="P773" s="925">
        <v>1860793.06</v>
      </c>
      <c r="Q773" s="925">
        <v>0</v>
      </c>
      <c r="R773" s="925">
        <v>0</v>
      </c>
      <c r="S773" s="925">
        <v>0</v>
      </c>
      <c r="T773" s="925">
        <v>0</v>
      </c>
      <c r="U773" s="925">
        <v>0</v>
      </c>
      <c r="V773" s="925">
        <v>0</v>
      </c>
      <c r="W773" s="925">
        <v>0</v>
      </c>
      <c r="X773" s="925">
        <v>0</v>
      </c>
      <c r="Y773" s="925">
        <v>0</v>
      </c>
      <c r="Z773" s="921">
        <v>127402.35</v>
      </c>
      <c r="AA773" s="925">
        <v>0</v>
      </c>
    </row>
    <row r="774" spans="1:27" s="867" customFormat="1" ht="96.75" customHeight="1">
      <c r="A774" s="927">
        <v>267</v>
      </c>
      <c r="B774" s="874" t="s">
        <v>1866</v>
      </c>
      <c r="C774" s="925">
        <f t="shared" si="166"/>
        <v>469248.89999999997</v>
      </c>
      <c r="D774" s="925">
        <f t="shared" si="167"/>
        <v>448415.23</v>
      </c>
      <c r="E774" s="925">
        <v>448415.23</v>
      </c>
      <c r="F774" s="925">
        <v>0</v>
      </c>
      <c r="G774" s="925">
        <v>0</v>
      </c>
      <c r="H774" s="925">
        <v>0</v>
      </c>
      <c r="I774" s="925">
        <v>0</v>
      </c>
      <c r="J774" s="925">
        <v>0</v>
      </c>
      <c r="K774" s="861">
        <v>0</v>
      </c>
      <c r="L774" s="925">
        <v>0</v>
      </c>
      <c r="M774" s="925">
        <v>0</v>
      </c>
      <c r="N774" s="925">
        <v>0</v>
      </c>
      <c r="O774" s="925">
        <v>0</v>
      </c>
      <c r="P774" s="925">
        <v>0</v>
      </c>
      <c r="Q774" s="925">
        <v>0</v>
      </c>
      <c r="R774" s="925">
        <v>0</v>
      </c>
      <c r="S774" s="925">
        <v>0</v>
      </c>
      <c r="T774" s="925">
        <v>0</v>
      </c>
      <c r="U774" s="925">
        <v>0</v>
      </c>
      <c r="V774" s="925">
        <v>0</v>
      </c>
      <c r="W774" s="925">
        <v>0</v>
      </c>
      <c r="X774" s="925">
        <v>0</v>
      </c>
      <c r="Y774" s="925">
        <v>0</v>
      </c>
      <c r="Z774" s="921">
        <v>20833.669999999998</v>
      </c>
      <c r="AA774" s="925">
        <v>0</v>
      </c>
    </row>
    <row r="775" spans="1:27" s="867" customFormat="1" ht="123" customHeight="1">
      <c r="A775" s="927">
        <v>268</v>
      </c>
      <c r="B775" s="874" t="s">
        <v>1867</v>
      </c>
      <c r="C775" s="925">
        <f t="shared" si="166"/>
        <v>144588.15999999997</v>
      </c>
      <c r="D775" s="925">
        <f t="shared" si="167"/>
        <v>134086.01999999999</v>
      </c>
      <c r="E775" s="925">
        <v>134086.01999999999</v>
      </c>
      <c r="F775" s="925">
        <v>0</v>
      </c>
      <c r="G775" s="925">
        <v>0</v>
      </c>
      <c r="H775" s="925">
        <v>0</v>
      </c>
      <c r="I775" s="925">
        <v>0</v>
      </c>
      <c r="J775" s="925">
        <v>0</v>
      </c>
      <c r="K775" s="861">
        <v>0</v>
      </c>
      <c r="L775" s="925">
        <v>0</v>
      </c>
      <c r="M775" s="925">
        <v>0</v>
      </c>
      <c r="N775" s="925">
        <v>0</v>
      </c>
      <c r="O775" s="925">
        <v>0</v>
      </c>
      <c r="P775" s="925">
        <v>0</v>
      </c>
      <c r="Q775" s="925">
        <v>0</v>
      </c>
      <c r="R775" s="925">
        <v>0</v>
      </c>
      <c r="S775" s="925">
        <v>0</v>
      </c>
      <c r="T775" s="925">
        <v>0</v>
      </c>
      <c r="U775" s="925">
        <v>0</v>
      </c>
      <c r="V775" s="925">
        <v>0</v>
      </c>
      <c r="W775" s="925">
        <v>0</v>
      </c>
      <c r="X775" s="925">
        <v>0</v>
      </c>
      <c r="Y775" s="925">
        <v>0</v>
      </c>
      <c r="Z775" s="921">
        <v>10502.14</v>
      </c>
      <c r="AA775" s="925">
        <v>0</v>
      </c>
    </row>
    <row r="776" spans="1:27" s="867" customFormat="1" ht="123" customHeight="1">
      <c r="A776" s="927">
        <v>269</v>
      </c>
      <c r="B776" s="874" t="s">
        <v>1883</v>
      </c>
      <c r="C776" s="925">
        <f t="shared" si="166"/>
        <v>229600.59</v>
      </c>
      <c r="D776" s="925">
        <f t="shared" si="167"/>
        <v>215548.29</v>
      </c>
      <c r="E776" s="925">
        <v>215548.29</v>
      </c>
      <c r="F776" s="925">
        <v>0</v>
      </c>
      <c r="G776" s="925">
        <v>0</v>
      </c>
      <c r="H776" s="925">
        <v>0</v>
      </c>
      <c r="I776" s="925">
        <v>0</v>
      </c>
      <c r="J776" s="925">
        <v>0</v>
      </c>
      <c r="K776" s="861">
        <v>0</v>
      </c>
      <c r="L776" s="925">
        <v>0</v>
      </c>
      <c r="M776" s="925">
        <v>0</v>
      </c>
      <c r="N776" s="925">
        <v>0</v>
      </c>
      <c r="O776" s="925">
        <v>0</v>
      </c>
      <c r="P776" s="925">
        <v>0</v>
      </c>
      <c r="Q776" s="925">
        <v>0</v>
      </c>
      <c r="R776" s="925">
        <v>0</v>
      </c>
      <c r="S776" s="925">
        <v>0</v>
      </c>
      <c r="T776" s="925">
        <v>0</v>
      </c>
      <c r="U776" s="925">
        <v>0</v>
      </c>
      <c r="V776" s="925">
        <v>0</v>
      </c>
      <c r="W776" s="925">
        <v>0</v>
      </c>
      <c r="X776" s="925">
        <v>0</v>
      </c>
      <c r="Y776" s="925">
        <v>0</v>
      </c>
      <c r="Z776" s="921">
        <v>14052.3</v>
      </c>
      <c r="AA776" s="925">
        <v>0</v>
      </c>
    </row>
    <row r="777" spans="1:27" s="867" customFormat="1" ht="123" customHeight="1">
      <c r="A777" s="927">
        <v>270</v>
      </c>
      <c r="B777" s="874" t="s">
        <v>1867</v>
      </c>
      <c r="C777" s="925">
        <f t="shared" si="166"/>
        <v>901836.45</v>
      </c>
      <c r="D777" s="925">
        <f t="shared" si="167"/>
        <v>0</v>
      </c>
      <c r="E777" s="925">
        <v>0</v>
      </c>
      <c r="F777" s="925">
        <v>0</v>
      </c>
      <c r="G777" s="925">
        <v>0</v>
      </c>
      <c r="H777" s="925">
        <v>0</v>
      </c>
      <c r="I777" s="925">
        <v>0</v>
      </c>
      <c r="J777" s="925">
        <v>0</v>
      </c>
      <c r="K777" s="861">
        <v>0</v>
      </c>
      <c r="L777" s="925">
        <v>0</v>
      </c>
      <c r="M777" s="925">
        <v>0</v>
      </c>
      <c r="N777" s="925">
        <v>0</v>
      </c>
      <c r="O777" s="925">
        <v>0</v>
      </c>
      <c r="P777" s="925">
        <v>0</v>
      </c>
      <c r="Q777" s="925">
        <v>0</v>
      </c>
      <c r="R777" s="925">
        <v>0</v>
      </c>
      <c r="S777" s="925">
        <v>266.8</v>
      </c>
      <c r="T777" s="925">
        <v>836331.71</v>
      </c>
      <c r="U777" s="925">
        <v>0</v>
      </c>
      <c r="V777" s="925">
        <v>0</v>
      </c>
      <c r="W777" s="925">
        <v>0</v>
      </c>
      <c r="X777" s="925">
        <v>0</v>
      </c>
      <c r="Y777" s="925">
        <v>0</v>
      </c>
      <c r="Z777" s="921">
        <v>65504.74</v>
      </c>
      <c r="AA777" s="925">
        <v>0</v>
      </c>
    </row>
    <row r="778" spans="1:27" s="867" customFormat="1" ht="96.75" customHeight="1">
      <c r="A778" s="927">
        <v>271</v>
      </c>
      <c r="B778" s="874" t="s">
        <v>2038</v>
      </c>
      <c r="C778" s="925">
        <f t="shared" si="166"/>
        <v>680381.70000000007</v>
      </c>
      <c r="D778" s="925">
        <f t="shared" si="167"/>
        <v>630962.29</v>
      </c>
      <c r="E778" s="925">
        <v>630962.29</v>
      </c>
      <c r="F778" s="925">
        <v>0</v>
      </c>
      <c r="G778" s="925">
        <v>0</v>
      </c>
      <c r="H778" s="925">
        <v>0</v>
      </c>
      <c r="I778" s="925">
        <v>0</v>
      </c>
      <c r="J778" s="925">
        <v>0</v>
      </c>
      <c r="K778" s="861">
        <v>0</v>
      </c>
      <c r="L778" s="925">
        <v>0</v>
      </c>
      <c r="M778" s="925">
        <v>0</v>
      </c>
      <c r="N778" s="925">
        <v>0</v>
      </c>
      <c r="O778" s="925">
        <v>0</v>
      </c>
      <c r="P778" s="925">
        <v>0</v>
      </c>
      <c r="Q778" s="925">
        <v>0</v>
      </c>
      <c r="R778" s="925">
        <v>0</v>
      </c>
      <c r="S778" s="925">
        <v>0</v>
      </c>
      <c r="T778" s="925">
        <v>0</v>
      </c>
      <c r="U778" s="925">
        <v>0</v>
      </c>
      <c r="V778" s="925">
        <v>0</v>
      </c>
      <c r="W778" s="925">
        <v>0</v>
      </c>
      <c r="X778" s="925">
        <v>0</v>
      </c>
      <c r="Y778" s="925">
        <v>0</v>
      </c>
      <c r="Z778" s="921">
        <v>49419.41</v>
      </c>
      <c r="AA778" s="925">
        <v>0</v>
      </c>
    </row>
    <row r="779" spans="1:27" s="867" customFormat="1" ht="104.25" customHeight="1">
      <c r="A779" s="927">
        <v>272</v>
      </c>
      <c r="B779" s="874" t="s">
        <v>1949</v>
      </c>
      <c r="C779" s="925">
        <f t="shared" si="166"/>
        <v>378691.30000000005</v>
      </c>
      <c r="D779" s="925">
        <f t="shared" si="167"/>
        <v>363910.52</v>
      </c>
      <c r="E779" s="925">
        <v>363910.52</v>
      </c>
      <c r="F779" s="925">
        <v>0</v>
      </c>
      <c r="G779" s="925">
        <v>0</v>
      </c>
      <c r="H779" s="925">
        <v>0</v>
      </c>
      <c r="I779" s="925">
        <v>0</v>
      </c>
      <c r="J779" s="925">
        <v>0</v>
      </c>
      <c r="K779" s="861">
        <v>0</v>
      </c>
      <c r="L779" s="925">
        <v>0</v>
      </c>
      <c r="M779" s="925">
        <v>0</v>
      </c>
      <c r="N779" s="925">
        <v>0</v>
      </c>
      <c r="O779" s="925">
        <v>0</v>
      </c>
      <c r="P779" s="925">
        <v>0</v>
      </c>
      <c r="Q779" s="925">
        <v>0</v>
      </c>
      <c r="R779" s="925">
        <v>0</v>
      </c>
      <c r="S779" s="925">
        <v>0</v>
      </c>
      <c r="T779" s="925">
        <v>0</v>
      </c>
      <c r="U779" s="925">
        <v>0</v>
      </c>
      <c r="V779" s="925">
        <v>0</v>
      </c>
      <c r="W779" s="925">
        <v>0</v>
      </c>
      <c r="X779" s="925">
        <v>0</v>
      </c>
      <c r="Y779" s="925">
        <v>0</v>
      </c>
      <c r="Z779" s="921">
        <v>14780.78</v>
      </c>
      <c r="AA779" s="925">
        <v>0</v>
      </c>
    </row>
    <row r="780" spans="1:27" s="867" customFormat="1" ht="104.25" customHeight="1">
      <c r="A780" s="927">
        <v>273</v>
      </c>
      <c r="B780" s="874" t="s">
        <v>1884</v>
      </c>
      <c r="C780" s="925">
        <f t="shared" si="166"/>
        <v>827796.43</v>
      </c>
      <c r="D780" s="925">
        <f t="shared" si="167"/>
        <v>784293.43</v>
      </c>
      <c r="E780" s="925">
        <v>784293.43</v>
      </c>
      <c r="F780" s="925">
        <v>0</v>
      </c>
      <c r="G780" s="925">
        <v>0</v>
      </c>
      <c r="H780" s="925">
        <v>0</v>
      </c>
      <c r="I780" s="925">
        <v>0</v>
      </c>
      <c r="J780" s="925">
        <v>0</v>
      </c>
      <c r="K780" s="861">
        <v>0</v>
      </c>
      <c r="L780" s="925">
        <v>0</v>
      </c>
      <c r="M780" s="925">
        <v>0</v>
      </c>
      <c r="N780" s="925">
        <v>0</v>
      </c>
      <c r="O780" s="925">
        <v>0</v>
      </c>
      <c r="P780" s="925">
        <v>0</v>
      </c>
      <c r="Q780" s="925">
        <v>0</v>
      </c>
      <c r="R780" s="925">
        <v>0</v>
      </c>
      <c r="S780" s="925">
        <v>0</v>
      </c>
      <c r="T780" s="925">
        <v>0</v>
      </c>
      <c r="U780" s="925">
        <v>0</v>
      </c>
      <c r="V780" s="925">
        <v>0</v>
      </c>
      <c r="W780" s="925">
        <v>0</v>
      </c>
      <c r="X780" s="925">
        <v>0</v>
      </c>
      <c r="Y780" s="925">
        <v>0</v>
      </c>
      <c r="Z780" s="921">
        <v>43503</v>
      </c>
      <c r="AA780" s="925">
        <v>0</v>
      </c>
    </row>
    <row r="781" spans="1:27" s="867" customFormat="1" ht="93" customHeight="1">
      <c r="A781" s="1198" t="s">
        <v>1978</v>
      </c>
      <c r="B781" s="1199"/>
      <c r="C781" s="925">
        <f>SUM(C782:C803)</f>
        <v>71527022.520000011</v>
      </c>
      <c r="D781" s="925">
        <f t="shared" ref="D781:AA781" si="168">SUM(D782:D803)</f>
        <v>15182541.16</v>
      </c>
      <c r="E781" s="925">
        <f t="shared" si="168"/>
        <v>0</v>
      </c>
      <c r="F781" s="925">
        <f t="shared" si="168"/>
        <v>13575214.949999999</v>
      </c>
      <c r="G781" s="925">
        <f t="shared" si="168"/>
        <v>0</v>
      </c>
      <c r="H781" s="925">
        <f t="shared" si="168"/>
        <v>1298452.71</v>
      </c>
      <c r="I781" s="925">
        <f t="shared" si="168"/>
        <v>0</v>
      </c>
      <c r="J781" s="925">
        <f t="shared" si="168"/>
        <v>308873.5</v>
      </c>
      <c r="K781" s="861">
        <f t="shared" si="168"/>
        <v>0</v>
      </c>
      <c r="L781" s="925">
        <f t="shared" si="168"/>
        <v>0</v>
      </c>
      <c r="M781" s="925">
        <f t="shared" si="168"/>
        <v>0</v>
      </c>
      <c r="N781" s="925">
        <f t="shared" si="168"/>
        <v>0</v>
      </c>
      <c r="O781" s="925">
        <f t="shared" si="168"/>
        <v>9204.1400000000012</v>
      </c>
      <c r="P781" s="925">
        <f t="shared" si="168"/>
        <v>39868472.049999997</v>
      </c>
      <c r="Q781" s="925">
        <f t="shared" si="168"/>
        <v>625.5</v>
      </c>
      <c r="R781" s="925">
        <f t="shared" si="168"/>
        <v>1004328.32</v>
      </c>
      <c r="S781" s="925">
        <f t="shared" si="168"/>
        <v>2513.04</v>
      </c>
      <c r="T781" s="925">
        <f t="shared" si="168"/>
        <v>10113711.619999999</v>
      </c>
      <c r="U781" s="925">
        <f t="shared" si="168"/>
        <v>0</v>
      </c>
      <c r="V781" s="925">
        <f t="shared" si="168"/>
        <v>0</v>
      </c>
      <c r="W781" s="925">
        <f t="shared" si="168"/>
        <v>0</v>
      </c>
      <c r="X781" s="925">
        <f t="shared" si="168"/>
        <v>0</v>
      </c>
      <c r="Y781" s="925">
        <f t="shared" si="168"/>
        <v>0</v>
      </c>
      <c r="Z781" s="921">
        <f t="shared" si="168"/>
        <v>5205042.3699999992</v>
      </c>
      <c r="AA781" s="925">
        <f t="shared" si="168"/>
        <v>152927</v>
      </c>
    </row>
    <row r="782" spans="1:27" s="867" customFormat="1" ht="84.6" customHeight="1">
      <c r="A782" s="927">
        <v>274</v>
      </c>
      <c r="B782" s="863" t="s">
        <v>1503</v>
      </c>
      <c r="C782" s="925">
        <f>D782+N782+P782+R782+T782+X782+Z782</f>
        <v>7570644.7200000007</v>
      </c>
      <c r="D782" s="925">
        <f>SUM(E782:J782)</f>
        <v>7020752.2400000002</v>
      </c>
      <c r="E782" s="925">
        <v>0</v>
      </c>
      <c r="F782" s="925">
        <v>7020752.2400000002</v>
      </c>
      <c r="G782" s="925">
        <v>0</v>
      </c>
      <c r="H782" s="925">
        <v>0</v>
      </c>
      <c r="I782" s="925">
        <v>0</v>
      </c>
      <c r="J782" s="925">
        <v>0</v>
      </c>
      <c r="K782" s="861">
        <v>0</v>
      </c>
      <c r="L782" s="925">
        <v>0</v>
      </c>
      <c r="M782" s="925">
        <v>0</v>
      </c>
      <c r="N782" s="925">
        <v>0</v>
      </c>
      <c r="O782" s="925">
        <v>0</v>
      </c>
      <c r="P782" s="925">
        <v>0</v>
      </c>
      <c r="Q782" s="925">
        <v>0</v>
      </c>
      <c r="R782" s="925">
        <v>0</v>
      </c>
      <c r="S782" s="925">
        <v>0</v>
      </c>
      <c r="T782" s="925">
        <v>0</v>
      </c>
      <c r="U782" s="925">
        <v>0</v>
      </c>
      <c r="V782" s="925">
        <v>0</v>
      </c>
      <c r="W782" s="925">
        <v>0</v>
      </c>
      <c r="X782" s="925">
        <v>0</v>
      </c>
      <c r="Y782" s="925">
        <v>0</v>
      </c>
      <c r="Z782" s="921">
        <v>549892.48</v>
      </c>
      <c r="AA782" s="925">
        <v>0</v>
      </c>
    </row>
    <row r="783" spans="1:27" s="867" customFormat="1" ht="81" customHeight="1">
      <c r="A783" s="927">
        <v>275</v>
      </c>
      <c r="B783" s="863" t="s">
        <v>1505</v>
      </c>
      <c r="C783" s="925">
        <f t="shared" ref="C783:C796" si="169">D783+N783+P783+R783+T783+X783+Z783</f>
        <v>1082991.2</v>
      </c>
      <c r="D783" s="925">
        <f t="shared" ref="D783:D796" si="170">SUM(E783:J783)</f>
        <v>0</v>
      </c>
      <c r="E783" s="925">
        <v>0</v>
      </c>
      <c r="F783" s="925">
        <v>0</v>
      </c>
      <c r="G783" s="925">
        <v>0</v>
      </c>
      <c r="H783" s="925">
        <v>0</v>
      </c>
      <c r="I783" s="925">
        <v>0</v>
      </c>
      <c r="J783" s="925">
        <v>0</v>
      </c>
      <c r="K783" s="861">
        <v>0</v>
      </c>
      <c r="L783" s="925">
        <v>0</v>
      </c>
      <c r="M783" s="925">
        <v>0</v>
      </c>
      <c r="N783" s="925">
        <v>0</v>
      </c>
      <c r="O783" s="925">
        <v>0</v>
      </c>
      <c r="P783" s="925">
        <v>0</v>
      </c>
      <c r="Q783" s="925">
        <v>625.5</v>
      </c>
      <c r="R783" s="925">
        <v>1004328.32</v>
      </c>
      <c r="S783" s="925">
        <v>0</v>
      </c>
      <c r="T783" s="925">
        <v>0</v>
      </c>
      <c r="U783" s="925">
        <v>0</v>
      </c>
      <c r="V783" s="925">
        <v>0</v>
      </c>
      <c r="W783" s="925">
        <v>0</v>
      </c>
      <c r="X783" s="925">
        <v>0</v>
      </c>
      <c r="Y783" s="925">
        <v>0</v>
      </c>
      <c r="Z783" s="921">
        <v>78662.880000000005</v>
      </c>
      <c r="AA783" s="925">
        <v>0</v>
      </c>
    </row>
    <row r="784" spans="1:27" s="867" customFormat="1" ht="71.45" customHeight="1">
      <c r="A784" s="927">
        <v>276</v>
      </c>
      <c r="B784" s="863" t="s">
        <v>1506</v>
      </c>
      <c r="C784" s="925">
        <f t="shared" si="169"/>
        <v>1100148.81</v>
      </c>
      <c r="D784" s="925">
        <f t="shared" si="170"/>
        <v>1020239.6900000001</v>
      </c>
      <c r="E784" s="925">
        <v>0</v>
      </c>
      <c r="F784" s="925">
        <v>632173.06000000006</v>
      </c>
      <c r="G784" s="925">
        <v>0</v>
      </c>
      <c r="H784" s="925">
        <v>388066.63</v>
      </c>
      <c r="I784" s="925">
        <v>0</v>
      </c>
      <c r="J784" s="925">
        <v>0</v>
      </c>
      <c r="K784" s="861">
        <v>0</v>
      </c>
      <c r="L784" s="925">
        <v>0</v>
      </c>
      <c r="M784" s="925">
        <v>0</v>
      </c>
      <c r="N784" s="925">
        <v>0</v>
      </c>
      <c r="O784" s="925">
        <v>0</v>
      </c>
      <c r="P784" s="925">
        <v>0</v>
      </c>
      <c r="Q784" s="925">
        <v>0</v>
      </c>
      <c r="R784" s="925">
        <v>0</v>
      </c>
      <c r="S784" s="925">
        <v>0</v>
      </c>
      <c r="T784" s="925">
        <v>0</v>
      </c>
      <c r="U784" s="925">
        <v>0</v>
      </c>
      <c r="V784" s="925">
        <v>0</v>
      </c>
      <c r="W784" s="925">
        <v>0</v>
      </c>
      <c r="X784" s="925">
        <v>0</v>
      </c>
      <c r="Y784" s="925">
        <v>0</v>
      </c>
      <c r="Z784" s="921">
        <v>79909.119999999995</v>
      </c>
      <c r="AA784" s="925">
        <v>0</v>
      </c>
    </row>
    <row r="785" spans="1:27" s="867" customFormat="1" ht="85.9" customHeight="1">
      <c r="A785" s="927">
        <v>277</v>
      </c>
      <c r="B785" s="863" t="s">
        <v>1504</v>
      </c>
      <c r="C785" s="925">
        <f t="shared" si="169"/>
        <v>10410913.539999999</v>
      </c>
      <c r="D785" s="925">
        <f t="shared" si="170"/>
        <v>0</v>
      </c>
      <c r="E785" s="925">
        <v>0</v>
      </c>
      <c r="F785" s="925">
        <v>0</v>
      </c>
      <c r="G785" s="925">
        <v>0</v>
      </c>
      <c r="H785" s="925">
        <v>0</v>
      </c>
      <c r="I785" s="925">
        <v>0</v>
      </c>
      <c r="J785" s="925">
        <v>0</v>
      </c>
      <c r="K785" s="861">
        <v>0</v>
      </c>
      <c r="L785" s="925">
        <v>0</v>
      </c>
      <c r="M785" s="925">
        <v>0</v>
      </c>
      <c r="N785" s="925">
        <v>0</v>
      </c>
      <c r="O785" s="925">
        <v>0</v>
      </c>
      <c r="P785" s="925">
        <v>0</v>
      </c>
      <c r="Q785" s="925">
        <v>0</v>
      </c>
      <c r="R785" s="925">
        <v>0</v>
      </c>
      <c r="S785" s="925">
        <v>2327.04</v>
      </c>
      <c r="T785" s="925">
        <v>9654718.6199999992</v>
      </c>
      <c r="U785" s="925">
        <v>0</v>
      </c>
      <c r="V785" s="925">
        <v>0</v>
      </c>
      <c r="W785" s="925">
        <v>0</v>
      </c>
      <c r="X785" s="925">
        <v>0</v>
      </c>
      <c r="Y785" s="925">
        <v>0</v>
      </c>
      <c r="Z785" s="921">
        <v>756194.92</v>
      </c>
      <c r="AA785" s="925">
        <v>0</v>
      </c>
    </row>
    <row r="786" spans="1:27" s="867" customFormat="1" ht="73.150000000000006" customHeight="1">
      <c r="A786" s="927">
        <v>278</v>
      </c>
      <c r="B786" s="863" t="s">
        <v>1512</v>
      </c>
      <c r="C786" s="925">
        <f t="shared" si="169"/>
        <v>4188076.4200000004</v>
      </c>
      <c r="D786" s="925">
        <f t="shared" si="170"/>
        <v>0</v>
      </c>
      <c r="E786" s="925">
        <v>0</v>
      </c>
      <c r="F786" s="925">
        <v>0</v>
      </c>
      <c r="G786" s="925">
        <v>0</v>
      </c>
      <c r="H786" s="925">
        <v>0</v>
      </c>
      <c r="I786" s="925">
        <v>0</v>
      </c>
      <c r="J786" s="925">
        <v>0</v>
      </c>
      <c r="K786" s="861">
        <v>0</v>
      </c>
      <c r="L786" s="925">
        <v>0</v>
      </c>
      <c r="M786" s="925">
        <v>0</v>
      </c>
      <c r="N786" s="925">
        <v>0</v>
      </c>
      <c r="O786" s="925">
        <v>1049.7</v>
      </c>
      <c r="P786" s="925">
        <v>3948778.47</v>
      </c>
      <c r="Q786" s="925">
        <v>0</v>
      </c>
      <c r="R786" s="925">
        <v>0</v>
      </c>
      <c r="S786" s="925">
        <v>0</v>
      </c>
      <c r="T786" s="925">
        <v>0</v>
      </c>
      <c r="U786" s="925">
        <v>0</v>
      </c>
      <c r="V786" s="925">
        <v>0</v>
      </c>
      <c r="W786" s="925">
        <v>0</v>
      </c>
      <c r="X786" s="925">
        <v>0</v>
      </c>
      <c r="Y786" s="925">
        <v>0</v>
      </c>
      <c r="Z786" s="921">
        <v>239297.95</v>
      </c>
      <c r="AA786" s="925">
        <v>0</v>
      </c>
    </row>
    <row r="787" spans="1:27" s="867" customFormat="1" ht="93.75" customHeight="1">
      <c r="A787" s="927">
        <v>279</v>
      </c>
      <c r="B787" s="863" t="s">
        <v>1520</v>
      </c>
      <c r="C787" s="925">
        <f t="shared" si="169"/>
        <v>1203937.3999999999</v>
      </c>
      <c r="D787" s="925">
        <f t="shared" si="170"/>
        <v>1108678.22</v>
      </c>
      <c r="E787" s="925">
        <v>0</v>
      </c>
      <c r="F787" s="925">
        <v>686972.39</v>
      </c>
      <c r="G787" s="925">
        <v>0</v>
      </c>
      <c r="H787" s="925">
        <v>421705.83</v>
      </c>
      <c r="I787" s="925">
        <v>0</v>
      </c>
      <c r="J787" s="925">
        <v>0</v>
      </c>
      <c r="K787" s="861">
        <v>0</v>
      </c>
      <c r="L787" s="925">
        <v>0</v>
      </c>
      <c r="M787" s="925">
        <v>0</v>
      </c>
      <c r="N787" s="925">
        <v>0</v>
      </c>
      <c r="O787" s="925">
        <v>0</v>
      </c>
      <c r="P787" s="925">
        <v>0</v>
      </c>
      <c r="Q787" s="925">
        <v>0</v>
      </c>
      <c r="R787" s="925">
        <v>0</v>
      </c>
      <c r="S787" s="925">
        <v>0</v>
      </c>
      <c r="T787" s="925">
        <v>0</v>
      </c>
      <c r="U787" s="925">
        <v>0</v>
      </c>
      <c r="V787" s="925">
        <v>0</v>
      </c>
      <c r="W787" s="925">
        <v>0</v>
      </c>
      <c r="X787" s="925">
        <v>0</v>
      </c>
      <c r="Y787" s="925">
        <v>0</v>
      </c>
      <c r="Z787" s="921">
        <v>95259.18</v>
      </c>
      <c r="AA787" s="925">
        <v>0</v>
      </c>
    </row>
    <row r="788" spans="1:27" s="867" customFormat="1" ht="101.25" customHeight="1">
      <c r="A788" s="927">
        <v>280</v>
      </c>
      <c r="B788" s="868" t="s">
        <v>2041</v>
      </c>
      <c r="C788" s="925">
        <f t="shared" si="169"/>
        <v>3891225.05</v>
      </c>
      <c r="D788" s="925">
        <f t="shared" si="170"/>
        <v>0</v>
      </c>
      <c r="E788" s="925">
        <v>0</v>
      </c>
      <c r="F788" s="925">
        <v>0</v>
      </c>
      <c r="G788" s="925">
        <v>0</v>
      </c>
      <c r="H788" s="925">
        <v>0</v>
      </c>
      <c r="I788" s="925">
        <v>0</v>
      </c>
      <c r="J788" s="925">
        <v>0</v>
      </c>
      <c r="K788" s="861">
        <v>0</v>
      </c>
      <c r="L788" s="925">
        <v>0</v>
      </c>
      <c r="M788" s="925">
        <v>0</v>
      </c>
      <c r="N788" s="925">
        <v>0</v>
      </c>
      <c r="O788" s="925">
        <v>1076.8</v>
      </c>
      <c r="P788" s="925">
        <v>3608586.59</v>
      </c>
      <c r="Q788" s="925">
        <v>0</v>
      </c>
      <c r="R788" s="925">
        <v>0</v>
      </c>
      <c r="S788" s="925">
        <v>0</v>
      </c>
      <c r="T788" s="925">
        <v>0</v>
      </c>
      <c r="U788" s="925">
        <v>0</v>
      </c>
      <c r="V788" s="925">
        <v>0</v>
      </c>
      <c r="W788" s="925">
        <v>0</v>
      </c>
      <c r="X788" s="925">
        <v>0</v>
      </c>
      <c r="Y788" s="925">
        <v>0</v>
      </c>
      <c r="Z788" s="921">
        <v>282638.46000000002</v>
      </c>
      <c r="AA788" s="925">
        <v>0</v>
      </c>
    </row>
    <row r="789" spans="1:27" s="867" customFormat="1" ht="71.45" customHeight="1">
      <c r="A789" s="927">
        <v>281</v>
      </c>
      <c r="B789" s="868" t="s">
        <v>1508</v>
      </c>
      <c r="C789" s="925">
        <f t="shared" si="169"/>
        <v>8271227.6400000006</v>
      </c>
      <c r="D789" s="925">
        <f t="shared" si="170"/>
        <v>0</v>
      </c>
      <c r="E789" s="925">
        <v>0</v>
      </c>
      <c r="F789" s="925">
        <v>0</v>
      </c>
      <c r="G789" s="925">
        <v>0</v>
      </c>
      <c r="H789" s="925">
        <v>0</v>
      </c>
      <c r="I789" s="925">
        <v>0</v>
      </c>
      <c r="J789" s="925">
        <v>0</v>
      </c>
      <c r="K789" s="861">
        <v>0</v>
      </c>
      <c r="L789" s="925">
        <v>0</v>
      </c>
      <c r="M789" s="925">
        <v>0</v>
      </c>
      <c r="N789" s="925">
        <v>0</v>
      </c>
      <c r="O789" s="925">
        <v>1940</v>
      </c>
      <c r="P789" s="925">
        <v>7670448.4400000004</v>
      </c>
      <c r="Q789" s="925">
        <v>0</v>
      </c>
      <c r="R789" s="925">
        <v>0</v>
      </c>
      <c r="S789" s="925">
        <v>0</v>
      </c>
      <c r="T789" s="925">
        <v>0</v>
      </c>
      <c r="U789" s="925">
        <v>0</v>
      </c>
      <c r="V789" s="925">
        <v>0</v>
      </c>
      <c r="W789" s="925">
        <v>0</v>
      </c>
      <c r="X789" s="925">
        <v>0</v>
      </c>
      <c r="Y789" s="925">
        <v>0</v>
      </c>
      <c r="Z789" s="921">
        <v>600779.19999999995</v>
      </c>
      <c r="AA789" s="925">
        <v>0</v>
      </c>
    </row>
    <row r="790" spans="1:27" s="867" customFormat="1" ht="73.900000000000006" customHeight="1">
      <c r="A790" s="927">
        <v>282</v>
      </c>
      <c r="B790" s="868" t="s">
        <v>1509</v>
      </c>
      <c r="C790" s="925">
        <f t="shared" si="169"/>
        <v>860021.25</v>
      </c>
      <c r="D790" s="925">
        <f t="shared" si="170"/>
        <v>797553.75</v>
      </c>
      <c r="E790" s="925">
        <v>0</v>
      </c>
      <c r="F790" s="925">
        <v>0</v>
      </c>
      <c r="G790" s="925">
        <v>0</v>
      </c>
      <c r="H790" s="925">
        <v>488680.25</v>
      </c>
      <c r="I790" s="925">
        <v>0</v>
      </c>
      <c r="J790" s="925">
        <v>308873.5</v>
      </c>
      <c r="K790" s="861">
        <v>0</v>
      </c>
      <c r="L790" s="925">
        <v>0</v>
      </c>
      <c r="M790" s="925">
        <v>0</v>
      </c>
      <c r="N790" s="925">
        <v>0</v>
      </c>
      <c r="O790" s="925">
        <v>0</v>
      </c>
      <c r="P790" s="925">
        <v>0</v>
      </c>
      <c r="Q790" s="925">
        <v>0</v>
      </c>
      <c r="R790" s="925">
        <v>0</v>
      </c>
      <c r="S790" s="925">
        <v>0</v>
      </c>
      <c r="T790" s="925">
        <v>0</v>
      </c>
      <c r="U790" s="925">
        <v>0</v>
      </c>
      <c r="V790" s="925">
        <v>0</v>
      </c>
      <c r="W790" s="925">
        <v>0</v>
      </c>
      <c r="X790" s="925">
        <v>0</v>
      </c>
      <c r="Y790" s="925">
        <v>0</v>
      </c>
      <c r="Z790" s="921">
        <v>62467.5</v>
      </c>
      <c r="AA790" s="925">
        <v>0</v>
      </c>
    </row>
    <row r="791" spans="1:27" s="867" customFormat="1" ht="71.45" customHeight="1">
      <c r="A791" s="927">
        <v>283</v>
      </c>
      <c r="B791" s="868" t="s">
        <v>1510</v>
      </c>
      <c r="C791" s="925">
        <f t="shared" si="169"/>
        <v>2855152.96</v>
      </c>
      <c r="D791" s="925">
        <f t="shared" si="170"/>
        <v>0</v>
      </c>
      <c r="E791" s="925">
        <v>0</v>
      </c>
      <c r="F791" s="925">
        <v>0</v>
      </c>
      <c r="G791" s="925">
        <v>0</v>
      </c>
      <c r="H791" s="925">
        <v>0</v>
      </c>
      <c r="I791" s="925">
        <v>0</v>
      </c>
      <c r="J791" s="925">
        <v>0</v>
      </c>
      <c r="K791" s="861">
        <v>0</v>
      </c>
      <c r="L791" s="925">
        <v>0</v>
      </c>
      <c r="M791" s="925">
        <v>0</v>
      </c>
      <c r="N791" s="925">
        <v>0</v>
      </c>
      <c r="O791" s="925">
        <v>412.72</v>
      </c>
      <c r="P791" s="925">
        <v>2647769.41</v>
      </c>
      <c r="Q791" s="925">
        <v>0</v>
      </c>
      <c r="R791" s="925">
        <v>0</v>
      </c>
      <c r="S791" s="925">
        <v>0</v>
      </c>
      <c r="T791" s="925">
        <v>0</v>
      </c>
      <c r="U791" s="925">
        <v>0</v>
      </c>
      <c r="V791" s="925">
        <v>0</v>
      </c>
      <c r="W791" s="925">
        <v>0</v>
      </c>
      <c r="X791" s="925">
        <v>0</v>
      </c>
      <c r="Y791" s="925">
        <v>0</v>
      </c>
      <c r="Z791" s="921">
        <v>207383.55</v>
      </c>
      <c r="AA791" s="925">
        <v>0</v>
      </c>
    </row>
    <row r="792" spans="1:27" s="867" customFormat="1" ht="71.45" customHeight="1">
      <c r="A792" s="927">
        <v>284</v>
      </c>
      <c r="B792" s="868" t="s">
        <v>1511</v>
      </c>
      <c r="C792" s="925">
        <f t="shared" si="169"/>
        <v>2645172.71</v>
      </c>
      <c r="D792" s="925">
        <f t="shared" si="170"/>
        <v>0</v>
      </c>
      <c r="E792" s="925">
        <v>0</v>
      </c>
      <c r="F792" s="925">
        <v>0</v>
      </c>
      <c r="G792" s="925">
        <v>0</v>
      </c>
      <c r="H792" s="925">
        <v>0</v>
      </c>
      <c r="I792" s="925">
        <v>0</v>
      </c>
      <c r="J792" s="925">
        <v>0</v>
      </c>
      <c r="K792" s="861">
        <v>0</v>
      </c>
      <c r="L792" s="925">
        <v>0</v>
      </c>
      <c r="M792" s="925">
        <v>0</v>
      </c>
      <c r="N792" s="925">
        <v>0</v>
      </c>
      <c r="O792" s="925">
        <v>620.41999999999996</v>
      </c>
      <c r="P792" s="925">
        <v>2453041.04</v>
      </c>
      <c r="Q792" s="925">
        <v>0</v>
      </c>
      <c r="R792" s="925">
        <v>0</v>
      </c>
      <c r="S792" s="925">
        <v>0</v>
      </c>
      <c r="T792" s="925">
        <v>0</v>
      </c>
      <c r="U792" s="925">
        <v>0</v>
      </c>
      <c r="V792" s="925">
        <v>0</v>
      </c>
      <c r="W792" s="925">
        <v>0</v>
      </c>
      <c r="X792" s="925">
        <v>0</v>
      </c>
      <c r="Y792" s="925">
        <v>0</v>
      </c>
      <c r="Z792" s="921">
        <v>192131.67</v>
      </c>
      <c r="AA792" s="925">
        <v>0</v>
      </c>
    </row>
    <row r="793" spans="1:27" s="867" customFormat="1" ht="76.150000000000006" customHeight="1">
      <c r="A793" s="927">
        <v>285</v>
      </c>
      <c r="B793" s="868" t="s">
        <v>1512</v>
      </c>
      <c r="C793" s="925">
        <f t="shared" si="169"/>
        <v>5645367.5599999996</v>
      </c>
      <c r="D793" s="925">
        <f t="shared" si="170"/>
        <v>5235317.26</v>
      </c>
      <c r="E793" s="925">
        <v>0</v>
      </c>
      <c r="F793" s="925">
        <v>5235317.26</v>
      </c>
      <c r="G793" s="925">
        <v>0</v>
      </c>
      <c r="H793" s="925">
        <v>0</v>
      </c>
      <c r="I793" s="925">
        <v>0</v>
      </c>
      <c r="J793" s="925">
        <v>0</v>
      </c>
      <c r="K793" s="861">
        <v>0</v>
      </c>
      <c r="L793" s="925">
        <v>0</v>
      </c>
      <c r="M793" s="925">
        <v>0</v>
      </c>
      <c r="N793" s="925">
        <v>0</v>
      </c>
      <c r="O793" s="925">
        <v>0</v>
      </c>
      <c r="P793" s="925">
        <v>0</v>
      </c>
      <c r="Q793" s="925">
        <v>0</v>
      </c>
      <c r="R793" s="925">
        <v>0</v>
      </c>
      <c r="S793" s="925">
        <v>0</v>
      </c>
      <c r="T793" s="925">
        <v>0</v>
      </c>
      <c r="U793" s="925">
        <v>0</v>
      </c>
      <c r="V793" s="925">
        <v>0</v>
      </c>
      <c r="W793" s="925">
        <v>0</v>
      </c>
      <c r="X793" s="925">
        <v>0</v>
      </c>
      <c r="Y793" s="925">
        <v>0</v>
      </c>
      <c r="Z793" s="921">
        <v>410050.3</v>
      </c>
      <c r="AA793" s="925">
        <v>0</v>
      </c>
    </row>
    <row r="794" spans="1:27" s="867" customFormat="1" ht="75.599999999999994" customHeight="1">
      <c r="A794" s="927">
        <v>286</v>
      </c>
      <c r="B794" s="868" t="s">
        <v>1513</v>
      </c>
      <c r="C794" s="925">
        <f t="shared" si="169"/>
        <v>3306753.05</v>
      </c>
      <c r="D794" s="925">
        <f t="shared" si="170"/>
        <v>0</v>
      </c>
      <c r="E794" s="925">
        <v>0</v>
      </c>
      <c r="F794" s="925">
        <v>0</v>
      </c>
      <c r="G794" s="925">
        <v>0</v>
      </c>
      <c r="H794" s="925">
        <v>0</v>
      </c>
      <c r="I794" s="925">
        <v>0</v>
      </c>
      <c r="J794" s="925">
        <v>0</v>
      </c>
      <c r="K794" s="861">
        <v>0</v>
      </c>
      <c r="L794" s="925">
        <v>0</v>
      </c>
      <c r="M794" s="925">
        <v>0</v>
      </c>
      <c r="N794" s="925">
        <v>0</v>
      </c>
      <c r="O794" s="925">
        <v>478</v>
      </c>
      <c r="P794" s="925">
        <v>3066567.61</v>
      </c>
      <c r="Q794" s="925">
        <v>0</v>
      </c>
      <c r="R794" s="925">
        <v>0</v>
      </c>
      <c r="S794" s="925">
        <v>0</v>
      </c>
      <c r="T794" s="925">
        <v>0</v>
      </c>
      <c r="U794" s="925">
        <v>0</v>
      </c>
      <c r="V794" s="925">
        <v>0</v>
      </c>
      <c r="W794" s="925">
        <v>0</v>
      </c>
      <c r="X794" s="925">
        <v>0</v>
      </c>
      <c r="Y794" s="925">
        <v>0</v>
      </c>
      <c r="Z794" s="921">
        <v>240185.44</v>
      </c>
      <c r="AA794" s="925">
        <v>0</v>
      </c>
    </row>
    <row r="795" spans="1:27" s="867" customFormat="1" ht="78.599999999999994" customHeight="1">
      <c r="A795" s="927">
        <v>287</v>
      </c>
      <c r="B795" s="868" t="s">
        <v>1514</v>
      </c>
      <c r="C795" s="925">
        <f t="shared" si="169"/>
        <v>1967908</v>
      </c>
      <c r="D795" s="925">
        <f t="shared" si="170"/>
        <v>0</v>
      </c>
      <c r="E795" s="925">
        <v>0</v>
      </c>
      <c r="F795" s="925">
        <v>0</v>
      </c>
      <c r="G795" s="925">
        <v>0</v>
      </c>
      <c r="H795" s="925">
        <v>0</v>
      </c>
      <c r="I795" s="925">
        <v>0</v>
      </c>
      <c r="J795" s="925">
        <v>0</v>
      </c>
      <c r="K795" s="861">
        <v>0</v>
      </c>
      <c r="L795" s="925">
        <v>0</v>
      </c>
      <c r="M795" s="925">
        <v>0</v>
      </c>
      <c r="N795" s="925">
        <v>0</v>
      </c>
      <c r="O795" s="925">
        <v>493.3</v>
      </c>
      <c r="P795" s="925">
        <v>1824969</v>
      </c>
      <c r="Q795" s="925">
        <v>0</v>
      </c>
      <c r="R795" s="925">
        <v>0</v>
      </c>
      <c r="S795" s="925">
        <v>0</v>
      </c>
      <c r="T795" s="925">
        <v>0</v>
      </c>
      <c r="U795" s="925">
        <v>0</v>
      </c>
      <c r="V795" s="925">
        <v>0</v>
      </c>
      <c r="W795" s="925">
        <v>0</v>
      </c>
      <c r="X795" s="925">
        <v>0</v>
      </c>
      <c r="Y795" s="925">
        <v>0</v>
      </c>
      <c r="Z795" s="921">
        <v>142939</v>
      </c>
      <c r="AA795" s="925">
        <v>0</v>
      </c>
    </row>
    <row r="796" spans="1:27" s="867" customFormat="1" ht="90.75" customHeight="1">
      <c r="A796" s="927">
        <v>288</v>
      </c>
      <c r="B796" s="868" t="s">
        <v>2250</v>
      </c>
      <c r="C796" s="925">
        <f t="shared" si="169"/>
        <v>5804112.5599999996</v>
      </c>
      <c r="D796" s="925">
        <f t="shared" si="170"/>
        <v>0</v>
      </c>
      <c r="E796" s="925">
        <v>0</v>
      </c>
      <c r="F796" s="925">
        <v>0</v>
      </c>
      <c r="G796" s="925">
        <v>0</v>
      </c>
      <c r="H796" s="925">
        <v>0</v>
      </c>
      <c r="I796" s="925">
        <v>0</v>
      </c>
      <c r="J796" s="925">
        <v>0</v>
      </c>
      <c r="K796" s="861">
        <v>0</v>
      </c>
      <c r="L796" s="925">
        <v>0</v>
      </c>
      <c r="M796" s="925">
        <v>0</v>
      </c>
      <c r="N796" s="925">
        <v>0</v>
      </c>
      <c r="O796" s="925">
        <v>839</v>
      </c>
      <c r="P796" s="925">
        <v>5382531.8399999999</v>
      </c>
      <c r="Q796" s="925">
        <v>0</v>
      </c>
      <c r="R796" s="925">
        <v>0</v>
      </c>
      <c r="S796" s="925">
        <v>0</v>
      </c>
      <c r="T796" s="925">
        <v>0</v>
      </c>
      <c r="U796" s="925">
        <v>0</v>
      </c>
      <c r="V796" s="925">
        <v>0</v>
      </c>
      <c r="W796" s="925">
        <v>0</v>
      </c>
      <c r="X796" s="925">
        <v>0</v>
      </c>
      <c r="Y796" s="925">
        <v>0</v>
      </c>
      <c r="Z796" s="921">
        <v>421580.72</v>
      </c>
      <c r="AA796" s="925">
        <v>0</v>
      </c>
    </row>
    <row r="797" spans="1:27" s="867" customFormat="1" ht="79.5" customHeight="1">
      <c r="A797" s="927">
        <v>289</v>
      </c>
      <c r="B797" s="868" t="s">
        <v>1516</v>
      </c>
      <c r="C797" s="925">
        <f>D797+N797+P797+R797+T797+X797+Z797</f>
        <v>2037865</v>
      </c>
      <c r="D797" s="925">
        <f>SUM(E797:J797)</f>
        <v>0</v>
      </c>
      <c r="E797" s="925">
        <v>0</v>
      </c>
      <c r="F797" s="925">
        <v>0</v>
      </c>
      <c r="G797" s="925">
        <v>0</v>
      </c>
      <c r="H797" s="925">
        <v>0</v>
      </c>
      <c r="I797" s="925">
        <v>0</v>
      </c>
      <c r="J797" s="925">
        <v>0</v>
      </c>
      <c r="K797" s="861">
        <v>0</v>
      </c>
      <c r="L797" s="925">
        <v>0</v>
      </c>
      <c r="M797" s="925">
        <v>0</v>
      </c>
      <c r="N797" s="925">
        <v>0</v>
      </c>
      <c r="O797" s="925">
        <v>750</v>
      </c>
      <c r="P797" s="925">
        <v>1889845</v>
      </c>
      <c r="Q797" s="925">
        <v>0</v>
      </c>
      <c r="R797" s="925">
        <v>0</v>
      </c>
      <c r="S797" s="925">
        <v>0</v>
      </c>
      <c r="T797" s="925">
        <v>0</v>
      </c>
      <c r="U797" s="925">
        <v>0</v>
      </c>
      <c r="V797" s="925">
        <v>0</v>
      </c>
      <c r="W797" s="925">
        <v>0</v>
      </c>
      <c r="X797" s="925">
        <v>0</v>
      </c>
      <c r="Y797" s="925">
        <v>0</v>
      </c>
      <c r="Z797" s="921">
        <v>148020</v>
      </c>
      <c r="AA797" s="925">
        <v>0</v>
      </c>
    </row>
    <row r="798" spans="1:27" s="867" customFormat="1" ht="82.5" customHeight="1">
      <c r="A798" s="927">
        <v>290</v>
      </c>
      <c r="B798" s="868" t="s">
        <v>1517</v>
      </c>
      <c r="C798" s="925">
        <f>D798+N798+P798+R798+T798+X798+Z798</f>
        <v>2587273</v>
      </c>
      <c r="D798" s="925">
        <f>SUM(E798:J798)</f>
        <v>0</v>
      </c>
      <c r="E798" s="925">
        <v>0</v>
      </c>
      <c r="F798" s="925">
        <v>0</v>
      </c>
      <c r="G798" s="925">
        <v>0</v>
      </c>
      <c r="H798" s="925">
        <v>0</v>
      </c>
      <c r="I798" s="925">
        <v>0</v>
      </c>
      <c r="J798" s="925">
        <v>0</v>
      </c>
      <c r="K798" s="861">
        <v>0</v>
      </c>
      <c r="L798" s="925">
        <v>0</v>
      </c>
      <c r="M798" s="925">
        <v>0</v>
      </c>
      <c r="N798" s="925">
        <v>0</v>
      </c>
      <c r="O798" s="925">
        <v>952.2</v>
      </c>
      <c r="P798" s="925">
        <v>2399347</v>
      </c>
      <c r="Q798" s="925">
        <v>0</v>
      </c>
      <c r="R798" s="925">
        <v>0</v>
      </c>
      <c r="S798" s="925">
        <v>0</v>
      </c>
      <c r="T798" s="925">
        <v>0</v>
      </c>
      <c r="U798" s="925">
        <v>0</v>
      </c>
      <c r="V798" s="925">
        <v>0</v>
      </c>
      <c r="W798" s="925">
        <v>0</v>
      </c>
      <c r="X798" s="925">
        <v>0</v>
      </c>
      <c r="Y798" s="925">
        <v>0</v>
      </c>
      <c r="Z798" s="921">
        <v>187926</v>
      </c>
      <c r="AA798" s="925">
        <v>0</v>
      </c>
    </row>
    <row r="799" spans="1:27" s="867" customFormat="1" ht="99" customHeight="1">
      <c r="A799" s="927">
        <v>291</v>
      </c>
      <c r="B799" s="868" t="s">
        <v>1518</v>
      </c>
      <c r="C799" s="925">
        <f>D799+N799+P799+R799+T799+X799+Z799+AA799</f>
        <v>647870</v>
      </c>
      <c r="D799" s="925">
        <f>SUM(E799:J799)</f>
        <v>0</v>
      </c>
      <c r="E799" s="925">
        <v>0</v>
      </c>
      <c r="F799" s="925">
        <v>0</v>
      </c>
      <c r="G799" s="925">
        <v>0</v>
      </c>
      <c r="H799" s="925">
        <v>0</v>
      </c>
      <c r="I799" s="925">
        <v>0</v>
      </c>
      <c r="J799" s="925">
        <v>0</v>
      </c>
      <c r="K799" s="861">
        <v>0</v>
      </c>
      <c r="L799" s="925">
        <v>0</v>
      </c>
      <c r="M799" s="925">
        <v>0</v>
      </c>
      <c r="N799" s="925">
        <v>0</v>
      </c>
      <c r="O799" s="925">
        <v>0</v>
      </c>
      <c r="P799" s="925">
        <v>0</v>
      </c>
      <c r="Q799" s="925">
        <v>0</v>
      </c>
      <c r="R799" s="925">
        <v>0</v>
      </c>
      <c r="S799" s="925">
        <v>186</v>
      </c>
      <c r="T799" s="925">
        <v>458993</v>
      </c>
      <c r="U799" s="925">
        <v>0</v>
      </c>
      <c r="V799" s="925">
        <v>0</v>
      </c>
      <c r="W799" s="925">
        <v>0</v>
      </c>
      <c r="X799" s="925">
        <v>0</v>
      </c>
      <c r="Y799" s="925">
        <v>0</v>
      </c>
      <c r="Z799" s="921">
        <v>35950</v>
      </c>
      <c r="AA799" s="925">
        <v>152927</v>
      </c>
    </row>
    <row r="800" spans="1:27" s="867" customFormat="1" ht="82.5" customHeight="1">
      <c r="A800" s="927">
        <v>292</v>
      </c>
      <c r="B800" s="868" t="s">
        <v>1519</v>
      </c>
      <c r="C800" s="925">
        <f>D800+N800+P800+R800+T800+X800+Z800</f>
        <v>67897</v>
      </c>
      <c r="D800" s="925">
        <f>SUM(E800:J800)</f>
        <v>0</v>
      </c>
      <c r="E800" s="925">
        <v>0</v>
      </c>
      <c r="F800" s="925">
        <v>0</v>
      </c>
      <c r="G800" s="925">
        <v>0</v>
      </c>
      <c r="H800" s="925">
        <v>0</v>
      </c>
      <c r="I800" s="925">
        <v>0</v>
      </c>
      <c r="J800" s="925">
        <v>0</v>
      </c>
      <c r="K800" s="861">
        <v>0</v>
      </c>
      <c r="L800" s="925">
        <v>0</v>
      </c>
      <c r="M800" s="925">
        <v>0</v>
      </c>
      <c r="N800" s="925">
        <v>0</v>
      </c>
      <c r="O800" s="925"/>
      <c r="P800" s="925">
        <v>0</v>
      </c>
      <c r="Q800" s="925">
        <v>0</v>
      </c>
      <c r="R800" s="925">
        <v>0</v>
      </c>
      <c r="S800" s="925">
        <v>0</v>
      </c>
      <c r="T800" s="925">
        <v>0</v>
      </c>
      <c r="U800" s="925">
        <v>0</v>
      </c>
      <c r="V800" s="925">
        <v>0</v>
      </c>
      <c r="W800" s="925">
        <v>0</v>
      </c>
      <c r="X800" s="925">
        <v>0</v>
      </c>
      <c r="Y800" s="925">
        <v>0</v>
      </c>
      <c r="Z800" s="921">
        <v>67897</v>
      </c>
      <c r="AA800" s="925">
        <v>0</v>
      </c>
    </row>
    <row r="801" spans="1:27" s="867" customFormat="1" ht="100.5" customHeight="1">
      <c r="A801" s="927">
        <v>293</v>
      </c>
      <c r="B801" s="868" t="s">
        <v>1509</v>
      </c>
      <c r="C801" s="925">
        <f>D801+N801+P801+R801+T801+X801+Z801</f>
        <v>53033</v>
      </c>
      <c r="D801" s="925">
        <f>SUM(E801:J801)</f>
        <v>0</v>
      </c>
      <c r="E801" s="925">
        <v>0</v>
      </c>
      <c r="F801" s="925">
        <v>0</v>
      </c>
      <c r="G801" s="925">
        <v>0</v>
      </c>
      <c r="H801" s="925">
        <v>0</v>
      </c>
      <c r="I801" s="925">
        <v>0</v>
      </c>
      <c r="J801" s="925">
        <v>0</v>
      </c>
      <c r="K801" s="861">
        <v>0</v>
      </c>
      <c r="L801" s="925">
        <v>0</v>
      </c>
      <c r="M801" s="925">
        <v>0</v>
      </c>
      <c r="N801" s="925">
        <v>0</v>
      </c>
      <c r="O801" s="925">
        <v>0</v>
      </c>
      <c r="P801" s="925">
        <v>0</v>
      </c>
      <c r="Q801" s="925">
        <v>0</v>
      </c>
      <c r="R801" s="925">
        <v>0</v>
      </c>
      <c r="S801" s="925">
        <v>0</v>
      </c>
      <c r="T801" s="925">
        <v>0</v>
      </c>
      <c r="U801" s="925">
        <v>0</v>
      </c>
      <c r="V801" s="925">
        <v>0</v>
      </c>
      <c r="W801" s="925">
        <v>0</v>
      </c>
      <c r="X801" s="925">
        <v>0</v>
      </c>
      <c r="Y801" s="925">
        <v>0</v>
      </c>
      <c r="Z801" s="921">
        <v>53033</v>
      </c>
      <c r="AA801" s="925">
        <v>0</v>
      </c>
    </row>
    <row r="802" spans="1:27" s="867" customFormat="1" ht="102" customHeight="1">
      <c r="A802" s="927">
        <v>294</v>
      </c>
      <c r="B802" s="863" t="s">
        <v>1800</v>
      </c>
      <c r="C802" s="925">
        <v>183334</v>
      </c>
      <c r="D802" s="925">
        <v>0</v>
      </c>
      <c r="E802" s="925">
        <v>0</v>
      </c>
      <c r="F802" s="925">
        <v>0</v>
      </c>
      <c r="G802" s="925">
        <v>0</v>
      </c>
      <c r="H802" s="925">
        <v>0</v>
      </c>
      <c r="I802" s="925">
        <v>0</v>
      </c>
      <c r="J802" s="925">
        <v>0</v>
      </c>
      <c r="K802" s="861">
        <v>0</v>
      </c>
      <c r="L802" s="925">
        <v>0</v>
      </c>
      <c r="M802" s="925">
        <v>0</v>
      </c>
      <c r="N802" s="925">
        <v>0</v>
      </c>
      <c r="O802" s="925">
        <v>0</v>
      </c>
      <c r="P802" s="925">
        <v>0</v>
      </c>
      <c r="Q802" s="925">
        <v>0</v>
      </c>
      <c r="R802" s="925">
        <v>0</v>
      </c>
      <c r="S802" s="925">
        <v>0</v>
      </c>
      <c r="T802" s="925">
        <v>0</v>
      </c>
      <c r="U802" s="925">
        <v>0</v>
      </c>
      <c r="V802" s="925">
        <v>0</v>
      </c>
      <c r="W802" s="925">
        <v>0</v>
      </c>
      <c r="X802" s="925">
        <v>0</v>
      </c>
      <c r="Y802" s="925">
        <v>0</v>
      </c>
      <c r="Z802" s="921">
        <v>183334</v>
      </c>
      <c r="AA802" s="925">
        <v>0</v>
      </c>
    </row>
    <row r="803" spans="1:27" s="867" customFormat="1" ht="102" customHeight="1">
      <c r="A803" s="927">
        <v>295</v>
      </c>
      <c r="B803" s="863" t="s">
        <v>1806</v>
      </c>
      <c r="C803" s="925">
        <f>D803+N803+P803+R803+T803+X803+Z803</f>
        <v>5146097.6500000004</v>
      </c>
      <c r="D803" s="925">
        <f>SUM(E803:J803)</f>
        <v>0</v>
      </c>
      <c r="E803" s="925">
        <v>0</v>
      </c>
      <c r="F803" s="925">
        <v>0</v>
      </c>
      <c r="G803" s="925">
        <v>0</v>
      </c>
      <c r="H803" s="925">
        <v>0</v>
      </c>
      <c r="I803" s="925">
        <v>0</v>
      </c>
      <c r="J803" s="925">
        <v>0</v>
      </c>
      <c r="K803" s="861">
        <v>0</v>
      </c>
      <c r="L803" s="925">
        <v>0</v>
      </c>
      <c r="M803" s="925">
        <v>0</v>
      </c>
      <c r="N803" s="925">
        <v>0</v>
      </c>
      <c r="O803" s="925">
        <v>592</v>
      </c>
      <c r="P803" s="925">
        <v>4976587.6500000004</v>
      </c>
      <c r="Q803" s="925">
        <v>0</v>
      </c>
      <c r="R803" s="925">
        <v>0</v>
      </c>
      <c r="S803" s="925">
        <v>0</v>
      </c>
      <c r="T803" s="925">
        <v>0</v>
      </c>
      <c r="U803" s="925">
        <v>0</v>
      </c>
      <c r="V803" s="925">
        <v>0</v>
      </c>
      <c r="W803" s="925">
        <v>0</v>
      </c>
      <c r="X803" s="925">
        <v>0</v>
      </c>
      <c r="Y803" s="925">
        <v>0</v>
      </c>
      <c r="Z803" s="921">
        <v>169510</v>
      </c>
      <c r="AA803" s="925">
        <v>0</v>
      </c>
    </row>
    <row r="804" spans="1:27" s="867" customFormat="1" ht="92.45" customHeight="1">
      <c r="A804" s="1198" t="s">
        <v>1052</v>
      </c>
      <c r="B804" s="1199"/>
      <c r="C804" s="925">
        <f t="shared" ref="C804:T804" si="171">SUM(C805:C807)</f>
        <v>11138273.600000001</v>
      </c>
      <c r="D804" s="925">
        <f t="shared" si="171"/>
        <v>0</v>
      </c>
      <c r="E804" s="925">
        <f t="shared" si="171"/>
        <v>0</v>
      </c>
      <c r="F804" s="925">
        <f t="shared" si="171"/>
        <v>0</v>
      </c>
      <c r="G804" s="925">
        <f t="shared" si="171"/>
        <v>0</v>
      </c>
      <c r="H804" s="925">
        <f t="shared" si="171"/>
        <v>0</v>
      </c>
      <c r="I804" s="925">
        <f t="shared" si="171"/>
        <v>0</v>
      </c>
      <c r="J804" s="925">
        <f t="shared" si="171"/>
        <v>0</v>
      </c>
      <c r="K804" s="861">
        <f t="shared" si="171"/>
        <v>0</v>
      </c>
      <c r="L804" s="925">
        <f t="shared" si="171"/>
        <v>0</v>
      </c>
      <c r="M804" s="925">
        <f t="shared" si="171"/>
        <v>0</v>
      </c>
      <c r="N804" s="925">
        <f t="shared" si="171"/>
        <v>0</v>
      </c>
      <c r="O804" s="925">
        <f t="shared" si="171"/>
        <v>1340</v>
      </c>
      <c r="P804" s="925">
        <f t="shared" si="171"/>
        <v>8596653.9600000009</v>
      </c>
      <c r="Q804" s="925">
        <f t="shared" si="171"/>
        <v>0</v>
      </c>
      <c r="R804" s="925">
        <f t="shared" si="171"/>
        <v>0</v>
      </c>
      <c r="S804" s="925">
        <f t="shared" si="171"/>
        <v>534.94000000000005</v>
      </c>
      <c r="T804" s="925">
        <f t="shared" si="171"/>
        <v>2111788.52</v>
      </c>
      <c r="U804" s="925">
        <v>0</v>
      </c>
      <c r="V804" s="925">
        <v>0</v>
      </c>
      <c r="W804" s="925">
        <f>SUM(W805:W807)</f>
        <v>0</v>
      </c>
      <c r="X804" s="925">
        <f>SUM(X805:X807)</f>
        <v>0</v>
      </c>
      <c r="Y804" s="925">
        <v>0</v>
      </c>
      <c r="Z804" s="921">
        <f>SUM(Z805:Z807)</f>
        <v>429831.12</v>
      </c>
      <c r="AA804" s="925">
        <f>SUM(AA805:AA807)</f>
        <v>0</v>
      </c>
    </row>
    <row r="805" spans="1:27" s="867" customFormat="1" ht="90.75" customHeight="1">
      <c r="A805" s="927">
        <v>296</v>
      </c>
      <c r="B805" s="863" t="s">
        <v>1486</v>
      </c>
      <c r="C805" s="925">
        <f>D805+N805+P805+R805+T805+X805+Z805</f>
        <v>2800229.35</v>
      </c>
      <c r="D805" s="925">
        <f>SUM(E805:J805)</f>
        <v>0</v>
      </c>
      <c r="E805" s="925">
        <v>0</v>
      </c>
      <c r="F805" s="925">
        <v>0</v>
      </c>
      <c r="G805" s="925">
        <v>0</v>
      </c>
      <c r="H805" s="925">
        <v>0</v>
      </c>
      <c r="I805" s="925">
        <v>0</v>
      </c>
      <c r="J805" s="925">
        <v>0</v>
      </c>
      <c r="K805" s="861">
        <v>0</v>
      </c>
      <c r="L805" s="925">
        <v>0</v>
      </c>
      <c r="M805" s="925">
        <v>0</v>
      </c>
      <c r="N805" s="925">
        <v>0</v>
      </c>
      <c r="O805" s="925">
        <v>420</v>
      </c>
      <c r="P805" s="925">
        <v>2694473.63</v>
      </c>
      <c r="Q805" s="925">
        <v>0</v>
      </c>
      <c r="R805" s="925">
        <v>0</v>
      </c>
      <c r="S805" s="925">
        <v>0</v>
      </c>
      <c r="T805" s="925">
        <v>0</v>
      </c>
      <c r="U805" s="925">
        <v>0</v>
      </c>
      <c r="V805" s="925">
        <v>0</v>
      </c>
      <c r="W805" s="925">
        <v>0</v>
      </c>
      <c r="X805" s="925">
        <v>0</v>
      </c>
      <c r="Y805" s="925">
        <v>0</v>
      </c>
      <c r="Z805" s="921">
        <v>105755.72</v>
      </c>
      <c r="AA805" s="925">
        <v>0</v>
      </c>
    </row>
    <row r="806" spans="1:27" s="867" customFormat="1" ht="100.15" customHeight="1">
      <c r="A806" s="927">
        <v>297</v>
      </c>
      <c r="B806" s="863" t="s">
        <v>1151</v>
      </c>
      <c r="C806" s="925">
        <f>D806+N806+P806+R806+T806+X806+Z806</f>
        <v>2215840.4500000002</v>
      </c>
      <c r="D806" s="925">
        <f>SUM(E806:J806)</f>
        <v>0</v>
      </c>
      <c r="E806" s="925">
        <v>0</v>
      </c>
      <c r="F806" s="925">
        <v>0</v>
      </c>
      <c r="G806" s="925">
        <v>0</v>
      </c>
      <c r="H806" s="925">
        <v>0</v>
      </c>
      <c r="I806" s="925">
        <v>0</v>
      </c>
      <c r="J806" s="925">
        <v>0</v>
      </c>
      <c r="K806" s="861">
        <v>0</v>
      </c>
      <c r="L806" s="925">
        <v>0</v>
      </c>
      <c r="M806" s="925">
        <v>0</v>
      </c>
      <c r="N806" s="925">
        <v>0</v>
      </c>
      <c r="O806" s="925">
        <v>0</v>
      </c>
      <c r="P806" s="925">
        <v>0</v>
      </c>
      <c r="Q806" s="925">
        <v>0</v>
      </c>
      <c r="R806" s="925">
        <v>0</v>
      </c>
      <c r="S806" s="925">
        <v>534.94000000000005</v>
      </c>
      <c r="T806" s="925">
        <v>2111788.52</v>
      </c>
      <c r="U806" s="925">
        <v>0</v>
      </c>
      <c r="V806" s="925">
        <v>0</v>
      </c>
      <c r="W806" s="925">
        <v>0</v>
      </c>
      <c r="X806" s="925">
        <v>0</v>
      </c>
      <c r="Y806" s="925">
        <v>0</v>
      </c>
      <c r="Z806" s="921">
        <v>104051.93</v>
      </c>
      <c r="AA806" s="925">
        <v>0</v>
      </c>
    </row>
    <row r="807" spans="1:27" s="867" customFormat="1" ht="93" customHeight="1">
      <c r="A807" s="927">
        <v>298</v>
      </c>
      <c r="B807" s="863" t="s">
        <v>1152</v>
      </c>
      <c r="C807" s="925">
        <f>D807+N807+P807+R807+T807+X807+Z807</f>
        <v>6122203.7999999998</v>
      </c>
      <c r="D807" s="925">
        <f>SUM(E807:J807)</f>
        <v>0</v>
      </c>
      <c r="E807" s="925">
        <v>0</v>
      </c>
      <c r="F807" s="925">
        <v>0</v>
      </c>
      <c r="G807" s="925">
        <v>0</v>
      </c>
      <c r="H807" s="925">
        <v>0</v>
      </c>
      <c r="I807" s="925">
        <v>0</v>
      </c>
      <c r="J807" s="925">
        <v>0</v>
      </c>
      <c r="K807" s="861">
        <v>0</v>
      </c>
      <c r="L807" s="925">
        <v>0</v>
      </c>
      <c r="M807" s="925">
        <v>0</v>
      </c>
      <c r="N807" s="925">
        <v>0</v>
      </c>
      <c r="O807" s="925">
        <v>920</v>
      </c>
      <c r="P807" s="925">
        <v>5902180.3300000001</v>
      </c>
      <c r="Q807" s="925">
        <v>0</v>
      </c>
      <c r="R807" s="925">
        <v>0</v>
      </c>
      <c r="S807" s="925">
        <v>0</v>
      </c>
      <c r="T807" s="925">
        <v>0</v>
      </c>
      <c r="U807" s="925">
        <v>0</v>
      </c>
      <c r="V807" s="925">
        <v>0</v>
      </c>
      <c r="W807" s="925">
        <v>0</v>
      </c>
      <c r="X807" s="925">
        <v>0</v>
      </c>
      <c r="Y807" s="925">
        <v>0</v>
      </c>
      <c r="Z807" s="921">
        <v>220023.47</v>
      </c>
      <c r="AA807" s="925">
        <v>0</v>
      </c>
    </row>
    <row r="808" spans="1:27" s="867" customFormat="1" ht="95.45" customHeight="1">
      <c r="A808" s="1198" t="s">
        <v>1236</v>
      </c>
      <c r="B808" s="1199"/>
      <c r="C808" s="925">
        <f>C809+C810+C811</f>
        <v>7060927.3000000007</v>
      </c>
      <c r="D808" s="925">
        <f t="shared" ref="D808:AA808" si="172">D809+D810+D811</f>
        <v>2493039.66</v>
      </c>
      <c r="E808" s="925">
        <f t="shared" si="172"/>
        <v>0</v>
      </c>
      <c r="F808" s="925">
        <f t="shared" si="172"/>
        <v>2493039.66</v>
      </c>
      <c r="G808" s="925">
        <f t="shared" si="172"/>
        <v>0</v>
      </c>
      <c r="H808" s="925">
        <f t="shared" si="172"/>
        <v>0</v>
      </c>
      <c r="I808" s="925">
        <f t="shared" si="172"/>
        <v>0</v>
      </c>
      <c r="J808" s="925">
        <f t="shared" si="172"/>
        <v>0</v>
      </c>
      <c r="K808" s="861">
        <f t="shared" si="172"/>
        <v>0</v>
      </c>
      <c r="L808" s="925">
        <f t="shared" si="172"/>
        <v>0</v>
      </c>
      <c r="M808" s="925">
        <f t="shared" si="172"/>
        <v>0</v>
      </c>
      <c r="N808" s="925">
        <f t="shared" si="172"/>
        <v>0</v>
      </c>
      <c r="O808" s="925">
        <f t="shared" si="172"/>
        <v>1047</v>
      </c>
      <c r="P808" s="925">
        <f t="shared" si="172"/>
        <v>4130087.93</v>
      </c>
      <c r="Q808" s="925">
        <f t="shared" si="172"/>
        <v>0</v>
      </c>
      <c r="R808" s="925">
        <f t="shared" si="172"/>
        <v>0</v>
      </c>
      <c r="S808" s="925">
        <f t="shared" si="172"/>
        <v>0</v>
      </c>
      <c r="T808" s="925">
        <f t="shared" si="172"/>
        <v>0</v>
      </c>
      <c r="U808" s="925">
        <f t="shared" si="172"/>
        <v>0</v>
      </c>
      <c r="V808" s="925">
        <f t="shared" si="172"/>
        <v>0</v>
      </c>
      <c r="W808" s="925">
        <f t="shared" si="172"/>
        <v>0</v>
      </c>
      <c r="X808" s="925">
        <f t="shared" si="172"/>
        <v>0</v>
      </c>
      <c r="Y808" s="925">
        <f t="shared" si="172"/>
        <v>0</v>
      </c>
      <c r="Z808" s="921">
        <f t="shared" si="172"/>
        <v>437799.71</v>
      </c>
      <c r="AA808" s="925">
        <f t="shared" si="172"/>
        <v>0</v>
      </c>
    </row>
    <row r="809" spans="1:27" s="867" customFormat="1" ht="130.9" customHeight="1">
      <c r="A809" s="927">
        <v>299</v>
      </c>
      <c r="B809" s="863" t="s">
        <v>2251</v>
      </c>
      <c r="C809" s="925">
        <f>D809+N809+P809+R809+T809+X809+Z809</f>
        <v>1415265</v>
      </c>
      <c r="D809" s="925">
        <f>SUM(E809:J809)</f>
        <v>0</v>
      </c>
      <c r="E809" s="925">
        <v>0</v>
      </c>
      <c r="F809" s="925">
        <v>0</v>
      </c>
      <c r="G809" s="925">
        <v>0</v>
      </c>
      <c r="H809" s="925">
        <v>0</v>
      </c>
      <c r="I809" s="925">
        <v>0</v>
      </c>
      <c r="J809" s="925">
        <v>0</v>
      </c>
      <c r="K809" s="861">
        <v>0</v>
      </c>
      <c r="L809" s="925">
        <v>0</v>
      </c>
      <c r="M809" s="925">
        <v>0</v>
      </c>
      <c r="N809" s="925">
        <v>0</v>
      </c>
      <c r="O809" s="925">
        <v>457</v>
      </c>
      <c r="P809" s="925">
        <v>1387537</v>
      </c>
      <c r="Q809" s="925">
        <v>0</v>
      </c>
      <c r="R809" s="925">
        <v>0</v>
      </c>
      <c r="S809" s="925">
        <v>0</v>
      </c>
      <c r="T809" s="925">
        <v>0</v>
      </c>
      <c r="U809" s="925">
        <v>0</v>
      </c>
      <c r="V809" s="925">
        <v>0</v>
      </c>
      <c r="W809" s="925">
        <v>0</v>
      </c>
      <c r="X809" s="925">
        <v>0</v>
      </c>
      <c r="Y809" s="925">
        <v>0</v>
      </c>
      <c r="Z809" s="921">
        <v>27728</v>
      </c>
      <c r="AA809" s="925">
        <v>0</v>
      </c>
    </row>
    <row r="810" spans="1:27" s="867" customFormat="1" ht="106.9" customHeight="1">
      <c r="A810" s="927">
        <v>300</v>
      </c>
      <c r="B810" s="863" t="s">
        <v>1342</v>
      </c>
      <c r="C810" s="925">
        <f>D810+N810+P810+R810+T810+X810+Z810</f>
        <v>2957358.1300000004</v>
      </c>
      <c r="D810" s="925">
        <f>SUM(E810:J810)</f>
        <v>0</v>
      </c>
      <c r="E810" s="925">
        <v>0</v>
      </c>
      <c r="F810" s="925">
        <v>0</v>
      </c>
      <c r="G810" s="925">
        <v>0</v>
      </c>
      <c r="H810" s="925">
        <v>0</v>
      </c>
      <c r="I810" s="925">
        <v>0</v>
      </c>
      <c r="J810" s="925">
        <v>0</v>
      </c>
      <c r="K810" s="861">
        <v>0</v>
      </c>
      <c r="L810" s="925">
        <v>0</v>
      </c>
      <c r="M810" s="925">
        <v>0</v>
      </c>
      <c r="N810" s="925">
        <v>0</v>
      </c>
      <c r="O810" s="925">
        <v>590</v>
      </c>
      <c r="P810" s="925">
        <v>2742550.93</v>
      </c>
      <c r="Q810" s="925">
        <v>0</v>
      </c>
      <c r="R810" s="925">
        <v>0</v>
      </c>
      <c r="S810" s="925">
        <v>0</v>
      </c>
      <c r="T810" s="925">
        <v>0</v>
      </c>
      <c r="U810" s="925">
        <v>0</v>
      </c>
      <c r="V810" s="925">
        <v>0</v>
      </c>
      <c r="W810" s="925">
        <v>0</v>
      </c>
      <c r="X810" s="925">
        <v>0</v>
      </c>
      <c r="Y810" s="925">
        <v>0</v>
      </c>
      <c r="Z810" s="921">
        <v>214807.2</v>
      </c>
      <c r="AA810" s="925">
        <v>0</v>
      </c>
    </row>
    <row r="811" spans="1:27" s="867" customFormat="1" ht="121.15" customHeight="1">
      <c r="A811" s="927">
        <v>301</v>
      </c>
      <c r="B811" s="863" t="s">
        <v>1242</v>
      </c>
      <c r="C811" s="925">
        <f>D811+N811+P811+R811+T811+X811+Z811</f>
        <v>2688304.17</v>
      </c>
      <c r="D811" s="925">
        <f>SUM(E811:J811)</f>
        <v>2493039.66</v>
      </c>
      <c r="E811" s="925">
        <v>0</v>
      </c>
      <c r="F811" s="925">
        <v>2493039.66</v>
      </c>
      <c r="G811" s="925">
        <v>0</v>
      </c>
      <c r="H811" s="925">
        <v>0</v>
      </c>
      <c r="I811" s="925">
        <v>0</v>
      </c>
      <c r="J811" s="925">
        <v>0</v>
      </c>
      <c r="K811" s="861">
        <v>0</v>
      </c>
      <c r="L811" s="925">
        <v>0</v>
      </c>
      <c r="M811" s="925">
        <v>0</v>
      </c>
      <c r="N811" s="925">
        <v>0</v>
      </c>
      <c r="O811" s="925">
        <v>0</v>
      </c>
      <c r="P811" s="925">
        <v>0</v>
      </c>
      <c r="Q811" s="925">
        <v>0</v>
      </c>
      <c r="R811" s="925">
        <v>0</v>
      </c>
      <c r="S811" s="925">
        <v>0</v>
      </c>
      <c r="T811" s="925">
        <v>0</v>
      </c>
      <c r="U811" s="925">
        <v>0</v>
      </c>
      <c r="V811" s="925">
        <v>0</v>
      </c>
      <c r="W811" s="925">
        <v>0</v>
      </c>
      <c r="X811" s="925">
        <v>0</v>
      </c>
      <c r="Y811" s="925">
        <v>0</v>
      </c>
      <c r="Z811" s="921">
        <v>195264.51</v>
      </c>
      <c r="AA811" s="925">
        <v>0</v>
      </c>
    </row>
    <row r="812" spans="1:27" s="867" customFormat="1" ht="93" customHeight="1">
      <c r="A812" s="1198" t="s">
        <v>1056</v>
      </c>
      <c r="B812" s="1199"/>
      <c r="C812" s="925">
        <f t="shared" ref="C812:T812" si="173">SUM(C813:C818)</f>
        <v>18536911</v>
      </c>
      <c r="D812" s="925">
        <f t="shared" si="173"/>
        <v>640110.46</v>
      </c>
      <c r="E812" s="925">
        <f t="shared" si="173"/>
        <v>640110.46</v>
      </c>
      <c r="F812" s="925">
        <f t="shared" si="173"/>
        <v>0</v>
      </c>
      <c r="G812" s="925">
        <f t="shared" si="173"/>
        <v>0</v>
      </c>
      <c r="H812" s="925">
        <f t="shared" si="173"/>
        <v>0</v>
      </c>
      <c r="I812" s="925">
        <f t="shared" si="173"/>
        <v>0</v>
      </c>
      <c r="J812" s="925">
        <f t="shared" si="173"/>
        <v>0</v>
      </c>
      <c r="K812" s="861">
        <f t="shared" si="173"/>
        <v>0</v>
      </c>
      <c r="L812" s="925">
        <f t="shared" si="173"/>
        <v>0</v>
      </c>
      <c r="M812" s="925">
        <f t="shared" si="173"/>
        <v>0</v>
      </c>
      <c r="N812" s="925">
        <f t="shared" si="173"/>
        <v>0</v>
      </c>
      <c r="O812" s="925">
        <f t="shared" si="173"/>
        <v>3599</v>
      </c>
      <c r="P812" s="925">
        <f t="shared" si="173"/>
        <v>16908542.609999999</v>
      </c>
      <c r="Q812" s="925">
        <f t="shared" si="173"/>
        <v>0</v>
      </c>
      <c r="R812" s="925">
        <f t="shared" si="173"/>
        <v>0</v>
      </c>
      <c r="S812" s="925">
        <f t="shared" si="173"/>
        <v>0</v>
      </c>
      <c r="T812" s="925">
        <f t="shared" si="173"/>
        <v>0</v>
      </c>
      <c r="U812" s="925">
        <v>0</v>
      </c>
      <c r="V812" s="925">
        <v>0</v>
      </c>
      <c r="W812" s="925">
        <f>SUM(W813:W818)</f>
        <v>0</v>
      </c>
      <c r="X812" s="925">
        <f>SUM(X813:X818)</f>
        <v>0</v>
      </c>
      <c r="Y812" s="925">
        <v>0</v>
      </c>
      <c r="Z812" s="921">
        <f>SUM(Z813:Z818)</f>
        <v>988257.92999999993</v>
      </c>
      <c r="AA812" s="925">
        <f>SUM(AA813:AA818)</f>
        <v>0</v>
      </c>
    </row>
    <row r="813" spans="1:27" s="867" customFormat="1" ht="128.44999999999999" customHeight="1">
      <c r="A813" s="927">
        <v>302</v>
      </c>
      <c r="B813" s="868" t="s">
        <v>1161</v>
      </c>
      <c r="C813" s="925">
        <f t="shared" ref="C813:C818" si="174">D813+N813+P813+R813+T813+X813+Z813</f>
        <v>3066572.83</v>
      </c>
      <c r="D813" s="925">
        <f t="shared" ref="D813:D818" si="175">SUM(E813:J813)</f>
        <v>0</v>
      </c>
      <c r="E813" s="925">
        <v>0</v>
      </c>
      <c r="F813" s="925">
        <v>0</v>
      </c>
      <c r="G813" s="925">
        <v>0</v>
      </c>
      <c r="H813" s="925">
        <v>0</v>
      </c>
      <c r="I813" s="925">
        <v>0</v>
      </c>
      <c r="J813" s="925">
        <v>0</v>
      </c>
      <c r="K813" s="861">
        <v>0</v>
      </c>
      <c r="L813" s="925">
        <v>0</v>
      </c>
      <c r="M813" s="925">
        <v>0</v>
      </c>
      <c r="N813" s="925">
        <v>0</v>
      </c>
      <c r="O813" s="925">
        <v>599</v>
      </c>
      <c r="P813" s="925">
        <v>2948353.83</v>
      </c>
      <c r="Q813" s="925">
        <v>0</v>
      </c>
      <c r="R813" s="925">
        <v>0</v>
      </c>
      <c r="S813" s="925">
        <v>0</v>
      </c>
      <c r="T813" s="925">
        <v>0</v>
      </c>
      <c r="U813" s="925">
        <v>0</v>
      </c>
      <c r="V813" s="925">
        <v>0</v>
      </c>
      <c r="W813" s="925">
        <v>0</v>
      </c>
      <c r="X813" s="925">
        <v>0</v>
      </c>
      <c r="Y813" s="925">
        <v>0</v>
      </c>
      <c r="Z813" s="921">
        <v>118219</v>
      </c>
      <c r="AA813" s="925">
        <v>0</v>
      </c>
    </row>
    <row r="814" spans="1:27" s="867" customFormat="1" ht="109.15" customHeight="1">
      <c r="A814" s="927">
        <v>303</v>
      </c>
      <c r="B814" s="868" t="s">
        <v>1162</v>
      </c>
      <c r="C814" s="925">
        <f t="shared" si="174"/>
        <v>5176709.83</v>
      </c>
      <c r="D814" s="925">
        <f t="shared" si="175"/>
        <v>0</v>
      </c>
      <c r="E814" s="925">
        <v>0</v>
      </c>
      <c r="F814" s="925">
        <v>0</v>
      </c>
      <c r="G814" s="925">
        <v>0</v>
      </c>
      <c r="H814" s="925">
        <v>0</v>
      </c>
      <c r="I814" s="925">
        <v>0</v>
      </c>
      <c r="J814" s="925">
        <v>0</v>
      </c>
      <c r="K814" s="861">
        <v>0</v>
      </c>
      <c r="L814" s="925">
        <v>0</v>
      </c>
      <c r="M814" s="925">
        <v>0</v>
      </c>
      <c r="N814" s="925">
        <v>0</v>
      </c>
      <c r="O814" s="925">
        <v>650</v>
      </c>
      <c r="P814" s="925">
        <v>5054346.83</v>
      </c>
      <c r="Q814" s="925">
        <v>0</v>
      </c>
      <c r="R814" s="925">
        <v>0</v>
      </c>
      <c r="S814" s="925">
        <v>0</v>
      </c>
      <c r="T814" s="925">
        <v>0</v>
      </c>
      <c r="U814" s="925">
        <v>0</v>
      </c>
      <c r="V814" s="925">
        <v>0</v>
      </c>
      <c r="W814" s="925">
        <v>0</v>
      </c>
      <c r="X814" s="925">
        <v>0</v>
      </c>
      <c r="Y814" s="925">
        <v>0</v>
      </c>
      <c r="Z814" s="921">
        <v>122363</v>
      </c>
      <c r="AA814" s="925">
        <v>0</v>
      </c>
    </row>
    <row r="815" spans="1:27" s="867" customFormat="1" ht="104.45" customHeight="1">
      <c r="A815" s="927">
        <v>304</v>
      </c>
      <c r="B815" s="868" t="s">
        <v>1147</v>
      </c>
      <c r="C815" s="925">
        <f t="shared" si="174"/>
        <v>1961218.9200000002</v>
      </c>
      <c r="D815" s="925">
        <f t="shared" si="175"/>
        <v>0</v>
      </c>
      <c r="E815" s="925">
        <v>0</v>
      </c>
      <c r="F815" s="925">
        <v>0</v>
      </c>
      <c r="G815" s="925">
        <v>0</v>
      </c>
      <c r="H815" s="925">
        <v>0</v>
      </c>
      <c r="I815" s="925">
        <v>0</v>
      </c>
      <c r="J815" s="925">
        <v>0</v>
      </c>
      <c r="K815" s="861">
        <v>0</v>
      </c>
      <c r="L815" s="925">
        <v>0</v>
      </c>
      <c r="M815" s="925">
        <v>0</v>
      </c>
      <c r="N815" s="925">
        <v>0</v>
      </c>
      <c r="O815" s="925">
        <v>460</v>
      </c>
      <c r="P815" s="925">
        <v>1818766.12</v>
      </c>
      <c r="Q815" s="925">
        <v>0</v>
      </c>
      <c r="R815" s="925">
        <v>0</v>
      </c>
      <c r="S815" s="925">
        <v>0</v>
      </c>
      <c r="T815" s="925">
        <v>0</v>
      </c>
      <c r="U815" s="925">
        <v>0</v>
      </c>
      <c r="V815" s="925">
        <v>0</v>
      </c>
      <c r="W815" s="925">
        <v>0</v>
      </c>
      <c r="X815" s="925">
        <v>0</v>
      </c>
      <c r="Y815" s="925">
        <v>0</v>
      </c>
      <c r="Z815" s="921">
        <v>142452.79999999999</v>
      </c>
      <c r="AA815" s="925">
        <v>0</v>
      </c>
    </row>
    <row r="816" spans="1:27" s="867" customFormat="1" ht="90.6" customHeight="1">
      <c r="A816" s="927">
        <v>305</v>
      </c>
      <c r="B816" s="868" t="s">
        <v>1148</v>
      </c>
      <c r="C816" s="925">
        <f t="shared" si="174"/>
        <v>2856558</v>
      </c>
      <c r="D816" s="925">
        <f>SUM(E816:J816)</f>
        <v>0</v>
      </c>
      <c r="E816" s="925">
        <v>0</v>
      </c>
      <c r="F816" s="925">
        <v>0</v>
      </c>
      <c r="G816" s="925">
        <v>0</v>
      </c>
      <c r="H816" s="925">
        <v>0</v>
      </c>
      <c r="I816" s="925">
        <v>0</v>
      </c>
      <c r="J816" s="925">
        <v>0</v>
      </c>
      <c r="K816" s="861">
        <v>0</v>
      </c>
      <c r="L816" s="925">
        <v>0</v>
      </c>
      <c r="M816" s="925">
        <v>0</v>
      </c>
      <c r="N816" s="925">
        <v>0</v>
      </c>
      <c r="O816" s="925">
        <v>670</v>
      </c>
      <c r="P816" s="925">
        <v>2649072.4</v>
      </c>
      <c r="Q816" s="925">
        <v>0</v>
      </c>
      <c r="R816" s="925">
        <v>0</v>
      </c>
      <c r="S816" s="925">
        <v>0</v>
      </c>
      <c r="T816" s="925">
        <v>0</v>
      </c>
      <c r="U816" s="925">
        <v>0</v>
      </c>
      <c r="V816" s="925">
        <v>0</v>
      </c>
      <c r="W816" s="925">
        <v>0</v>
      </c>
      <c r="X816" s="925">
        <v>0</v>
      </c>
      <c r="Y816" s="925">
        <v>0</v>
      </c>
      <c r="Z816" s="921">
        <v>207485.6</v>
      </c>
      <c r="AA816" s="925">
        <v>0</v>
      </c>
    </row>
    <row r="817" spans="1:27" s="867" customFormat="1" ht="88.15" customHeight="1">
      <c r="A817" s="927">
        <v>306</v>
      </c>
      <c r="B817" s="868" t="s">
        <v>1153</v>
      </c>
      <c r="C817" s="925">
        <f t="shared" si="174"/>
        <v>3163087.64</v>
      </c>
      <c r="D817" s="925">
        <f t="shared" si="175"/>
        <v>640110.46</v>
      </c>
      <c r="E817" s="925">
        <v>640110.46</v>
      </c>
      <c r="F817" s="925">
        <v>0</v>
      </c>
      <c r="G817" s="925">
        <v>0</v>
      </c>
      <c r="H817" s="925">
        <v>0</v>
      </c>
      <c r="I817" s="925">
        <v>0</v>
      </c>
      <c r="J817" s="925">
        <v>0</v>
      </c>
      <c r="K817" s="861">
        <v>0</v>
      </c>
      <c r="L817" s="925">
        <v>0</v>
      </c>
      <c r="M817" s="925">
        <v>0</v>
      </c>
      <c r="N817" s="925">
        <v>0</v>
      </c>
      <c r="O817" s="925">
        <v>580</v>
      </c>
      <c r="P817" s="925">
        <v>2293226.85</v>
      </c>
      <c r="Q817" s="925">
        <v>0</v>
      </c>
      <c r="R817" s="925">
        <v>0</v>
      </c>
      <c r="S817" s="925">
        <v>0</v>
      </c>
      <c r="T817" s="925">
        <v>0</v>
      </c>
      <c r="U817" s="925">
        <v>0</v>
      </c>
      <c r="V817" s="925">
        <v>0</v>
      </c>
      <c r="W817" s="925">
        <v>0</v>
      </c>
      <c r="X817" s="925">
        <v>0</v>
      </c>
      <c r="Y817" s="925">
        <v>0</v>
      </c>
      <c r="Z817" s="921">
        <v>229750.33</v>
      </c>
      <c r="AA817" s="925">
        <v>0</v>
      </c>
    </row>
    <row r="818" spans="1:27" s="867" customFormat="1" ht="109.15" customHeight="1">
      <c r="A818" s="927">
        <v>307</v>
      </c>
      <c r="B818" s="868" t="s">
        <v>1492</v>
      </c>
      <c r="C818" s="925">
        <f t="shared" si="174"/>
        <v>2312763.7800000003</v>
      </c>
      <c r="D818" s="925">
        <f t="shared" si="175"/>
        <v>0</v>
      </c>
      <c r="E818" s="925">
        <v>0</v>
      </c>
      <c r="F818" s="925">
        <v>0</v>
      </c>
      <c r="G818" s="925">
        <v>0</v>
      </c>
      <c r="H818" s="925">
        <v>0</v>
      </c>
      <c r="I818" s="925">
        <v>0</v>
      </c>
      <c r="J818" s="925">
        <v>0</v>
      </c>
      <c r="K818" s="861">
        <v>0</v>
      </c>
      <c r="L818" s="925">
        <v>0</v>
      </c>
      <c r="M818" s="925">
        <v>0</v>
      </c>
      <c r="N818" s="925">
        <v>0</v>
      </c>
      <c r="O818" s="925">
        <v>640</v>
      </c>
      <c r="P818" s="925">
        <v>2144776.58</v>
      </c>
      <c r="Q818" s="925">
        <v>0</v>
      </c>
      <c r="R818" s="925">
        <v>0</v>
      </c>
      <c r="S818" s="925">
        <v>0</v>
      </c>
      <c r="T818" s="925">
        <v>0</v>
      </c>
      <c r="U818" s="925">
        <v>0</v>
      </c>
      <c r="V818" s="925">
        <v>0</v>
      </c>
      <c r="W818" s="925">
        <v>0</v>
      </c>
      <c r="X818" s="925">
        <v>0</v>
      </c>
      <c r="Y818" s="925">
        <v>0</v>
      </c>
      <c r="Z818" s="921">
        <v>167987.20000000001</v>
      </c>
      <c r="AA818" s="925">
        <v>0</v>
      </c>
    </row>
    <row r="819" spans="1:27" s="867" customFormat="1" ht="85.9" customHeight="1">
      <c r="A819" s="1198" t="s">
        <v>1175</v>
      </c>
      <c r="B819" s="1199"/>
      <c r="C819" s="925">
        <f>C820+C821+C822</f>
        <v>6556171.6500000004</v>
      </c>
      <c r="D819" s="925">
        <f t="shared" ref="D819:AA819" si="176">D820+D821+D822</f>
        <v>1204429.98</v>
      </c>
      <c r="E819" s="925">
        <f t="shared" si="176"/>
        <v>0</v>
      </c>
      <c r="F819" s="925">
        <f t="shared" si="176"/>
        <v>1204429.98</v>
      </c>
      <c r="G819" s="925">
        <f t="shared" si="176"/>
        <v>0</v>
      </c>
      <c r="H819" s="925">
        <f t="shared" si="176"/>
        <v>0</v>
      </c>
      <c r="I819" s="925">
        <f t="shared" si="176"/>
        <v>0</v>
      </c>
      <c r="J819" s="925">
        <f t="shared" si="176"/>
        <v>0</v>
      </c>
      <c r="K819" s="861">
        <f t="shared" si="176"/>
        <v>0</v>
      </c>
      <c r="L819" s="925">
        <f t="shared" si="176"/>
        <v>0</v>
      </c>
      <c r="M819" s="925">
        <f t="shared" si="176"/>
        <v>0</v>
      </c>
      <c r="N819" s="925">
        <f t="shared" si="176"/>
        <v>0</v>
      </c>
      <c r="O819" s="925">
        <f t="shared" si="176"/>
        <v>1381.46</v>
      </c>
      <c r="P819" s="925">
        <f t="shared" si="176"/>
        <v>4930602.0500000007</v>
      </c>
      <c r="Q819" s="925">
        <f t="shared" si="176"/>
        <v>0</v>
      </c>
      <c r="R819" s="925">
        <f t="shared" si="176"/>
        <v>0</v>
      </c>
      <c r="S819" s="925">
        <f t="shared" si="176"/>
        <v>0</v>
      </c>
      <c r="T819" s="925">
        <f t="shared" si="176"/>
        <v>0</v>
      </c>
      <c r="U819" s="925">
        <f t="shared" si="176"/>
        <v>0</v>
      </c>
      <c r="V819" s="925">
        <f t="shared" si="176"/>
        <v>0</v>
      </c>
      <c r="W819" s="925">
        <f t="shared" si="176"/>
        <v>0</v>
      </c>
      <c r="X819" s="925">
        <f t="shared" si="176"/>
        <v>0</v>
      </c>
      <c r="Y819" s="925">
        <f t="shared" si="176"/>
        <v>0</v>
      </c>
      <c r="Z819" s="921">
        <f t="shared" si="176"/>
        <v>421139.62</v>
      </c>
      <c r="AA819" s="925">
        <f t="shared" si="176"/>
        <v>0</v>
      </c>
    </row>
    <row r="820" spans="1:27" s="867" customFormat="1" ht="139.9" customHeight="1">
      <c r="A820" s="927">
        <v>308</v>
      </c>
      <c r="B820" s="863" t="s">
        <v>1178</v>
      </c>
      <c r="C820" s="925">
        <f>D820+N820+P820+R820+T820+X820+Z820</f>
        <v>1298765.6000000001</v>
      </c>
      <c r="D820" s="925">
        <f>SUM(E820:J820)</f>
        <v>1204429.98</v>
      </c>
      <c r="E820" s="925">
        <v>0</v>
      </c>
      <c r="F820" s="925">
        <v>1204429.98</v>
      </c>
      <c r="G820" s="925">
        <v>0</v>
      </c>
      <c r="H820" s="925">
        <v>0</v>
      </c>
      <c r="I820" s="925">
        <v>0</v>
      </c>
      <c r="J820" s="925">
        <v>0</v>
      </c>
      <c r="K820" s="861">
        <v>0</v>
      </c>
      <c r="L820" s="925">
        <v>0</v>
      </c>
      <c r="M820" s="925">
        <v>0</v>
      </c>
      <c r="N820" s="925">
        <v>0</v>
      </c>
      <c r="O820" s="925">
        <v>0</v>
      </c>
      <c r="P820" s="925">
        <v>0</v>
      </c>
      <c r="Q820" s="925">
        <v>0</v>
      </c>
      <c r="R820" s="925">
        <v>0</v>
      </c>
      <c r="S820" s="925">
        <v>0</v>
      </c>
      <c r="T820" s="925">
        <v>0</v>
      </c>
      <c r="U820" s="925">
        <v>0</v>
      </c>
      <c r="V820" s="925">
        <v>0</v>
      </c>
      <c r="W820" s="925">
        <v>0</v>
      </c>
      <c r="X820" s="925">
        <v>0</v>
      </c>
      <c r="Y820" s="925">
        <v>0</v>
      </c>
      <c r="Z820" s="921">
        <v>94335.62</v>
      </c>
      <c r="AA820" s="925">
        <v>0</v>
      </c>
    </row>
    <row r="821" spans="1:27" s="867" customFormat="1" ht="139.9" customHeight="1">
      <c r="A821" s="927">
        <v>309</v>
      </c>
      <c r="B821" s="863" t="s">
        <v>1177</v>
      </c>
      <c r="C821" s="925">
        <f>D821+N821+P821+R821+T821+X821+Z821</f>
        <v>2209261.06</v>
      </c>
      <c r="D821" s="925">
        <f>SUM(E821:J821)</f>
        <v>0</v>
      </c>
      <c r="E821" s="925">
        <v>0</v>
      </c>
      <c r="F821" s="925">
        <v>0</v>
      </c>
      <c r="G821" s="925">
        <v>0</v>
      </c>
      <c r="H821" s="925">
        <v>0</v>
      </c>
      <c r="I821" s="925">
        <v>0</v>
      </c>
      <c r="J821" s="925">
        <v>0</v>
      </c>
      <c r="K821" s="861">
        <v>0</v>
      </c>
      <c r="L821" s="925">
        <v>0</v>
      </c>
      <c r="M821" s="925">
        <v>0</v>
      </c>
      <c r="N821" s="925">
        <v>0</v>
      </c>
      <c r="O821" s="925">
        <v>526.46</v>
      </c>
      <c r="P821" s="925">
        <v>2074086.06</v>
      </c>
      <c r="Q821" s="925">
        <v>0</v>
      </c>
      <c r="R821" s="925">
        <v>0</v>
      </c>
      <c r="S821" s="925">
        <v>0</v>
      </c>
      <c r="T821" s="925">
        <v>0</v>
      </c>
      <c r="U821" s="925">
        <v>0</v>
      </c>
      <c r="V821" s="925">
        <v>0</v>
      </c>
      <c r="W821" s="925">
        <v>0</v>
      </c>
      <c r="X821" s="925">
        <v>0</v>
      </c>
      <c r="Y821" s="925">
        <v>0</v>
      </c>
      <c r="Z821" s="921">
        <v>135175</v>
      </c>
      <c r="AA821" s="925">
        <v>0</v>
      </c>
    </row>
    <row r="822" spans="1:27" s="867" customFormat="1" ht="139.9" customHeight="1">
      <c r="A822" s="927">
        <v>310</v>
      </c>
      <c r="B822" s="863" t="s">
        <v>1816</v>
      </c>
      <c r="C822" s="925">
        <f>D822+N822+P822+R822+T822+X822+Z822</f>
        <v>3048144.99</v>
      </c>
      <c r="D822" s="925">
        <f>SUM(E822:J822)</f>
        <v>0</v>
      </c>
      <c r="E822" s="925">
        <v>0</v>
      </c>
      <c r="F822" s="925">
        <v>0</v>
      </c>
      <c r="G822" s="925">
        <v>0</v>
      </c>
      <c r="H822" s="925">
        <v>0</v>
      </c>
      <c r="I822" s="925">
        <v>0</v>
      </c>
      <c r="J822" s="925">
        <v>0</v>
      </c>
      <c r="K822" s="861">
        <v>0</v>
      </c>
      <c r="L822" s="925">
        <v>0</v>
      </c>
      <c r="M822" s="925">
        <v>0</v>
      </c>
      <c r="N822" s="925">
        <v>0</v>
      </c>
      <c r="O822" s="925">
        <v>855</v>
      </c>
      <c r="P822" s="925">
        <v>2856515.99</v>
      </c>
      <c r="Q822" s="925">
        <v>0</v>
      </c>
      <c r="R822" s="925">
        <v>0</v>
      </c>
      <c r="S822" s="925">
        <v>0</v>
      </c>
      <c r="T822" s="925">
        <v>0</v>
      </c>
      <c r="U822" s="925">
        <v>0</v>
      </c>
      <c r="V822" s="925">
        <v>0</v>
      </c>
      <c r="W822" s="925">
        <v>0</v>
      </c>
      <c r="X822" s="925">
        <v>0</v>
      </c>
      <c r="Y822" s="925">
        <v>0</v>
      </c>
      <c r="Z822" s="921">
        <v>191629</v>
      </c>
      <c r="AA822" s="925">
        <v>0</v>
      </c>
    </row>
    <row r="823" spans="1:27" s="867" customFormat="1" ht="92.25" customHeight="1">
      <c r="A823" s="1198" t="s">
        <v>1979</v>
      </c>
      <c r="B823" s="1199"/>
      <c r="C823" s="925">
        <f>SUM(C824:C833)</f>
        <v>28636726.710000005</v>
      </c>
      <c r="D823" s="925">
        <f t="shared" ref="D823:AA823" si="177">SUM(D824:D833)</f>
        <v>5657701</v>
      </c>
      <c r="E823" s="925">
        <f t="shared" si="177"/>
        <v>0</v>
      </c>
      <c r="F823" s="925">
        <f t="shared" si="177"/>
        <v>5657701</v>
      </c>
      <c r="G823" s="925">
        <f t="shared" si="177"/>
        <v>0</v>
      </c>
      <c r="H823" s="925">
        <f t="shared" si="177"/>
        <v>0</v>
      </c>
      <c r="I823" s="925">
        <f t="shared" si="177"/>
        <v>0</v>
      </c>
      <c r="J823" s="925">
        <f t="shared" si="177"/>
        <v>0</v>
      </c>
      <c r="K823" s="861">
        <f t="shared" si="177"/>
        <v>0</v>
      </c>
      <c r="L823" s="925">
        <f t="shared" si="177"/>
        <v>0</v>
      </c>
      <c r="M823" s="925">
        <f t="shared" si="177"/>
        <v>0</v>
      </c>
      <c r="N823" s="925">
        <f t="shared" si="177"/>
        <v>0</v>
      </c>
      <c r="O823" s="925">
        <f t="shared" si="177"/>
        <v>5484.05</v>
      </c>
      <c r="P823" s="925">
        <f t="shared" si="177"/>
        <v>21247172.710000001</v>
      </c>
      <c r="Q823" s="925">
        <f t="shared" si="177"/>
        <v>0</v>
      </c>
      <c r="R823" s="925">
        <f t="shared" si="177"/>
        <v>0</v>
      </c>
      <c r="S823" s="925">
        <f t="shared" si="177"/>
        <v>0</v>
      </c>
      <c r="T823" s="925">
        <f t="shared" si="177"/>
        <v>0</v>
      </c>
      <c r="U823" s="925">
        <f t="shared" si="177"/>
        <v>0</v>
      </c>
      <c r="V823" s="925">
        <f t="shared" si="177"/>
        <v>0</v>
      </c>
      <c r="W823" s="925">
        <f t="shared" si="177"/>
        <v>0</v>
      </c>
      <c r="X823" s="925">
        <f t="shared" si="177"/>
        <v>0</v>
      </c>
      <c r="Y823" s="925">
        <f t="shared" si="177"/>
        <v>0</v>
      </c>
      <c r="Z823" s="921">
        <f t="shared" si="177"/>
        <v>1731853</v>
      </c>
      <c r="AA823" s="925">
        <f t="shared" si="177"/>
        <v>0</v>
      </c>
    </row>
    <row r="824" spans="1:27" s="867" customFormat="1" ht="139.9" customHeight="1">
      <c r="A824" s="927">
        <v>311</v>
      </c>
      <c r="B824" s="868" t="s">
        <v>1167</v>
      </c>
      <c r="C824" s="925">
        <f>D824+N824+P824+R824+T824+X824+Z824</f>
        <v>2674133</v>
      </c>
      <c r="D824" s="925">
        <f t="shared" ref="D824:D833" si="178">SUM(E824:J824)</f>
        <v>0</v>
      </c>
      <c r="E824" s="925">
        <v>0</v>
      </c>
      <c r="F824" s="925">
        <v>0</v>
      </c>
      <c r="G824" s="925">
        <v>0</v>
      </c>
      <c r="H824" s="925">
        <v>0</v>
      </c>
      <c r="I824" s="925">
        <v>0</v>
      </c>
      <c r="J824" s="925">
        <v>0</v>
      </c>
      <c r="K824" s="861">
        <v>0</v>
      </c>
      <c r="L824" s="925">
        <v>0</v>
      </c>
      <c r="M824" s="925">
        <v>0</v>
      </c>
      <c r="N824" s="925">
        <v>0</v>
      </c>
      <c r="O824" s="925">
        <v>740</v>
      </c>
      <c r="P824" s="925">
        <v>2479898</v>
      </c>
      <c r="Q824" s="925">
        <v>0</v>
      </c>
      <c r="R824" s="925">
        <v>0</v>
      </c>
      <c r="S824" s="925">
        <v>0</v>
      </c>
      <c r="T824" s="925">
        <v>0</v>
      </c>
      <c r="U824" s="925">
        <v>0</v>
      </c>
      <c r="V824" s="925">
        <v>0</v>
      </c>
      <c r="W824" s="925">
        <v>0</v>
      </c>
      <c r="X824" s="925">
        <v>0</v>
      </c>
      <c r="Y824" s="925">
        <v>0</v>
      </c>
      <c r="Z824" s="921">
        <v>194235</v>
      </c>
      <c r="AA824" s="925">
        <v>0</v>
      </c>
    </row>
    <row r="825" spans="1:27" s="867" customFormat="1" ht="99.6" customHeight="1">
      <c r="A825" s="927">
        <v>312</v>
      </c>
      <c r="B825" s="868" t="s">
        <v>1164</v>
      </c>
      <c r="C825" s="925">
        <f t="shared" ref="C825:C832" si="179">D825+N825+P825+R825+T825+X825+Z825</f>
        <v>2523803</v>
      </c>
      <c r="D825" s="925">
        <f t="shared" si="178"/>
        <v>0</v>
      </c>
      <c r="E825" s="925">
        <v>0</v>
      </c>
      <c r="F825" s="925">
        <v>0</v>
      </c>
      <c r="G825" s="925">
        <v>0</v>
      </c>
      <c r="H825" s="925">
        <v>0</v>
      </c>
      <c r="I825" s="925">
        <v>0</v>
      </c>
      <c r="J825" s="925">
        <v>0</v>
      </c>
      <c r="K825" s="861">
        <v>0</v>
      </c>
      <c r="L825" s="925">
        <v>0</v>
      </c>
      <c r="M825" s="925">
        <v>0</v>
      </c>
      <c r="N825" s="925">
        <v>0</v>
      </c>
      <c r="O825" s="925">
        <v>698.4</v>
      </c>
      <c r="P825" s="925">
        <v>2340487</v>
      </c>
      <c r="Q825" s="925">
        <v>0</v>
      </c>
      <c r="R825" s="925">
        <v>0</v>
      </c>
      <c r="S825" s="925">
        <v>0</v>
      </c>
      <c r="T825" s="925">
        <v>0</v>
      </c>
      <c r="U825" s="925">
        <v>0</v>
      </c>
      <c r="V825" s="925">
        <v>0</v>
      </c>
      <c r="W825" s="925">
        <v>0</v>
      </c>
      <c r="X825" s="925">
        <v>0</v>
      </c>
      <c r="Y825" s="925">
        <v>0</v>
      </c>
      <c r="Z825" s="921">
        <v>183316</v>
      </c>
      <c r="AA825" s="925">
        <v>0</v>
      </c>
    </row>
    <row r="826" spans="1:27" s="867" customFormat="1" ht="78.599999999999994" customHeight="1">
      <c r="A826" s="927">
        <v>313</v>
      </c>
      <c r="B826" s="868" t="s">
        <v>1165</v>
      </c>
      <c r="C826" s="925">
        <f t="shared" si="179"/>
        <v>2536813</v>
      </c>
      <c r="D826" s="925">
        <f t="shared" si="178"/>
        <v>0</v>
      </c>
      <c r="E826" s="925">
        <v>0</v>
      </c>
      <c r="F826" s="925">
        <v>0</v>
      </c>
      <c r="G826" s="925">
        <v>0</v>
      </c>
      <c r="H826" s="925">
        <v>0</v>
      </c>
      <c r="I826" s="925">
        <v>0</v>
      </c>
      <c r="J826" s="925">
        <v>0</v>
      </c>
      <c r="K826" s="861">
        <v>0</v>
      </c>
      <c r="L826" s="925">
        <v>0</v>
      </c>
      <c r="M826" s="925">
        <v>0</v>
      </c>
      <c r="N826" s="925">
        <v>0</v>
      </c>
      <c r="O826" s="925">
        <v>702</v>
      </c>
      <c r="P826" s="925">
        <v>2352552</v>
      </c>
      <c r="Q826" s="925">
        <v>0</v>
      </c>
      <c r="R826" s="925">
        <v>0</v>
      </c>
      <c r="S826" s="925">
        <v>0</v>
      </c>
      <c r="T826" s="925">
        <v>0</v>
      </c>
      <c r="U826" s="925">
        <v>0</v>
      </c>
      <c r="V826" s="925">
        <v>0</v>
      </c>
      <c r="W826" s="925">
        <v>0</v>
      </c>
      <c r="X826" s="925">
        <v>0</v>
      </c>
      <c r="Y826" s="925">
        <v>0</v>
      </c>
      <c r="Z826" s="921">
        <v>184261</v>
      </c>
      <c r="AA826" s="925">
        <v>0</v>
      </c>
    </row>
    <row r="827" spans="1:27" s="867" customFormat="1" ht="123" customHeight="1">
      <c r="A827" s="927">
        <v>314</v>
      </c>
      <c r="B827" s="868" t="s">
        <v>1166</v>
      </c>
      <c r="C827" s="925">
        <f t="shared" si="179"/>
        <v>6100834</v>
      </c>
      <c r="D827" s="925">
        <f t="shared" si="178"/>
        <v>5657701</v>
      </c>
      <c r="E827" s="925">
        <v>0</v>
      </c>
      <c r="F827" s="925">
        <v>5657701</v>
      </c>
      <c r="G827" s="925">
        <v>0</v>
      </c>
      <c r="H827" s="925">
        <v>0</v>
      </c>
      <c r="I827" s="925">
        <v>0</v>
      </c>
      <c r="J827" s="925">
        <v>0</v>
      </c>
      <c r="K827" s="861">
        <v>0</v>
      </c>
      <c r="L827" s="925">
        <v>0</v>
      </c>
      <c r="M827" s="925">
        <v>0</v>
      </c>
      <c r="N827" s="925">
        <v>0</v>
      </c>
      <c r="O827" s="925">
        <v>0</v>
      </c>
      <c r="P827" s="925">
        <v>0</v>
      </c>
      <c r="Q827" s="925">
        <v>0</v>
      </c>
      <c r="R827" s="925">
        <v>0</v>
      </c>
      <c r="S827" s="925">
        <v>0</v>
      </c>
      <c r="T827" s="925">
        <v>0</v>
      </c>
      <c r="U827" s="925">
        <v>0</v>
      </c>
      <c r="V827" s="925">
        <v>0</v>
      </c>
      <c r="W827" s="925">
        <v>0</v>
      </c>
      <c r="X827" s="925">
        <v>0</v>
      </c>
      <c r="Y827" s="925">
        <v>0</v>
      </c>
      <c r="Z827" s="921">
        <v>443133</v>
      </c>
      <c r="AA827" s="925">
        <v>0</v>
      </c>
    </row>
    <row r="828" spans="1:27" s="867" customFormat="1" ht="123" customHeight="1">
      <c r="A828" s="927">
        <v>315</v>
      </c>
      <c r="B828" s="863" t="s">
        <v>1822</v>
      </c>
      <c r="C828" s="925">
        <f t="shared" si="179"/>
        <v>1808834</v>
      </c>
      <c r="D828" s="925">
        <f t="shared" si="178"/>
        <v>0</v>
      </c>
      <c r="E828" s="925">
        <v>0</v>
      </c>
      <c r="F828" s="925">
        <v>0</v>
      </c>
      <c r="G828" s="925">
        <v>0</v>
      </c>
      <c r="H828" s="925">
        <v>0</v>
      </c>
      <c r="I828" s="925">
        <v>0</v>
      </c>
      <c r="J828" s="925">
        <v>0</v>
      </c>
      <c r="K828" s="861">
        <v>0</v>
      </c>
      <c r="L828" s="925">
        <v>0</v>
      </c>
      <c r="M828" s="925">
        <v>0</v>
      </c>
      <c r="N828" s="925">
        <v>0</v>
      </c>
      <c r="O828" s="925">
        <v>500.55</v>
      </c>
      <c r="P828" s="925">
        <v>1677450</v>
      </c>
      <c r="Q828" s="925">
        <v>0</v>
      </c>
      <c r="R828" s="925">
        <v>0</v>
      </c>
      <c r="S828" s="925">
        <v>0</v>
      </c>
      <c r="T828" s="925">
        <v>0</v>
      </c>
      <c r="U828" s="925">
        <v>0</v>
      </c>
      <c r="V828" s="925">
        <v>0</v>
      </c>
      <c r="W828" s="925">
        <v>0</v>
      </c>
      <c r="X828" s="925">
        <v>0</v>
      </c>
      <c r="Y828" s="925">
        <v>0</v>
      </c>
      <c r="Z828" s="921">
        <v>131384</v>
      </c>
      <c r="AA828" s="925">
        <v>0</v>
      </c>
    </row>
    <row r="829" spans="1:27" s="867" customFormat="1" ht="108" customHeight="1">
      <c r="A829" s="927">
        <v>316</v>
      </c>
      <c r="B829" s="863" t="s">
        <v>1042</v>
      </c>
      <c r="C829" s="925">
        <f t="shared" si="179"/>
        <v>2330422.92</v>
      </c>
      <c r="D829" s="925">
        <f t="shared" si="178"/>
        <v>0</v>
      </c>
      <c r="E829" s="925">
        <v>0</v>
      </c>
      <c r="F829" s="925">
        <v>0</v>
      </c>
      <c r="G829" s="925">
        <v>0</v>
      </c>
      <c r="H829" s="925">
        <v>0</v>
      </c>
      <c r="I829" s="925">
        <v>0</v>
      </c>
      <c r="J829" s="925">
        <v>0</v>
      </c>
      <c r="K829" s="861">
        <v>0</v>
      </c>
      <c r="L829" s="925">
        <v>0</v>
      </c>
      <c r="M829" s="925">
        <v>0</v>
      </c>
      <c r="N829" s="925">
        <v>0</v>
      </c>
      <c r="O829" s="925">
        <v>618.75</v>
      </c>
      <c r="P829" s="925">
        <v>2197963.92</v>
      </c>
      <c r="Q829" s="925">
        <v>0</v>
      </c>
      <c r="R829" s="925">
        <v>0</v>
      </c>
      <c r="S829" s="925">
        <v>0</v>
      </c>
      <c r="T829" s="925">
        <v>0</v>
      </c>
      <c r="U829" s="925">
        <v>0</v>
      </c>
      <c r="V829" s="925">
        <v>0</v>
      </c>
      <c r="W829" s="925">
        <v>0</v>
      </c>
      <c r="X829" s="925">
        <v>0</v>
      </c>
      <c r="Y829" s="925">
        <v>0</v>
      </c>
      <c r="Z829" s="921">
        <v>132459</v>
      </c>
      <c r="AA829" s="925">
        <v>0</v>
      </c>
    </row>
    <row r="830" spans="1:27" s="867" customFormat="1" ht="77.25" customHeight="1">
      <c r="A830" s="927">
        <v>317</v>
      </c>
      <c r="B830" s="863" t="s">
        <v>1043</v>
      </c>
      <c r="C830" s="925">
        <f t="shared" si="179"/>
        <v>2330422.92</v>
      </c>
      <c r="D830" s="925">
        <f t="shared" si="178"/>
        <v>0</v>
      </c>
      <c r="E830" s="925">
        <v>0</v>
      </c>
      <c r="F830" s="925">
        <v>0</v>
      </c>
      <c r="G830" s="925">
        <v>0</v>
      </c>
      <c r="H830" s="925">
        <v>0</v>
      </c>
      <c r="I830" s="925">
        <v>0</v>
      </c>
      <c r="J830" s="925">
        <v>0</v>
      </c>
      <c r="K830" s="861">
        <v>0</v>
      </c>
      <c r="L830" s="925">
        <v>0</v>
      </c>
      <c r="M830" s="925">
        <v>0</v>
      </c>
      <c r="N830" s="925">
        <v>0</v>
      </c>
      <c r="O830" s="925">
        <v>618.75</v>
      </c>
      <c r="P830" s="925">
        <v>2197963.92</v>
      </c>
      <c r="Q830" s="925">
        <v>0</v>
      </c>
      <c r="R830" s="925">
        <v>0</v>
      </c>
      <c r="S830" s="925">
        <v>0</v>
      </c>
      <c r="T830" s="925">
        <v>0</v>
      </c>
      <c r="U830" s="925">
        <v>0</v>
      </c>
      <c r="V830" s="925">
        <v>0</v>
      </c>
      <c r="W830" s="925">
        <v>0</v>
      </c>
      <c r="X830" s="925">
        <v>0</v>
      </c>
      <c r="Y830" s="925">
        <v>0</v>
      </c>
      <c r="Z830" s="921">
        <v>132459</v>
      </c>
      <c r="AA830" s="925">
        <v>0</v>
      </c>
    </row>
    <row r="831" spans="1:27" s="867" customFormat="1" ht="94.9" customHeight="1">
      <c r="A831" s="927">
        <v>318</v>
      </c>
      <c r="B831" s="863" t="s">
        <v>1054</v>
      </c>
      <c r="C831" s="925">
        <f t="shared" si="179"/>
        <v>2962493.67</v>
      </c>
      <c r="D831" s="925">
        <f t="shared" si="178"/>
        <v>0</v>
      </c>
      <c r="E831" s="925">
        <v>0</v>
      </c>
      <c r="F831" s="925">
        <v>0</v>
      </c>
      <c r="G831" s="925">
        <v>0</v>
      </c>
      <c r="H831" s="925">
        <v>0</v>
      </c>
      <c r="I831" s="925">
        <v>0</v>
      </c>
      <c r="J831" s="925">
        <v>0</v>
      </c>
      <c r="K831" s="861">
        <v>0</v>
      </c>
      <c r="L831" s="925">
        <v>0</v>
      </c>
      <c r="M831" s="925">
        <v>0</v>
      </c>
      <c r="N831" s="925">
        <v>0</v>
      </c>
      <c r="O831" s="925">
        <v>799.6</v>
      </c>
      <c r="P831" s="925">
        <v>2830034.67</v>
      </c>
      <c r="Q831" s="925">
        <v>0</v>
      </c>
      <c r="R831" s="925">
        <v>0</v>
      </c>
      <c r="S831" s="925">
        <v>0</v>
      </c>
      <c r="T831" s="925">
        <v>0</v>
      </c>
      <c r="U831" s="925">
        <v>0</v>
      </c>
      <c r="V831" s="925">
        <v>0</v>
      </c>
      <c r="W831" s="925">
        <v>0</v>
      </c>
      <c r="X831" s="925">
        <v>0</v>
      </c>
      <c r="Y831" s="925">
        <v>0</v>
      </c>
      <c r="Z831" s="921">
        <v>132459</v>
      </c>
      <c r="AA831" s="925">
        <v>0</v>
      </c>
    </row>
    <row r="832" spans="1:27" s="867" customFormat="1" ht="102" customHeight="1">
      <c r="A832" s="927">
        <v>319</v>
      </c>
      <c r="B832" s="863" t="s">
        <v>1793</v>
      </c>
      <c r="C832" s="925">
        <f t="shared" si="179"/>
        <v>2757759.15</v>
      </c>
      <c r="D832" s="925">
        <f t="shared" si="178"/>
        <v>0</v>
      </c>
      <c r="E832" s="925">
        <v>0</v>
      </c>
      <c r="F832" s="925">
        <v>0</v>
      </c>
      <c r="G832" s="925">
        <v>0</v>
      </c>
      <c r="H832" s="925">
        <v>0</v>
      </c>
      <c r="I832" s="925">
        <v>0</v>
      </c>
      <c r="J832" s="925">
        <v>0</v>
      </c>
      <c r="K832" s="861">
        <v>0</v>
      </c>
      <c r="L832" s="925">
        <v>0</v>
      </c>
      <c r="M832" s="925">
        <v>0</v>
      </c>
      <c r="N832" s="925">
        <v>0</v>
      </c>
      <c r="O832" s="925">
        <v>414</v>
      </c>
      <c r="P832" s="925">
        <v>2655981.15</v>
      </c>
      <c r="Q832" s="925">
        <v>0</v>
      </c>
      <c r="R832" s="925">
        <v>0</v>
      </c>
      <c r="S832" s="925">
        <v>0</v>
      </c>
      <c r="T832" s="925">
        <v>0</v>
      </c>
      <c r="U832" s="925">
        <v>0</v>
      </c>
      <c r="V832" s="925">
        <v>0</v>
      </c>
      <c r="W832" s="925">
        <v>0</v>
      </c>
      <c r="X832" s="925">
        <v>0</v>
      </c>
      <c r="Y832" s="925">
        <v>0</v>
      </c>
      <c r="Z832" s="921">
        <v>101778</v>
      </c>
      <c r="AA832" s="925">
        <v>0</v>
      </c>
    </row>
    <row r="833" spans="1:27" s="867" customFormat="1" ht="102" customHeight="1">
      <c r="A833" s="927">
        <v>320</v>
      </c>
      <c r="B833" s="863" t="s">
        <v>1801</v>
      </c>
      <c r="C833" s="925">
        <f>D833+N833+P833+R833+T833+X833+Z833</f>
        <v>2611211.0499999998</v>
      </c>
      <c r="D833" s="925">
        <f t="shared" si="178"/>
        <v>0</v>
      </c>
      <c r="E833" s="925">
        <v>0</v>
      </c>
      <c r="F833" s="925">
        <v>0</v>
      </c>
      <c r="G833" s="925">
        <v>0</v>
      </c>
      <c r="H833" s="925">
        <v>0</v>
      </c>
      <c r="I833" s="925">
        <v>0</v>
      </c>
      <c r="J833" s="925">
        <v>0</v>
      </c>
      <c r="K833" s="861">
        <v>0</v>
      </c>
      <c r="L833" s="925">
        <v>0</v>
      </c>
      <c r="M833" s="925">
        <v>0</v>
      </c>
      <c r="N833" s="925">
        <v>0</v>
      </c>
      <c r="O833" s="925">
        <v>392</v>
      </c>
      <c r="P833" s="925">
        <v>2514842.0499999998</v>
      </c>
      <c r="Q833" s="925">
        <v>0</v>
      </c>
      <c r="R833" s="925">
        <v>0</v>
      </c>
      <c r="S833" s="925">
        <v>0</v>
      </c>
      <c r="T833" s="925">
        <v>0</v>
      </c>
      <c r="U833" s="925">
        <v>0</v>
      </c>
      <c r="V833" s="925">
        <v>0</v>
      </c>
      <c r="W833" s="925">
        <v>0</v>
      </c>
      <c r="X833" s="925">
        <v>0</v>
      </c>
      <c r="Y833" s="925">
        <v>0</v>
      </c>
      <c r="Z833" s="921">
        <v>96369</v>
      </c>
      <c r="AA833" s="925">
        <v>0</v>
      </c>
    </row>
    <row r="834" spans="1:27" s="867" customFormat="1" ht="97.15" customHeight="1">
      <c r="A834" s="1198" t="s">
        <v>1974</v>
      </c>
      <c r="B834" s="1199"/>
      <c r="C834" s="925">
        <f>C835+C836</f>
        <v>4066007.9200000004</v>
      </c>
      <c r="D834" s="925">
        <f t="shared" ref="D834:AA834" si="180">D835+D836</f>
        <v>0</v>
      </c>
      <c r="E834" s="925">
        <f t="shared" si="180"/>
        <v>0</v>
      </c>
      <c r="F834" s="925">
        <f t="shared" si="180"/>
        <v>0</v>
      </c>
      <c r="G834" s="925">
        <f t="shared" si="180"/>
        <v>0</v>
      </c>
      <c r="H834" s="925">
        <f t="shared" si="180"/>
        <v>0</v>
      </c>
      <c r="I834" s="925">
        <f t="shared" si="180"/>
        <v>0</v>
      </c>
      <c r="J834" s="925">
        <f t="shared" si="180"/>
        <v>0</v>
      </c>
      <c r="K834" s="861">
        <f t="shared" si="180"/>
        <v>0</v>
      </c>
      <c r="L834" s="925">
        <f t="shared" si="180"/>
        <v>0</v>
      </c>
      <c r="M834" s="925">
        <f t="shared" si="180"/>
        <v>0</v>
      </c>
      <c r="N834" s="925">
        <f t="shared" si="180"/>
        <v>0</v>
      </c>
      <c r="O834" s="925">
        <f t="shared" si="180"/>
        <v>991.3</v>
      </c>
      <c r="P834" s="925">
        <f t="shared" si="180"/>
        <v>3919441</v>
      </c>
      <c r="Q834" s="925">
        <f t="shared" si="180"/>
        <v>0</v>
      </c>
      <c r="R834" s="925">
        <f t="shared" si="180"/>
        <v>0</v>
      </c>
      <c r="S834" s="925">
        <f t="shared" si="180"/>
        <v>0</v>
      </c>
      <c r="T834" s="925">
        <f t="shared" si="180"/>
        <v>0</v>
      </c>
      <c r="U834" s="925">
        <f t="shared" si="180"/>
        <v>0</v>
      </c>
      <c r="V834" s="925">
        <f t="shared" si="180"/>
        <v>0</v>
      </c>
      <c r="W834" s="925">
        <f t="shared" si="180"/>
        <v>0</v>
      </c>
      <c r="X834" s="925">
        <f t="shared" si="180"/>
        <v>0</v>
      </c>
      <c r="Y834" s="925">
        <f t="shared" si="180"/>
        <v>0</v>
      </c>
      <c r="Z834" s="921">
        <f t="shared" si="180"/>
        <v>146566.91999999998</v>
      </c>
      <c r="AA834" s="925">
        <f t="shared" si="180"/>
        <v>0</v>
      </c>
    </row>
    <row r="835" spans="1:27" s="867" customFormat="1" ht="92.45" customHeight="1">
      <c r="A835" s="927">
        <v>321</v>
      </c>
      <c r="B835" s="889" t="s">
        <v>1829</v>
      </c>
      <c r="C835" s="925">
        <f>D835+N835+P835+R835+T835+X835+Z835</f>
        <v>2223596.0300000003</v>
      </c>
      <c r="D835" s="925">
        <f>SUM(E835:J835)</f>
        <v>0</v>
      </c>
      <c r="E835" s="925">
        <v>0</v>
      </c>
      <c r="F835" s="925">
        <v>0</v>
      </c>
      <c r="G835" s="925">
        <v>0</v>
      </c>
      <c r="H835" s="925">
        <v>0</v>
      </c>
      <c r="I835" s="925">
        <v>0</v>
      </c>
      <c r="J835" s="925">
        <v>0</v>
      </c>
      <c r="K835" s="861">
        <v>0</v>
      </c>
      <c r="L835" s="925">
        <v>0</v>
      </c>
      <c r="M835" s="925">
        <v>0</v>
      </c>
      <c r="N835" s="925">
        <v>0</v>
      </c>
      <c r="O835" s="925">
        <v>543.16</v>
      </c>
      <c r="P835" s="925">
        <v>2147567.41</v>
      </c>
      <c r="Q835" s="925">
        <v>0</v>
      </c>
      <c r="R835" s="925">
        <v>0</v>
      </c>
      <c r="S835" s="925">
        <v>0</v>
      </c>
      <c r="T835" s="925">
        <v>0</v>
      </c>
      <c r="U835" s="925">
        <v>0</v>
      </c>
      <c r="V835" s="925">
        <v>0</v>
      </c>
      <c r="W835" s="925">
        <v>0</v>
      </c>
      <c r="X835" s="925">
        <v>0</v>
      </c>
      <c r="Y835" s="925">
        <v>0</v>
      </c>
      <c r="Z835" s="921">
        <v>76028.62</v>
      </c>
      <c r="AA835" s="925">
        <v>0</v>
      </c>
    </row>
    <row r="836" spans="1:27" s="867" customFormat="1" ht="104.45" customHeight="1">
      <c r="A836" s="927">
        <v>322</v>
      </c>
      <c r="B836" s="889" t="s">
        <v>1830</v>
      </c>
      <c r="C836" s="925">
        <f>D836+N836+P836+R836+T836+X836+Z836</f>
        <v>1842411.8900000001</v>
      </c>
      <c r="D836" s="925">
        <f>SUM(E836:J836)</f>
        <v>0</v>
      </c>
      <c r="E836" s="925">
        <v>0</v>
      </c>
      <c r="F836" s="925">
        <v>0</v>
      </c>
      <c r="G836" s="925">
        <v>0</v>
      </c>
      <c r="H836" s="925">
        <v>0</v>
      </c>
      <c r="I836" s="925">
        <v>0</v>
      </c>
      <c r="J836" s="925">
        <v>0</v>
      </c>
      <c r="K836" s="861">
        <v>0</v>
      </c>
      <c r="L836" s="925">
        <v>0</v>
      </c>
      <c r="M836" s="925">
        <v>0</v>
      </c>
      <c r="N836" s="925">
        <v>0</v>
      </c>
      <c r="O836" s="925">
        <v>448.14</v>
      </c>
      <c r="P836" s="925">
        <v>1771873.59</v>
      </c>
      <c r="Q836" s="925">
        <v>0</v>
      </c>
      <c r="R836" s="925">
        <v>0</v>
      </c>
      <c r="S836" s="925">
        <v>0</v>
      </c>
      <c r="T836" s="925">
        <v>0</v>
      </c>
      <c r="U836" s="925">
        <v>0</v>
      </c>
      <c r="V836" s="925">
        <v>0</v>
      </c>
      <c r="W836" s="925">
        <v>0</v>
      </c>
      <c r="X836" s="925">
        <v>0</v>
      </c>
      <c r="Y836" s="925">
        <v>0</v>
      </c>
      <c r="Z836" s="921">
        <v>70538.3</v>
      </c>
      <c r="AA836" s="925">
        <v>0</v>
      </c>
    </row>
    <row r="837" spans="1:27" s="867" customFormat="1" ht="82.5" customHeight="1">
      <c r="A837" s="1198" t="s">
        <v>1248</v>
      </c>
      <c r="B837" s="1199"/>
      <c r="C837" s="925">
        <f>SUM(C838:C864)</f>
        <v>52403248.221832208</v>
      </c>
      <c r="D837" s="925">
        <f t="shared" ref="D837:Z837" si="181">SUM(D838:D864)</f>
        <v>898088.83000000007</v>
      </c>
      <c r="E837" s="925">
        <f t="shared" si="181"/>
        <v>898088.83000000007</v>
      </c>
      <c r="F837" s="925">
        <f t="shared" si="181"/>
        <v>0</v>
      </c>
      <c r="G837" s="925">
        <f t="shared" si="181"/>
        <v>0</v>
      </c>
      <c r="H837" s="925">
        <f t="shared" si="181"/>
        <v>0</v>
      </c>
      <c r="I837" s="925">
        <f t="shared" si="181"/>
        <v>0</v>
      </c>
      <c r="J837" s="925">
        <f t="shared" si="181"/>
        <v>0</v>
      </c>
      <c r="K837" s="861">
        <f t="shared" si="181"/>
        <v>0</v>
      </c>
      <c r="L837" s="925">
        <f t="shared" si="181"/>
        <v>0</v>
      </c>
      <c r="M837" s="925">
        <f t="shared" si="181"/>
        <v>0</v>
      </c>
      <c r="N837" s="925">
        <f t="shared" si="181"/>
        <v>0</v>
      </c>
      <c r="O837" s="925">
        <f t="shared" si="181"/>
        <v>11983.75</v>
      </c>
      <c r="P837" s="925">
        <f t="shared" si="181"/>
        <v>43409842.790000007</v>
      </c>
      <c r="Q837" s="925">
        <f t="shared" si="181"/>
        <v>0</v>
      </c>
      <c r="R837" s="925">
        <f t="shared" si="181"/>
        <v>0</v>
      </c>
      <c r="S837" s="925">
        <f t="shared" si="181"/>
        <v>1549.37</v>
      </c>
      <c r="T837" s="925">
        <f t="shared" si="181"/>
        <v>4543433.63</v>
      </c>
      <c r="U837" s="925">
        <f t="shared" si="181"/>
        <v>0</v>
      </c>
      <c r="V837" s="925">
        <f t="shared" si="181"/>
        <v>0</v>
      </c>
      <c r="W837" s="925">
        <f t="shared" si="181"/>
        <v>0</v>
      </c>
      <c r="X837" s="925">
        <f t="shared" si="181"/>
        <v>0</v>
      </c>
      <c r="Y837" s="925">
        <f t="shared" si="181"/>
        <v>0</v>
      </c>
      <c r="Z837" s="921">
        <f t="shared" si="181"/>
        <v>3551882.971832213</v>
      </c>
      <c r="AA837" s="925">
        <f>SUM(AA838:AA864)</f>
        <v>0</v>
      </c>
    </row>
    <row r="838" spans="1:27" s="867" customFormat="1" ht="107.25" customHeight="1">
      <c r="A838" s="927">
        <v>323</v>
      </c>
      <c r="B838" s="890" t="s">
        <v>1113</v>
      </c>
      <c r="C838" s="925">
        <f>D838+N838+P838+R838+T838+X838+Z838</f>
        <v>298782.77</v>
      </c>
      <c r="D838" s="925">
        <f>SUM(E838:J838)</f>
        <v>286642.63</v>
      </c>
      <c r="E838" s="925">
        <v>286642.63</v>
      </c>
      <c r="F838" s="925">
        <v>0</v>
      </c>
      <c r="G838" s="925">
        <v>0</v>
      </c>
      <c r="H838" s="925">
        <v>0</v>
      </c>
      <c r="I838" s="925">
        <v>0</v>
      </c>
      <c r="J838" s="925">
        <v>0</v>
      </c>
      <c r="K838" s="861">
        <v>0</v>
      </c>
      <c r="L838" s="925">
        <v>0</v>
      </c>
      <c r="M838" s="925">
        <v>0</v>
      </c>
      <c r="N838" s="925">
        <v>0</v>
      </c>
      <c r="O838" s="925">
        <v>0</v>
      </c>
      <c r="P838" s="925">
        <v>0</v>
      </c>
      <c r="Q838" s="925">
        <v>0</v>
      </c>
      <c r="R838" s="925">
        <v>0</v>
      </c>
      <c r="S838" s="925">
        <v>0</v>
      </c>
      <c r="T838" s="925">
        <v>0</v>
      </c>
      <c r="U838" s="925">
        <v>0</v>
      </c>
      <c r="V838" s="925">
        <v>0</v>
      </c>
      <c r="W838" s="925">
        <v>0</v>
      </c>
      <c r="X838" s="925">
        <v>0</v>
      </c>
      <c r="Y838" s="925">
        <v>0</v>
      </c>
      <c r="Z838" s="921">
        <v>12140.14</v>
      </c>
      <c r="AA838" s="925">
        <v>0</v>
      </c>
    </row>
    <row r="839" spans="1:27" s="867" customFormat="1" ht="107.25" customHeight="1">
      <c r="A839" s="927">
        <v>324</v>
      </c>
      <c r="B839" s="868" t="s">
        <v>1226</v>
      </c>
      <c r="C839" s="925">
        <f t="shared" ref="C839:C847" si="182">D839+N839+P839+R839+T839+X839+Z839</f>
        <v>1128003.98</v>
      </c>
      <c r="D839" s="925">
        <f t="shared" ref="D839:D847" si="183">SUM(E839:J839)</f>
        <v>185664.27</v>
      </c>
      <c r="E839" s="925">
        <v>185664.27</v>
      </c>
      <c r="F839" s="925">
        <v>0</v>
      </c>
      <c r="G839" s="925">
        <v>0</v>
      </c>
      <c r="H839" s="925">
        <v>0</v>
      </c>
      <c r="I839" s="925">
        <v>0</v>
      </c>
      <c r="J839" s="925">
        <v>0</v>
      </c>
      <c r="K839" s="861">
        <v>0</v>
      </c>
      <c r="L839" s="925">
        <v>0</v>
      </c>
      <c r="M839" s="925">
        <v>0</v>
      </c>
      <c r="N839" s="925">
        <v>0</v>
      </c>
      <c r="O839" s="925">
        <v>223.5</v>
      </c>
      <c r="P839" s="925">
        <v>883683.11</v>
      </c>
      <c r="Q839" s="925">
        <v>0</v>
      </c>
      <c r="R839" s="925">
        <v>0</v>
      </c>
      <c r="S839" s="925">
        <v>0</v>
      </c>
      <c r="T839" s="925">
        <v>0</v>
      </c>
      <c r="U839" s="925">
        <v>0</v>
      </c>
      <c r="V839" s="925">
        <v>0</v>
      </c>
      <c r="W839" s="925">
        <v>0</v>
      </c>
      <c r="X839" s="925">
        <v>0</v>
      </c>
      <c r="Y839" s="925">
        <v>0</v>
      </c>
      <c r="Z839" s="921">
        <v>58656.6</v>
      </c>
      <c r="AA839" s="925">
        <v>0</v>
      </c>
    </row>
    <row r="840" spans="1:27" s="867" customFormat="1" ht="98.25" customHeight="1">
      <c r="A840" s="927">
        <v>325</v>
      </c>
      <c r="B840" s="868" t="s">
        <v>1227</v>
      </c>
      <c r="C840" s="925">
        <f t="shared" si="182"/>
        <v>1554682.43</v>
      </c>
      <c r="D840" s="925">
        <f t="shared" si="183"/>
        <v>0</v>
      </c>
      <c r="E840" s="925">
        <v>0</v>
      </c>
      <c r="F840" s="925">
        <v>0</v>
      </c>
      <c r="G840" s="925">
        <v>0</v>
      </c>
      <c r="H840" s="925">
        <v>0</v>
      </c>
      <c r="I840" s="925">
        <v>0</v>
      </c>
      <c r="J840" s="925">
        <v>0</v>
      </c>
      <c r="K840" s="861">
        <v>0</v>
      </c>
      <c r="L840" s="925">
        <v>0</v>
      </c>
      <c r="M840" s="925">
        <v>0</v>
      </c>
      <c r="N840" s="925">
        <v>0</v>
      </c>
      <c r="O840" s="925">
        <v>372.1</v>
      </c>
      <c r="P840" s="925">
        <v>1471223.64</v>
      </c>
      <c r="Q840" s="925">
        <v>0</v>
      </c>
      <c r="R840" s="925">
        <v>0</v>
      </c>
      <c r="S840" s="925">
        <v>0</v>
      </c>
      <c r="T840" s="925">
        <v>0</v>
      </c>
      <c r="U840" s="925">
        <v>0</v>
      </c>
      <c r="V840" s="925">
        <v>0</v>
      </c>
      <c r="W840" s="925">
        <v>0</v>
      </c>
      <c r="X840" s="925">
        <v>0</v>
      </c>
      <c r="Y840" s="925">
        <v>0</v>
      </c>
      <c r="Z840" s="921">
        <v>83458.789999999994</v>
      </c>
      <c r="AA840" s="925">
        <v>0</v>
      </c>
    </row>
    <row r="841" spans="1:27" s="867" customFormat="1" ht="104.25" customHeight="1">
      <c r="A841" s="927">
        <v>326</v>
      </c>
      <c r="B841" s="868" t="s">
        <v>1228</v>
      </c>
      <c r="C841" s="925">
        <f>D841+N841+P841+R841+T841+X841+Z841</f>
        <v>2011655.53</v>
      </c>
      <c r="D841" s="925">
        <f>SUM(E841:J841)</f>
        <v>0</v>
      </c>
      <c r="E841" s="925">
        <v>0</v>
      </c>
      <c r="F841" s="925">
        <v>0</v>
      </c>
      <c r="G841" s="925">
        <v>0</v>
      </c>
      <c r="H841" s="925">
        <v>0</v>
      </c>
      <c r="I841" s="925">
        <v>0</v>
      </c>
      <c r="J841" s="925">
        <v>0</v>
      </c>
      <c r="K841" s="861">
        <v>0</v>
      </c>
      <c r="L841" s="925">
        <v>0</v>
      </c>
      <c r="M841" s="925">
        <v>0</v>
      </c>
      <c r="N841" s="925">
        <v>0</v>
      </c>
      <c r="O841" s="925">
        <v>505.3</v>
      </c>
      <c r="P841" s="925">
        <v>1900845.73</v>
      </c>
      <c r="Q841" s="925">
        <v>0</v>
      </c>
      <c r="R841" s="925">
        <v>0</v>
      </c>
      <c r="S841" s="925">
        <v>0</v>
      </c>
      <c r="T841" s="925">
        <v>0</v>
      </c>
      <c r="U841" s="925">
        <v>0</v>
      </c>
      <c r="V841" s="925">
        <v>0</v>
      </c>
      <c r="W841" s="925">
        <v>0</v>
      </c>
      <c r="X841" s="925">
        <v>0</v>
      </c>
      <c r="Y841" s="925">
        <v>0</v>
      </c>
      <c r="Z841" s="921">
        <v>110809.8</v>
      </c>
      <c r="AA841" s="925">
        <v>0</v>
      </c>
    </row>
    <row r="842" spans="1:27" s="867" customFormat="1" ht="89.25" customHeight="1">
      <c r="A842" s="927">
        <v>327</v>
      </c>
      <c r="B842" s="868" t="s">
        <v>1229</v>
      </c>
      <c r="C842" s="925">
        <f>D842+N842+P842+R842+T842+X842+Z842</f>
        <v>1221986.53</v>
      </c>
      <c r="D842" s="925">
        <f>SUM(E842:J842)</f>
        <v>0</v>
      </c>
      <c r="E842" s="925">
        <v>0</v>
      </c>
      <c r="F842" s="925">
        <v>0</v>
      </c>
      <c r="G842" s="925">
        <v>0</v>
      </c>
      <c r="H842" s="925">
        <v>0</v>
      </c>
      <c r="I842" s="925">
        <v>0</v>
      </c>
      <c r="J842" s="925">
        <v>0</v>
      </c>
      <c r="K842" s="861">
        <v>0</v>
      </c>
      <c r="L842" s="925">
        <v>0</v>
      </c>
      <c r="M842" s="925">
        <v>0</v>
      </c>
      <c r="N842" s="925">
        <v>0</v>
      </c>
      <c r="O842" s="925">
        <v>360.1</v>
      </c>
      <c r="P842" s="925">
        <v>1147922.96</v>
      </c>
      <c r="Q842" s="925">
        <v>0</v>
      </c>
      <c r="R842" s="925">
        <v>0</v>
      </c>
      <c r="S842" s="925">
        <v>0</v>
      </c>
      <c r="T842" s="925">
        <v>0</v>
      </c>
      <c r="U842" s="925">
        <v>0</v>
      </c>
      <c r="V842" s="925">
        <v>0</v>
      </c>
      <c r="W842" s="925">
        <v>0</v>
      </c>
      <c r="X842" s="925">
        <v>0</v>
      </c>
      <c r="Y842" s="925">
        <v>0</v>
      </c>
      <c r="Z842" s="921">
        <v>74063.570000000007</v>
      </c>
      <c r="AA842" s="925">
        <v>0</v>
      </c>
    </row>
    <row r="843" spans="1:27" s="867" customFormat="1" ht="95.25" customHeight="1">
      <c r="A843" s="927">
        <v>328</v>
      </c>
      <c r="B843" s="863" t="s">
        <v>2252</v>
      </c>
      <c r="C843" s="925">
        <f t="shared" si="182"/>
        <v>1291846.3800000001</v>
      </c>
      <c r="D843" s="925">
        <f t="shared" si="183"/>
        <v>0</v>
      </c>
      <c r="E843" s="925">
        <v>0</v>
      </c>
      <c r="F843" s="925">
        <v>0</v>
      </c>
      <c r="G843" s="925">
        <v>0</v>
      </c>
      <c r="H843" s="925">
        <v>0</v>
      </c>
      <c r="I843" s="925">
        <v>0</v>
      </c>
      <c r="J843" s="925">
        <v>0</v>
      </c>
      <c r="K843" s="861">
        <v>0</v>
      </c>
      <c r="L843" s="925">
        <v>0</v>
      </c>
      <c r="M843" s="925">
        <v>0</v>
      </c>
      <c r="N843" s="925">
        <v>0</v>
      </c>
      <c r="O843" s="925">
        <v>303</v>
      </c>
      <c r="P843" s="925">
        <v>1198013.3400000001</v>
      </c>
      <c r="Q843" s="925">
        <v>0</v>
      </c>
      <c r="R843" s="925">
        <v>0</v>
      </c>
      <c r="S843" s="925">
        <v>0</v>
      </c>
      <c r="T843" s="925">
        <v>0</v>
      </c>
      <c r="U843" s="925">
        <v>0</v>
      </c>
      <c r="V843" s="925">
        <v>0</v>
      </c>
      <c r="W843" s="925">
        <v>0</v>
      </c>
      <c r="X843" s="925">
        <v>0</v>
      </c>
      <c r="Y843" s="925">
        <v>0</v>
      </c>
      <c r="Z843" s="921">
        <v>93833.04</v>
      </c>
      <c r="AA843" s="925">
        <v>0</v>
      </c>
    </row>
    <row r="844" spans="1:27" s="867" customFormat="1" ht="92.25" customHeight="1">
      <c r="A844" s="927">
        <v>329</v>
      </c>
      <c r="B844" s="863" t="s">
        <v>1254</v>
      </c>
      <c r="C844" s="925">
        <f t="shared" si="182"/>
        <v>4091527.11</v>
      </c>
      <c r="D844" s="925">
        <f t="shared" si="183"/>
        <v>0</v>
      </c>
      <c r="E844" s="925">
        <v>0</v>
      </c>
      <c r="F844" s="925">
        <v>0</v>
      </c>
      <c r="G844" s="925">
        <v>0</v>
      </c>
      <c r="H844" s="925">
        <v>0</v>
      </c>
      <c r="I844" s="925">
        <v>0</v>
      </c>
      <c r="J844" s="925">
        <v>0</v>
      </c>
      <c r="K844" s="861">
        <v>0</v>
      </c>
      <c r="L844" s="925">
        <v>0</v>
      </c>
      <c r="M844" s="925">
        <v>0</v>
      </c>
      <c r="N844" s="925">
        <v>0</v>
      </c>
      <c r="O844" s="925">
        <v>812.7</v>
      </c>
      <c r="P844" s="925">
        <v>3869887.88</v>
      </c>
      <c r="Q844" s="925">
        <v>0</v>
      </c>
      <c r="R844" s="925">
        <v>0</v>
      </c>
      <c r="S844" s="925">
        <v>0</v>
      </c>
      <c r="T844" s="925">
        <v>0</v>
      </c>
      <c r="U844" s="925">
        <v>0</v>
      </c>
      <c r="V844" s="925">
        <v>0</v>
      </c>
      <c r="W844" s="925">
        <v>0</v>
      </c>
      <c r="X844" s="925">
        <v>0</v>
      </c>
      <c r="Y844" s="925">
        <v>0</v>
      </c>
      <c r="Z844" s="921">
        <v>221639.23</v>
      </c>
      <c r="AA844" s="925">
        <v>0</v>
      </c>
    </row>
    <row r="845" spans="1:27" s="867" customFormat="1" ht="98.25" customHeight="1">
      <c r="A845" s="927">
        <v>330</v>
      </c>
      <c r="B845" s="868" t="s">
        <v>1230</v>
      </c>
      <c r="C845" s="925">
        <f t="shared" si="182"/>
        <v>1050104.82</v>
      </c>
      <c r="D845" s="925">
        <f t="shared" si="183"/>
        <v>0</v>
      </c>
      <c r="E845" s="925">
        <v>0</v>
      </c>
      <c r="F845" s="925">
        <v>0</v>
      </c>
      <c r="G845" s="925">
        <v>0</v>
      </c>
      <c r="H845" s="925">
        <v>0</v>
      </c>
      <c r="I845" s="925">
        <v>0</v>
      </c>
      <c r="J845" s="925">
        <v>0</v>
      </c>
      <c r="K845" s="861">
        <v>0</v>
      </c>
      <c r="L845" s="925">
        <v>0</v>
      </c>
      <c r="M845" s="925">
        <v>0</v>
      </c>
      <c r="N845" s="925">
        <v>0</v>
      </c>
      <c r="O845" s="925">
        <v>246.3</v>
      </c>
      <c r="P845" s="925">
        <v>973830.64</v>
      </c>
      <c r="Q845" s="925">
        <v>0</v>
      </c>
      <c r="R845" s="925">
        <v>0</v>
      </c>
      <c r="S845" s="925">
        <v>0</v>
      </c>
      <c r="T845" s="925">
        <v>0</v>
      </c>
      <c r="U845" s="925">
        <v>0</v>
      </c>
      <c r="V845" s="925">
        <v>0</v>
      </c>
      <c r="W845" s="925">
        <v>0</v>
      </c>
      <c r="X845" s="925">
        <v>0</v>
      </c>
      <c r="Y845" s="925">
        <v>0</v>
      </c>
      <c r="Z845" s="921">
        <v>76274.179999999993</v>
      </c>
      <c r="AA845" s="925">
        <v>0</v>
      </c>
    </row>
    <row r="846" spans="1:27" s="867" customFormat="1" ht="98.25" customHeight="1">
      <c r="A846" s="927">
        <v>331</v>
      </c>
      <c r="B846" s="868" t="s">
        <v>1121</v>
      </c>
      <c r="C846" s="925">
        <f t="shared" si="182"/>
        <v>1646831.78</v>
      </c>
      <c r="D846" s="925">
        <f t="shared" si="183"/>
        <v>0</v>
      </c>
      <c r="E846" s="925">
        <v>0</v>
      </c>
      <c r="F846" s="925">
        <v>0</v>
      </c>
      <c r="G846" s="925">
        <v>0</v>
      </c>
      <c r="H846" s="925">
        <v>0</v>
      </c>
      <c r="I846" s="925">
        <v>0</v>
      </c>
      <c r="J846" s="925">
        <v>0</v>
      </c>
      <c r="K846" s="861">
        <v>0</v>
      </c>
      <c r="L846" s="925">
        <v>0</v>
      </c>
      <c r="M846" s="925">
        <v>0</v>
      </c>
      <c r="N846" s="925">
        <v>0</v>
      </c>
      <c r="O846" s="925">
        <v>0</v>
      </c>
      <c r="P846" s="925">
        <v>0</v>
      </c>
      <c r="Q846" s="925">
        <v>0</v>
      </c>
      <c r="R846" s="925">
        <v>0</v>
      </c>
      <c r="S846" s="925">
        <v>520.79999999999995</v>
      </c>
      <c r="T846" s="925">
        <v>1527214.44</v>
      </c>
      <c r="U846" s="925">
        <v>0</v>
      </c>
      <c r="V846" s="925">
        <v>0</v>
      </c>
      <c r="W846" s="925">
        <v>0</v>
      </c>
      <c r="X846" s="925">
        <v>0</v>
      </c>
      <c r="Y846" s="925">
        <v>0</v>
      </c>
      <c r="Z846" s="921">
        <v>119617.34</v>
      </c>
      <c r="AA846" s="925">
        <v>0</v>
      </c>
    </row>
    <row r="847" spans="1:27" s="867" customFormat="1" ht="98.25" customHeight="1">
      <c r="A847" s="927">
        <v>332</v>
      </c>
      <c r="B847" s="868" t="s">
        <v>1122</v>
      </c>
      <c r="C847" s="925">
        <f t="shared" si="182"/>
        <v>1639242.6900000002</v>
      </c>
      <c r="D847" s="925">
        <f t="shared" si="183"/>
        <v>0</v>
      </c>
      <c r="E847" s="925">
        <v>0</v>
      </c>
      <c r="F847" s="925">
        <v>0</v>
      </c>
      <c r="G847" s="925">
        <v>0</v>
      </c>
      <c r="H847" s="925">
        <v>0</v>
      </c>
      <c r="I847" s="925">
        <v>0</v>
      </c>
      <c r="J847" s="925">
        <v>0</v>
      </c>
      <c r="K847" s="861">
        <v>0</v>
      </c>
      <c r="L847" s="925">
        <v>0</v>
      </c>
      <c r="M847" s="925">
        <v>0</v>
      </c>
      <c r="N847" s="925">
        <v>0</v>
      </c>
      <c r="O847" s="925">
        <v>0</v>
      </c>
      <c r="P847" s="925">
        <v>0</v>
      </c>
      <c r="Q847" s="925">
        <v>0</v>
      </c>
      <c r="R847" s="925">
        <v>0</v>
      </c>
      <c r="S847" s="925">
        <v>518.4</v>
      </c>
      <c r="T847" s="925">
        <v>1520176.58</v>
      </c>
      <c r="U847" s="925">
        <v>0</v>
      </c>
      <c r="V847" s="925">
        <v>0</v>
      </c>
      <c r="W847" s="925">
        <v>0</v>
      </c>
      <c r="X847" s="925">
        <v>0</v>
      </c>
      <c r="Y847" s="925">
        <v>0</v>
      </c>
      <c r="Z847" s="921">
        <v>119066.11</v>
      </c>
      <c r="AA847" s="925">
        <v>0</v>
      </c>
    </row>
    <row r="848" spans="1:27" s="867" customFormat="1" ht="71.45" customHeight="1">
      <c r="A848" s="927">
        <v>333</v>
      </c>
      <c r="B848" s="863" t="s">
        <v>885</v>
      </c>
      <c r="C848" s="925">
        <f>D848+N848+P848+R848+T848+X848+Z848</f>
        <v>443764.06183221354</v>
      </c>
      <c r="D848" s="925">
        <f>SUM(E848:J848)</f>
        <v>425781.93</v>
      </c>
      <c r="E848" s="925">
        <v>425781.93</v>
      </c>
      <c r="F848" s="925">
        <v>0</v>
      </c>
      <c r="G848" s="925">
        <v>0</v>
      </c>
      <c r="H848" s="925">
        <v>0</v>
      </c>
      <c r="I848" s="925">
        <v>0</v>
      </c>
      <c r="J848" s="925">
        <v>0</v>
      </c>
      <c r="K848" s="861">
        <v>0</v>
      </c>
      <c r="L848" s="925">
        <v>0</v>
      </c>
      <c r="M848" s="925">
        <v>0</v>
      </c>
      <c r="N848" s="925">
        <v>0</v>
      </c>
      <c r="O848" s="925">
        <v>0</v>
      </c>
      <c r="P848" s="925">
        <v>0</v>
      </c>
      <c r="Q848" s="925">
        <v>0</v>
      </c>
      <c r="R848" s="925">
        <v>0</v>
      </c>
      <c r="S848" s="925">
        <v>0</v>
      </c>
      <c r="T848" s="925">
        <v>0</v>
      </c>
      <c r="U848" s="925">
        <v>0</v>
      </c>
      <c r="V848" s="925">
        <v>0</v>
      </c>
      <c r="W848" s="925">
        <v>0</v>
      </c>
      <c r="X848" s="925">
        <v>0</v>
      </c>
      <c r="Y848" s="925">
        <v>0</v>
      </c>
      <c r="Z848" s="921">
        <v>17982.131832213545</v>
      </c>
      <c r="AA848" s="925">
        <v>0</v>
      </c>
    </row>
    <row r="849" spans="1:27" s="867" customFormat="1" ht="71.45" customHeight="1">
      <c r="A849" s="927">
        <v>334</v>
      </c>
      <c r="B849" s="863" t="s">
        <v>884</v>
      </c>
      <c r="C849" s="925">
        <f t="shared" ref="C849:C864" si="184">D849+N849+P849+R849+T849+X849+Z849</f>
        <v>1613218.4600000002</v>
      </c>
      <c r="D849" s="925">
        <f t="shared" ref="D849:D864" si="185">SUM(E849:J849)</f>
        <v>0</v>
      </c>
      <c r="E849" s="925">
        <v>0</v>
      </c>
      <c r="F849" s="925">
        <v>0</v>
      </c>
      <c r="G849" s="925">
        <v>0</v>
      </c>
      <c r="H849" s="925">
        <v>0</v>
      </c>
      <c r="I849" s="925">
        <v>0</v>
      </c>
      <c r="J849" s="925">
        <v>0</v>
      </c>
      <c r="K849" s="861">
        <v>0</v>
      </c>
      <c r="L849" s="925">
        <v>0</v>
      </c>
      <c r="M849" s="925">
        <v>0</v>
      </c>
      <c r="N849" s="925">
        <v>0</v>
      </c>
      <c r="O849" s="925">
        <v>0</v>
      </c>
      <c r="P849" s="925">
        <v>0</v>
      </c>
      <c r="Q849" s="925">
        <v>0</v>
      </c>
      <c r="R849" s="925">
        <v>0</v>
      </c>
      <c r="S849" s="925">
        <v>510.17</v>
      </c>
      <c r="T849" s="925">
        <v>1496042.61</v>
      </c>
      <c r="U849" s="925">
        <v>0</v>
      </c>
      <c r="V849" s="925">
        <v>0</v>
      </c>
      <c r="W849" s="925">
        <v>0</v>
      </c>
      <c r="X849" s="925">
        <v>0</v>
      </c>
      <c r="Y849" s="925">
        <v>0</v>
      </c>
      <c r="Z849" s="921">
        <v>117175.85</v>
      </c>
      <c r="AA849" s="925">
        <v>0</v>
      </c>
    </row>
    <row r="850" spans="1:27" s="867" customFormat="1" ht="95.25" customHeight="1">
      <c r="A850" s="927">
        <v>335</v>
      </c>
      <c r="B850" s="863" t="s">
        <v>1076</v>
      </c>
      <c r="C850" s="925">
        <f t="shared" si="184"/>
        <v>1630796.1700000002</v>
      </c>
      <c r="D850" s="925">
        <f t="shared" si="185"/>
        <v>0</v>
      </c>
      <c r="E850" s="925">
        <v>0</v>
      </c>
      <c r="F850" s="925">
        <v>0</v>
      </c>
      <c r="G850" s="925">
        <v>0</v>
      </c>
      <c r="H850" s="925">
        <v>0</v>
      </c>
      <c r="I850" s="925">
        <v>0</v>
      </c>
      <c r="J850" s="925">
        <v>0</v>
      </c>
      <c r="K850" s="861">
        <v>0</v>
      </c>
      <c r="L850" s="925">
        <v>0</v>
      </c>
      <c r="M850" s="925">
        <v>0</v>
      </c>
      <c r="N850" s="925">
        <v>0</v>
      </c>
      <c r="O850" s="929">
        <v>382.5</v>
      </c>
      <c r="P850" s="925">
        <v>1512343.57</v>
      </c>
      <c r="Q850" s="925">
        <v>0</v>
      </c>
      <c r="R850" s="925">
        <v>0</v>
      </c>
      <c r="S850" s="925">
        <v>0</v>
      </c>
      <c r="T850" s="925">
        <v>0</v>
      </c>
      <c r="U850" s="925">
        <v>0</v>
      </c>
      <c r="V850" s="925">
        <v>0</v>
      </c>
      <c r="W850" s="925">
        <v>0</v>
      </c>
      <c r="X850" s="925">
        <v>0</v>
      </c>
      <c r="Y850" s="925">
        <v>0</v>
      </c>
      <c r="Z850" s="864">
        <v>118452.6</v>
      </c>
      <c r="AA850" s="925">
        <v>0</v>
      </c>
    </row>
    <row r="851" spans="1:27" s="867" customFormat="1" ht="104.25" customHeight="1">
      <c r="A851" s="927">
        <v>336</v>
      </c>
      <c r="B851" s="863" t="s">
        <v>1872</v>
      </c>
      <c r="C851" s="925">
        <f t="shared" si="184"/>
        <v>1236420.6299999999</v>
      </c>
      <c r="D851" s="925">
        <f t="shared" si="185"/>
        <v>0</v>
      </c>
      <c r="E851" s="925">
        <v>0</v>
      </c>
      <c r="F851" s="925">
        <v>0</v>
      </c>
      <c r="G851" s="925">
        <v>0</v>
      </c>
      <c r="H851" s="925">
        <v>0</v>
      </c>
      <c r="I851" s="925">
        <v>0</v>
      </c>
      <c r="J851" s="925">
        <v>0</v>
      </c>
      <c r="K851" s="861">
        <v>0</v>
      </c>
      <c r="L851" s="925">
        <v>0</v>
      </c>
      <c r="M851" s="925">
        <v>0</v>
      </c>
      <c r="N851" s="925">
        <v>0</v>
      </c>
      <c r="O851" s="929">
        <v>290</v>
      </c>
      <c r="P851" s="925">
        <v>1146613.43</v>
      </c>
      <c r="Q851" s="925">
        <v>0</v>
      </c>
      <c r="R851" s="925">
        <v>0</v>
      </c>
      <c r="S851" s="925">
        <v>0</v>
      </c>
      <c r="T851" s="925">
        <v>0</v>
      </c>
      <c r="U851" s="925">
        <v>0</v>
      </c>
      <c r="V851" s="925">
        <v>0</v>
      </c>
      <c r="W851" s="925">
        <v>0</v>
      </c>
      <c r="X851" s="925">
        <v>0</v>
      </c>
      <c r="Y851" s="925">
        <v>0</v>
      </c>
      <c r="Z851" s="864">
        <v>89807.2</v>
      </c>
      <c r="AA851" s="925">
        <v>0</v>
      </c>
    </row>
    <row r="852" spans="1:27" s="867" customFormat="1" ht="101.25" customHeight="1">
      <c r="A852" s="927">
        <v>337</v>
      </c>
      <c r="B852" s="863" t="s">
        <v>2253</v>
      </c>
      <c r="C852" s="925">
        <f t="shared" si="184"/>
        <v>4752006.0199999996</v>
      </c>
      <c r="D852" s="925">
        <f t="shared" si="185"/>
        <v>0</v>
      </c>
      <c r="E852" s="925">
        <v>0</v>
      </c>
      <c r="F852" s="925">
        <v>0</v>
      </c>
      <c r="G852" s="925">
        <v>0</v>
      </c>
      <c r="H852" s="925">
        <v>0</v>
      </c>
      <c r="I852" s="925">
        <v>0</v>
      </c>
      <c r="J852" s="925">
        <v>0</v>
      </c>
      <c r="K852" s="861">
        <v>0</v>
      </c>
      <c r="L852" s="925">
        <v>0</v>
      </c>
      <c r="M852" s="925">
        <v>0</v>
      </c>
      <c r="N852" s="925">
        <v>0</v>
      </c>
      <c r="O852" s="929">
        <v>1321.6</v>
      </c>
      <c r="P852" s="925">
        <v>4428963.63</v>
      </c>
      <c r="Q852" s="925">
        <v>0</v>
      </c>
      <c r="R852" s="925">
        <v>0</v>
      </c>
      <c r="S852" s="925">
        <v>0</v>
      </c>
      <c r="T852" s="925">
        <v>0</v>
      </c>
      <c r="U852" s="925">
        <v>0</v>
      </c>
      <c r="V852" s="925">
        <v>0</v>
      </c>
      <c r="W852" s="925">
        <v>0</v>
      </c>
      <c r="X852" s="925">
        <v>0</v>
      </c>
      <c r="Y852" s="925">
        <v>0</v>
      </c>
      <c r="Z852" s="864">
        <v>323042.39</v>
      </c>
      <c r="AA852" s="925">
        <v>0</v>
      </c>
    </row>
    <row r="853" spans="1:27" s="867" customFormat="1" ht="107.25" customHeight="1">
      <c r="A853" s="927">
        <v>338</v>
      </c>
      <c r="B853" s="863" t="s">
        <v>1874</v>
      </c>
      <c r="C853" s="925">
        <f t="shared" si="184"/>
        <v>1297904.9100000001</v>
      </c>
      <c r="D853" s="925">
        <f t="shared" si="185"/>
        <v>0</v>
      </c>
      <c r="E853" s="925">
        <v>0</v>
      </c>
      <c r="F853" s="925">
        <v>0</v>
      </c>
      <c r="G853" s="925">
        <v>0</v>
      </c>
      <c r="H853" s="925">
        <v>0</v>
      </c>
      <c r="I853" s="925">
        <v>0</v>
      </c>
      <c r="J853" s="925">
        <v>0</v>
      </c>
      <c r="K853" s="861">
        <v>0</v>
      </c>
      <c r="L853" s="925">
        <v>0</v>
      </c>
      <c r="M853" s="925">
        <v>0</v>
      </c>
      <c r="N853" s="925">
        <v>0</v>
      </c>
      <c r="O853" s="929">
        <v>308.8</v>
      </c>
      <c r="P853" s="925">
        <v>1220945.6100000001</v>
      </c>
      <c r="Q853" s="925">
        <v>0</v>
      </c>
      <c r="R853" s="925">
        <v>0</v>
      </c>
      <c r="S853" s="925">
        <v>0</v>
      </c>
      <c r="T853" s="925">
        <v>0</v>
      </c>
      <c r="U853" s="925">
        <v>0</v>
      </c>
      <c r="V853" s="925">
        <v>0</v>
      </c>
      <c r="W853" s="925">
        <v>0</v>
      </c>
      <c r="X853" s="925">
        <v>0</v>
      </c>
      <c r="Y853" s="925">
        <v>0</v>
      </c>
      <c r="Z853" s="864">
        <v>76959.3</v>
      </c>
      <c r="AA853" s="925">
        <v>0</v>
      </c>
    </row>
    <row r="854" spans="1:27" s="867" customFormat="1" ht="112.5" customHeight="1">
      <c r="A854" s="927">
        <v>339</v>
      </c>
      <c r="B854" s="863" t="s">
        <v>1875</v>
      </c>
      <c r="C854" s="925">
        <f t="shared" si="184"/>
        <v>2720952.52</v>
      </c>
      <c r="D854" s="925">
        <f t="shared" si="185"/>
        <v>0</v>
      </c>
      <c r="E854" s="925">
        <v>0</v>
      </c>
      <c r="F854" s="925">
        <v>0</v>
      </c>
      <c r="G854" s="925">
        <v>0</v>
      </c>
      <c r="H854" s="925">
        <v>0</v>
      </c>
      <c r="I854" s="925">
        <v>0</v>
      </c>
      <c r="J854" s="925">
        <v>0</v>
      </c>
      <c r="K854" s="861">
        <v>0</v>
      </c>
      <c r="L854" s="925">
        <v>0</v>
      </c>
      <c r="M854" s="925">
        <v>0</v>
      </c>
      <c r="N854" s="925">
        <v>0</v>
      </c>
      <c r="O854" s="929">
        <v>756.8</v>
      </c>
      <c r="P854" s="925">
        <v>2536198.2999999998</v>
      </c>
      <c r="Q854" s="925">
        <v>0</v>
      </c>
      <c r="R854" s="925">
        <v>0</v>
      </c>
      <c r="S854" s="925">
        <v>0</v>
      </c>
      <c r="T854" s="925">
        <v>0</v>
      </c>
      <c r="U854" s="925">
        <v>0</v>
      </c>
      <c r="V854" s="925">
        <v>0</v>
      </c>
      <c r="W854" s="925">
        <v>0</v>
      </c>
      <c r="X854" s="925">
        <v>0</v>
      </c>
      <c r="Y854" s="925">
        <v>0</v>
      </c>
      <c r="Z854" s="864">
        <v>184754.22</v>
      </c>
      <c r="AA854" s="925">
        <v>0</v>
      </c>
    </row>
    <row r="855" spans="1:27" s="867" customFormat="1" ht="91.5" customHeight="1">
      <c r="A855" s="927">
        <v>340</v>
      </c>
      <c r="B855" s="863" t="s">
        <v>1198</v>
      </c>
      <c r="C855" s="925">
        <f t="shared" si="184"/>
        <v>1722085</v>
      </c>
      <c r="D855" s="925">
        <f t="shared" si="185"/>
        <v>0</v>
      </c>
      <c r="E855" s="925">
        <v>0</v>
      </c>
      <c r="F855" s="925">
        <v>0</v>
      </c>
      <c r="G855" s="925">
        <v>0</v>
      </c>
      <c r="H855" s="925">
        <v>0</v>
      </c>
      <c r="I855" s="925">
        <v>0</v>
      </c>
      <c r="J855" s="925">
        <v>0</v>
      </c>
      <c r="K855" s="861">
        <v>0</v>
      </c>
      <c r="L855" s="925">
        <v>0</v>
      </c>
      <c r="M855" s="925">
        <v>0</v>
      </c>
      <c r="N855" s="925">
        <v>0</v>
      </c>
      <c r="O855" s="929">
        <v>508.8</v>
      </c>
      <c r="P855" s="929">
        <v>1597002</v>
      </c>
      <c r="Q855" s="925">
        <v>0</v>
      </c>
      <c r="R855" s="925">
        <v>0</v>
      </c>
      <c r="S855" s="925">
        <v>0</v>
      </c>
      <c r="T855" s="925">
        <v>0</v>
      </c>
      <c r="U855" s="925">
        <v>0</v>
      </c>
      <c r="V855" s="925">
        <v>0</v>
      </c>
      <c r="W855" s="925">
        <v>0</v>
      </c>
      <c r="X855" s="925">
        <v>0</v>
      </c>
      <c r="Y855" s="925">
        <v>0</v>
      </c>
      <c r="Z855" s="864">
        <v>125083</v>
      </c>
      <c r="AA855" s="925">
        <v>0</v>
      </c>
    </row>
    <row r="856" spans="1:27" s="867" customFormat="1" ht="91.5" customHeight="1">
      <c r="A856" s="927">
        <v>341</v>
      </c>
      <c r="B856" s="863" t="s">
        <v>1950</v>
      </c>
      <c r="C856" s="925">
        <f t="shared" si="184"/>
        <v>3723730.37</v>
      </c>
      <c r="D856" s="925">
        <f t="shared" si="185"/>
        <v>0</v>
      </c>
      <c r="E856" s="925">
        <v>0</v>
      </c>
      <c r="F856" s="925">
        <v>0</v>
      </c>
      <c r="G856" s="925">
        <v>0</v>
      </c>
      <c r="H856" s="925">
        <v>0</v>
      </c>
      <c r="I856" s="925">
        <v>0</v>
      </c>
      <c r="J856" s="925">
        <v>0</v>
      </c>
      <c r="K856" s="861">
        <v>0</v>
      </c>
      <c r="L856" s="925">
        <v>0</v>
      </c>
      <c r="M856" s="925">
        <v>0</v>
      </c>
      <c r="N856" s="925">
        <v>0</v>
      </c>
      <c r="O856" s="929">
        <v>1030.45</v>
      </c>
      <c r="P856" s="929">
        <v>3453257.85</v>
      </c>
      <c r="Q856" s="925">
        <v>0</v>
      </c>
      <c r="R856" s="925">
        <v>0</v>
      </c>
      <c r="S856" s="925">
        <v>0</v>
      </c>
      <c r="T856" s="925">
        <v>0</v>
      </c>
      <c r="U856" s="925">
        <v>0</v>
      </c>
      <c r="V856" s="925">
        <v>0</v>
      </c>
      <c r="W856" s="925">
        <v>0</v>
      </c>
      <c r="X856" s="925">
        <v>0</v>
      </c>
      <c r="Y856" s="925">
        <v>0</v>
      </c>
      <c r="Z856" s="864">
        <v>270472.52</v>
      </c>
      <c r="AA856" s="925">
        <v>0</v>
      </c>
    </row>
    <row r="857" spans="1:27" s="867" customFormat="1" ht="91.5" customHeight="1">
      <c r="A857" s="927">
        <v>342</v>
      </c>
      <c r="B857" s="863" t="s">
        <v>2042</v>
      </c>
      <c r="C857" s="925">
        <f t="shared" si="184"/>
        <v>807936.92999999993</v>
      </c>
      <c r="D857" s="925">
        <f t="shared" si="185"/>
        <v>0</v>
      </c>
      <c r="E857" s="925">
        <v>0</v>
      </c>
      <c r="F857" s="925">
        <v>0</v>
      </c>
      <c r="G857" s="925">
        <v>0</v>
      </c>
      <c r="H857" s="925">
        <v>0</v>
      </c>
      <c r="I857" s="925">
        <v>0</v>
      </c>
      <c r="J857" s="925">
        <v>0</v>
      </c>
      <c r="K857" s="861">
        <v>0</v>
      </c>
      <c r="L857" s="925">
        <v>0</v>
      </c>
      <c r="M857" s="925">
        <v>0</v>
      </c>
      <c r="N857" s="925">
        <v>0</v>
      </c>
      <c r="O857" s="929">
        <v>189.5</v>
      </c>
      <c r="P857" s="929">
        <v>749252.57</v>
      </c>
      <c r="Q857" s="925">
        <v>0</v>
      </c>
      <c r="R857" s="925">
        <v>0</v>
      </c>
      <c r="S857" s="925">
        <v>0</v>
      </c>
      <c r="T857" s="925">
        <v>0</v>
      </c>
      <c r="U857" s="925">
        <v>0</v>
      </c>
      <c r="V857" s="925">
        <v>0</v>
      </c>
      <c r="W857" s="925">
        <v>0</v>
      </c>
      <c r="X857" s="925">
        <v>0</v>
      </c>
      <c r="Y857" s="925">
        <v>0</v>
      </c>
      <c r="Z857" s="864">
        <v>58684.36</v>
      </c>
      <c r="AA857" s="925">
        <v>0</v>
      </c>
    </row>
    <row r="858" spans="1:27" s="867" customFormat="1" ht="91.5" customHeight="1">
      <c r="A858" s="927">
        <v>343</v>
      </c>
      <c r="B858" s="863" t="s">
        <v>1877</v>
      </c>
      <c r="C858" s="925">
        <f t="shared" si="184"/>
        <v>3322791.08</v>
      </c>
      <c r="D858" s="925">
        <f t="shared" si="185"/>
        <v>0</v>
      </c>
      <c r="E858" s="925">
        <v>0</v>
      </c>
      <c r="F858" s="925">
        <v>0</v>
      </c>
      <c r="G858" s="925">
        <v>0</v>
      </c>
      <c r="H858" s="925">
        <v>0</v>
      </c>
      <c r="I858" s="925">
        <v>0</v>
      </c>
      <c r="J858" s="925">
        <v>0</v>
      </c>
      <c r="K858" s="861">
        <v>0</v>
      </c>
      <c r="L858" s="925">
        <v>0</v>
      </c>
      <c r="M858" s="925">
        <v>0</v>
      </c>
      <c r="N858" s="925">
        <v>0</v>
      </c>
      <c r="O858" s="929">
        <v>919.5</v>
      </c>
      <c r="P858" s="925">
        <v>3081440.72</v>
      </c>
      <c r="Q858" s="925">
        <v>0</v>
      </c>
      <c r="R858" s="925">
        <v>0</v>
      </c>
      <c r="S858" s="925">
        <v>0</v>
      </c>
      <c r="T858" s="925">
        <v>0</v>
      </c>
      <c r="U858" s="925">
        <v>0</v>
      </c>
      <c r="V858" s="925">
        <v>0</v>
      </c>
      <c r="W858" s="925">
        <v>0</v>
      </c>
      <c r="X858" s="925">
        <v>0</v>
      </c>
      <c r="Y858" s="925">
        <v>0</v>
      </c>
      <c r="Z858" s="864">
        <v>241350.36</v>
      </c>
      <c r="AA858" s="925">
        <v>0</v>
      </c>
    </row>
    <row r="859" spans="1:27" s="867" customFormat="1" ht="85.15" customHeight="1">
      <c r="A859" s="927">
        <v>344</v>
      </c>
      <c r="B859" s="863" t="s">
        <v>1885</v>
      </c>
      <c r="C859" s="925">
        <f t="shared" si="184"/>
        <v>3323513.82</v>
      </c>
      <c r="D859" s="925">
        <f t="shared" si="185"/>
        <v>0</v>
      </c>
      <c r="E859" s="925">
        <v>0</v>
      </c>
      <c r="F859" s="925">
        <v>0</v>
      </c>
      <c r="G859" s="925">
        <v>0</v>
      </c>
      <c r="H859" s="925">
        <v>0</v>
      </c>
      <c r="I859" s="925">
        <v>0</v>
      </c>
      <c r="J859" s="925">
        <v>0</v>
      </c>
      <c r="K859" s="861">
        <v>0</v>
      </c>
      <c r="L859" s="925">
        <v>0</v>
      </c>
      <c r="M859" s="925">
        <v>0</v>
      </c>
      <c r="N859" s="925">
        <v>0</v>
      </c>
      <c r="O859" s="929">
        <v>919.7</v>
      </c>
      <c r="P859" s="929">
        <v>3082110.96</v>
      </c>
      <c r="Q859" s="925">
        <v>0</v>
      </c>
      <c r="R859" s="925">
        <v>0</v>
      </c>
      <c r="S859" s="925">
        <v>0</v>
      </c>
      <c r="T859" s="925">
        <v>0</v>
      </c>
      <c r="U859" s="925">
        <v>0</v>
      </c>
      <c r="V859" s="925">
        <v>0</v>
      </c>
      <c r="W859" s="925">
        <v>0</v>
      </c>
      <c r="X859" s="925">
        <v>0</v>
      </c>
      <c r="Y859" s="925">
        <v>0</v>
      </c>
      <c r="Z859" s="864">
        <v>241402.86</v>
      </c>
      <c r="AA859" s="925">
        <v>0</v>
      </c>
    </row>
    <row r="860" spans="1:27" s="867" customFormat="1" ht="139.9" customHeight="1">
      <c r="A860" s="927">
        <v>345</v>
      </c>
      <c r="B860" s="863" t="s">
        <v>2254</v>
      </c>
      <c r="C860" s="925">
        <f t="shared" si="184"/>
        <v>1822385.5799999998</v>
      </c>
      <c r="D860" s="925">
        <f t="shared" si="185"/>
        <v>0</v>
      </c>
      <c r="E860" s="925">
        <v>0</v>
      </c>
      <c r="F860" s="925">
        <v>0</v>
      </c>
      <c r="G860" s="925">
        <v>0</v>
      </c>
      <c r="H860" s="925">
        <v>0</v>
      </c>
      <c r="I860" s="925">
        <v>0</v>
      </c>
      <c r="J860" s="925">
        <v>0</v>
      </c>
      <c r="K860" s="861">
        <v>0</v>
      </c>
      <c r="L860" s="925">
        <v>0</v>
      </c>
      <c r="M860" s="925">
        <v>0</v>
      </c>
      <c r="N860" s="925">
        <v>0</v>
      </c>
      <c r="O860" s="929">
        <v>504.3</v>
      </c>
      <c r="P860" s="929">
        <v>1690016.92</v>
      </c>
      <c r="Q860" s="925">
        <v>0</v>
      </c>
      <c r="R860" s="925">
        <v>0</v>
      </c>
      <c r="S860" s="925">
        <v>0</v>
      </c>
      <c r="T860" s="925">
        <v>0</v>
      </c>
      <c r="U860" s="925">
        <v>0</v>
      </c>
      <c r="V860" s="925">
        <v>0</v>
      </c>
      <c r="W860" s="925">
        <v>0</v>
      </c>
      <c r="X860" s="925">
        <v>0</v>
      </c>
      <c r="Y860" s="925">
        <v>0</v>
      </c>
      <c r="Z860" s="864">
        <v>132368.66</v>
      </c>
      <c r="AA860" s="925">
        <v>0</v>
      </c>
    </row>
    <row r="861" spans="1:27" s="867" customFormat="1" ht="113.25" customHeight="1">
      <c r="A861" s="927">
        <v>346</v>
      </c>
      <c r="B861" s="863" t="s">
        <v>2043</v>
      </c>
      <c r="C861" s="925">
        <f t="shared" si="184"/>
        <v>1256032.82</v>
      </c>
      <c r="D861" s="925">
        <f t="shared" si="185"/>
        <v>0</v>
      </c>
      <c r="E861" s="925">
        <v>0</v>
      </c>
      <c r="F861" s="925">
        <v>0</v>
      </c>
      <c r="G861" s="925">
        <v>0</v>
      </c>
      <c r="H861" s="925">
        <v>0</v>
      </c>
      <c r="I861" s="925">
        <v>0</v>
      </c>
      <c r="J861" s="925">
        <v>0</v>
      </c>
      <c r="K861" s="861">
        <v>0</v>
      </c>
      <c r="L861" s="925">
        <v>0</v>
      </c>
      <c r="M861" s="925">
        <v>0</v>
      </c>
      <c r="N861" s="925">
        <v>0</v>
      </c>
      <c r="O861" s="929">
        <v>294.60000000000002</v>
      </c>
      <c r="P861" s="929">
        <v>1164801.0900000001</v>
      </c>
      <c r="Q861" s="925">
        <v>0</v>
      </c>
      <c r="R861" s="925">
        <v>0</v>
      </c>
      <c r="S861" s="925">
        <v>0</v>
      </c>
      <c r="T861" s="925">
        <v>0</v>
      </c>
      <c r="U861" s="925">
        <v>0</v>
      </c>
      <c r="V861" s="925">
        <v>0</v>
      </c>
      <c r="W861" s="925">
        <v>0</v>
      </c>
      <c r="X861" s="925">
        <v>0</v>
      </c>
      <c r="Y861" s="925">
        <v>0</v>
      </c>
      <c r="Z861" s="864">
        <v>91231.73</v>
      </c>
      <c r="AA861" s="925">
        <v>0</v>
      </c>
    </row>
    <row r="862" spans="1:27" s="867" customFormat="1" ht="108" customHeight="1">
      <c r="A862" s="927">
        <v>347</v>
      </c>
      <c r="B862" s="863" t="s">
        <v>1428</v>
      </c>
      <c r="C862" s="925">
        <f t="shared" si="184"/>
        <v>3329657.0999999996</v>
      </c>
      <c r="D862" s="925">
        <f t="shared" si="185"/>
        <v>0</v>
      </c>
      <c r="E862" s="925">
        <v>0</v>
      </c>
      <c r="F862" s="925">
        <v>0</v>
      </c>
      <c r="G862" s="925">
        <v>0</v>
      </c>
      <c r="H862" s="925">
        <v>0</v>
      </c>
      <c r="I862" s="925">
        <v>0</v>
      </c>
      <c r="J862" s="925">
        <v>0</v>
      </c>
      <c r="K862" s="861">
        <v>0</v>
      </c>
      <c r="L862" s="925">
        <v>0</v>
      </c>
      <c r="M862" s="925">
        <v>0</v>
      </c>
      <c r="N862" s="925">
        <v>0</v>
      </c>
      <c r="O862" s="929">
        <v>921.4</v>
      </c>
      <c r="P862" s="925">
        <v>3087808.03</v>
      </c>
      <c r="Q862" s="925">
        <v>0</v>
      </c>
      <c r="R862" s="925">
        <v>0</v>
      </c>
      <c r="S862" s="925">
        <v>0</v>
      </c>
      <c r="T862" s="925">
        <v>0</v>
      </c>
      <c r="U862" s="925">
        <v>0</v>
      </c>
      <c r="V862" s="925">
        <v>0</v>
      </c>
      <c r="W862" s="925">
        <v>0</v>
      </c>
      <c r="X862" s="925">
        <v>0</v>
      </c>
      <c r="Y862" s="925">
        <v>0</v>
      </c>
      <c r="Z862" s="864">
        <v>241849.07</v>
      </c>
      <c r="AA862" s="925">
        <v>0</v>
      </c>
    </row>
    <row r="863" spans="1:27" s="867" customFormat="1" ht="93" customHeight="1">
      <c r="A863" s="927">
        <v>348</v>
      </c>
      <c r="B863" s="868" t="s">
        <v>2044</v>
      </c>
      <c r="C863" s="925">
        <f t="shared" si="184"/>
        <v>2425090</v>
      </c>
      <c r="D863" s="925">
        <f t="shared" si="185"/>
        <v>0</v>
      </c>
      <c r="E863" s="925">
        <v>0</v>
      </c>
      <c r="F863" s="925">
        <v>0</v>
      </c>
      <c r="G863" s="925">
        <v>0</v>
      </c>
      <c r="H863" s="925">
        <v>0</v>
      </c>
      <c r="I863" s="925">
        <v>0</v>
      </c>
      <c r="J863" s="925">
        <v>0</v>
      </c>
      <c r="K863" s="861">
        <v>0</v>
      </c>
      <c r="L863" s="925">
        <v>0</v>
      </c>
      <c r="M863" s="925">
        <v>0</v>
      </c>
      <c r="N863" s="925">
        <v>0</v>
      </c>
      <c r="O863" s="882">
        <v>568.79999999999995</v>
      </c>
      <c r="P863" s="882">
        <v>2248944</v>
      </c>
      <c r="Q863" s="925">
        <v>0</v>
      </c>
      <c r="R863" s="925">
        <v>0</v>
      </c>
      <c r="S863" s="925">
        <v>0</v>
      </c>
      <c r="T863" s="925">
        <v>0</v>
      </c>
      <c r="U863" s="925">
        <v>0</v>
      </c>
      <c r="V863" s="925">
        <v>0</v>
      </c>
      <c r="W863" s="925">
        <v>0</v>
      </c>
      <c r="X863" s="925">
        <v>0</v>
      </c>
      <c r="Y863" s="925">
        <v>0</v>
      </c>
      <c r="Z863" s="884">
        <v>176146</v>
      </c>
      <c r="AA863" s="925">
        <v>0</v>
      </c>
    </row>
    <row r="864" spans="1:27" s="867" customFormat="1" ht="106.5" customHeight="1">
      <c r="A864" s="927">
        <v>349</v>
      </c>
      <c r="B864" s="863" t="s">
        <v>1887</v>
      </c>
      <c r="C864" s="925">
        <f t="shared" si="184"/>
        <v>1040298.7300000001</v>
      </c>
      <c r="D864" s="925">
        <f t="shared" si="185"/>
        <v>0</v>
      </c>
      <c r="E864" s="925">
        <v>0</v>
      </c>
      <c r="F864" s="925">
        <v>0</v>
      </c>
      <c r="G864" s="925">
        <v>0</v>
      </c>
      <c r="H864" s="925">
        <v>0</v>
      </c>
      <c r="I864" s="925">
        <v>0</v>
      </c>
      <c r="J864" s="925">
        <v>0</v>
      </c>
      <c r="K864" s="861">
        <v>0</v>
      </c>
      <c r="L864" s="925">
        <v>0</v>
      </c>
      <c r="M864" s="925">
        <v>0</v>
      </c>
      <c r="N864" s="925">
        <v>0</v>
      </c>
      <c r="O864" s="929">
        <v>244</v>
      </c>
      <c r="P864" s="929">
        <v>964736.81</v>
      </c>
      <c r="Q864" s="925">
        <v>0</v>
      </c>
      <c r="R864" s="925">
        <v>0</v>
      </c>
      <c r="S864" s="925">
        <v>0</v>
      </c>
      <c r="T864" s="925">
        <v>0</v>
      </c>
      <c r="U864" s="925">
        <v>0</v>
      </c>
      <c r="V864" s="925">
        <v>0</v>
      </c>
      <c r="W864" s="925">
        <v>0</v>
      </c>
      <c r="X864" s="925">
        <v>0</v>
      </c>
      <c r="Y864" s="925">
        <v>0</v>
      </c>
      <c r="Z864" s="864">
        <v>75561.919999999998</v>
      </c>
      <c r="AA864" s="925">
        <v>0</v>
      </c>
    </row>
    <row r="865" spans="1:27" s="867" customFormat="1" ht="112.5" customHeight="1">
      <c r="A865" s="1198" t="s">
        <v>1185</v>
      </c>
      <c r="B865" s="1199"/>
      <c r="C865" s="925">
        <f>SUM(C866:C871)</f>
        <v>15617979.110000001</v>
      </c>
      <c r="D865" s="925">
        <f t="shared" ref="D865:Z865" si="186">SUM(D866:D871)</f>
        <v>5432735.25</v>
      </c>
      <c r="E865" s="925">
        <f t="shared" si="186"/>
        <v>1222962.1000000001</v>
      </c>
      <c r="F865" s="925">
        <f t="shared" si="186"/>
        <v>0</v>
      </c>
      <c r="G865" s="925">
        <f t="shared" si="186"/>
        <v>996434.53</v>
      </c>
      <c r="H865" s="925">
        <f t="shared" si="186"/>
        <v>2314396.96</v>
      </c>
      <c r="I865" s="925">
        <f t="shared" si="186"/>
        <v>0</v>
      </c>
      <c r="J865" s="925">
        <f t="shared" si="186"/>
        <v>898941.66</v>
      </c>
      <c r="K865" s="861">
        <f t="shared" si="186"/>
        <v>0</v>
      </c>
      <c r="L865" s="925">
        <f t="shared" si="186"/>
        <v>0</v>
      </c>
      <c r="M865" s="925">
        <f t="shared" si="186"/>
        <v>0</v>
      </c>
      <c r="N865" s="925">
        <f t="shared" si="186"/>
        <v>0</v>
      </c>
      <c r="O865" s="925">
        <f t="shared" si="186"/>
        <v>1758.94</v>
      </c>
      <c r="P865" s="925">
        <f t="shared" si="186"/>
        <v>9158113.2100000009</v>
      </c>
      <c r="Q865" s="925">
        <f t="shared" si="186"/>
        <v>0</v>
      </c>
      <c r="R865" s="925">
        <f t="shared" si="186"/>
        <v>0</v>
      </c>
      <c r="S865" s="925">
        <f t="shared" si="186"/>
        <v>0</v>
      </c>
      <c r="T865" s="925">
        <f t="shared" si="186"/>
        <v>0</v>
      </c>
      <c r="U865" s="925">
        <f t="shared" si="186"/>
        <v>0</v>
      </c>
      <c r="V865" s="925">
        <f t="shared" si="186"/>
        <v>0</v>
      </c>
      <c r="W865" s="925">
        <f t="shared" si="186"/>
        <v>0</v>
      </c>
      <c r="X865" s="925">
        <f t="shared" si="186"/>
        <v>0</v>
      </c>
      <c r="Y865" s="925">
        <f t="shared" si="186"/>
        <v>0</v>
      </c>
      <c r="Z865" s="921">
        <f t="shared" si="186"/>
        <v>1027130.6499999999</v>
      </c>
      <c r="AA865" s="925">
        <f>AA866+AA867+AA868+AA869+AA870+AA871</f>
        <v>0</v>
      </c>
    </row>
    <row r="866" spans="1:27" s="867" customFormat="1" ht="151.5" customHeight="1">
      <c r="A866" s="927">
        <v>350</v>
      </c>
      <c r="B866" s="868" t="s">
        <v>1252</v>
      </c>
      <c r="C866" s="925">
        <f>D866+N866+P866+R866+T866+X866+Z866</f>
        <v>962024.44</v>
      </c>
      <c r="D866" s="925">
        <f t="shared" ref="D866:D871" si="187">SUM(E866:J866)</f>
        <v>892147.96</v>
      </c>
      <c r="E866" s="925">
        <v>0</v>
      </c>
      <c r="F866" s="925">
        <v>0</v>
      </c>
      <c r="G866" s="925">
        <v>0</v>
      </c>
      <c r="H866" s="925">
        <v>892147.96</v>
      </c>
      <c r="I866" s="925">
        <v>0</v>
      </c>
      <c r="J866" s="925">
        <v>0</v>
      </c>
      <c r="K866" s="861">
        <v>0</v>
      </c>
      <c r="L866" s="925">
        <v>0</v>
      </c>
      <c r="M866" s="925">
        <v>0</v>
      </c>
      <c r="N866" s="925">
        <v>0</v>
      </c>
      <c r="O866" s="925">
        <v>0</v>
      </c>
      <c r="P866" s="925">
        <v>0</v>
      </c>
      <c r="Q866" s="925">
        <v>0</v>
      </c>
      <c r="R866" s="925">
        <v>0</v>
      </c>
      <c r="S866" s="925">
        <v>0</v>
      </c>
      <c r="T866" s="925">
        <v>0</v>
      </c>
      <c r="U866" s="925">
        <v>0</v>
      </c>
      <c r="V866" s="925">
        <v>0</v>
      </c>
      <c r="W866" s="925">
        <v>0</v>
      </c>
      <c r="X866" s="925">
        <v>0</v>
      </c>
      <c r="Y866" s="925">
        <v>0</v>
      </c>
      <c r="Z866" s="921">
        <v>69876.479999999996</v>
      </c>
      <c r="AA866" s="925">
        <v>0</v>
      </c>
    </row>
    <row r="867" spans="1:27" s="867" customFormat="1" ht="90" customHeight="1">
      <c r="A867" s="927">
        <v>351</v>
      </c>
      <c r="B867" s="868" t="s">
        <v>1478</v>
      </c>
      <c r="C867" s="925">
        <f>D867+N867+P867+R867+T867+X867+Z867</f>
        <v>2608077.64</v>
      </c>
      <c r="D867" s="925">
        <f t="shared" si="187"/>
        <v>2418640.37</v>
      </c>
      <c r="E867" s="925">
        <v>651436.77</v>
      </c>
      <c r="F867" s="925">
        <v>0</v>
      </c>
      <c r="G867" s="925">
        <v>530772.04</v>
      </c>
      <c r="H867" s="925">
        <v>757591.17</v>
      </c>
      <c r="I867" s="925">
        <v>0</v>
      </c>
      <c r="J867" s="925">
        <v>478840.39</v>
      </c>
      <c r="K867" s="861">
        <v>0</v>
      </c>
      <c r="L867" s="925">
        <v>0</v>
      </c>
      <c r="M867" s="925">
        <v>0</v>
      </c>
      <c r="N867" s="925">
        <v>0</v>
      </c>
      <c r="O867" s="925">
        <v>0</v>
      </c>
      <c r="P867" s="925">
        <v>0</v>
      </c>
      <c r="Q867" s="925">
        <v>0</v>
      </c>
      <c r="R867" s="925">
        <v>0</v>
      </c>
      <c r="S867" s="925">
        <v>0</v>
      </c>
      <c r="T867" s="925">
        <v>0</v>
      </c>
      <c r="U867" s="925">
        <v>0</v>
      </c>
      <c r="V867" s="925">
        <v>0</v>
      </c>
      <c r="W867" s="925">
        <v>0</v>
      </c>
      <c r="X867" s="925">
        <v>0</v>
      </c>
      <c r="Y867" s="925">
        <v>0</v>
      </c>
      <c r="Z867" s="921">
        <v>189437.27</v>
      </c>
      <c r="AA867" s="925">
        <v>0</v>
      </c>
    </row>
    <row r="868" spans="1:27" s="867" customFormat="1" ht="106.5" customHeight="1">
      <c r="A868" s="927">
        <v>352</v>
      </c>
      <c r="B868" s="868" t="s">
        <v>1479</v>
      </c>
      <c r="C868" s="925">
        <f>D868+N868+P868+R868+T868+X868+Z868</f>
        <v>2320892.54</v>
      </c>
      <c r="D868" s="925">
        <f t="shared" si="187"/>
        <v>2121946.92</v>
      </c>
      <c r="E868" s="925">
        <v>571525.32999999996</v>
      </c>
      <c r="F868" s="925">
        <v>0</v>
      </c>
      <c r="G868" s="925">
        <v>465662.49</v>
      </c>
      <c r="H868" s="925">
        <v>664657.82999999996</v>
      </c>
      <c r="I868" s="925">
        <v>0</v>
      </c>
      <c r="J868" s="925">
        <v>420101.27</v>
      </c>
      <c r="K868" s="861">
        <v>0</v>
      </c>
      <c r="L868" s="925">
        <v>0</v>
      </c>
      <c r="M868" s="925">
        <v>0</v>
      </c>
      <c r="N868" s="925">
        <v>0</v>
      </c>
      <c r="O868" s="925">
        <v>0</v>
      </c>
      <c r="P868" s="925">
        <v>0</v>
      </c>
      <c r="Q868" s="925">
        <v>0</v>
      </c>
      <c r="R868" s="925">
        <v>0</v>
      </c>
      <c r="S868" s="925">
        <v>0</v>
      </c>
      <c r="T868" s="925">
        <v>0</v>
      </c>
      <c r="U868" s="925">
        <v>0</v>
      </c>
      <c r="V868" s="925">
        <v>0</v>
      </c>
      <c r="W868" s="925">
        <v>0</v>
      </c>
      <c r="X868" s="925">
        <v>0</v>
      </c>
      <c r="Y868" s="925">
        <v>0</v>
      </c>
      <c r="Z868" s="921">
        <v>198945.62</v>
      </c>
      <c r="AA868" s="925">
        <v>0</v>
      </c>
    </row>
    <row r="869" spans="1:27" s="867" customFormat="1" ht="111" customHeight="1">
      <c r="A869" s="927">
        <v>353</v>
      </c>
      <c r="B869" s="868" t="s">
        <v>2255</v>
      </c>
      <c r="C869" s="925">
        <f>D869+N869+P869+R869+T869+X869+Z869</f>
        <v>1989713.29</v>
      </c>
      <c r="D869" s="925">
        <f t="shared" si="187"/>
        <v>0</v>
      </c>
      <c r="E869" s="925">
        <v>0</v>
      </c>
      <c r="F869" s="925">
        <v>0</v>
      </c>
      <c r="G869" s="925">
        <v>0</v>
      </c>
      <c r="H869" s="925">
        <v>0</v>
      </c>
      <c r="I869" s="925">
        <v>0</v>
      </c>
      <c r="J869" s="925">
        <v>0</v>
      </c>
      <c r="K869" s="861">
        <v>0</v>
      </c>
      <c r="L869" s="925">
        <v>0</v>
      </c>
      <c r="M869" s="925">
        <v>0</v>
      </c>
      <c r="N869" s="925">
        <v>0</v>
      </c>
      <c r="O869" s="925">
        <v>391.34</v>
      </c>
      <c r="P869" s="925">
        <v>1858300.83</v>
      </c>
      <c r="Q869" s="925">
        <v>0</v>
      </c>
      <c r="R869" s="925">
        <v>0</v>
      </c>
      <c r="S869" s="925">
        <v>0</v>
      </c>
      <c r="T869" s="925">
        <v>0</v>
      </c>
      <c r="U869" s="925">
        <v>0</v>
      </c>
      <c r="V869" s="925">
        <v>0</v>
      </c>
      <c r="W869" s="925">
        <v>0</v>
      </c>
      <c r="X869" s="925">
        <v>0</v>
      </c>
      <c r="Y869" s="925">
        <v>0</v>
      </c>
      <c r="Z869" s="921">
        <v>131412.46</v>
      </c>
      <c r="AA869" s="925">
        <v>0</v>
      </c>
    </row>
    <row r="870" spans="1:27" s="867" customFormat="1" ht="111" customHeight="1">
      <c r="A870" s="927">
        <v>354</v>
      </c>
      <c r="B870" s="868" t="s">
        <v>2256</v>
      </c>
      <c r="C870" s="925">
        <f>D870+N870+P870+R870+T870+X870+Z870+L870</f>
        <v>3246439.14</v>
      </c>
      <c r="D870" s="925">
        <f t="shared" si="187"/>
        <v>0</v>
      </c>
      <c r="E870" s="925">
        <v>0</v>
      </c>
      <c r="F870" s="925">
        <v>0</v>
      </c>
      <c r="G870" s="925">
        <v>0</v>
      </c>
      <c r="H870" s="925">
        <v>0</v>
      </c>
      <c r="I870" s="925">
        <v>0</v>
      </c>
      <c r="J870" s="925">
        <v>0</v>
      </c>
      <c r="K870" s="861">
        <v>0</v>
      </c>
      <c r="L870" s="925">
        <v>0</v>
      </c>
      <c r="M870" s="925">
        <v>0</v>
      </c>
      <c r="N870" s="925">
        <v>0</v>
      </c>
      <c r="O870" s="925">
        <v>493</v>
      </c>
      <c r="P870" s="925">
        <v>3135171.14</v>
      </c>
      <c r="Q870" s="925">
        <v>0</v>
      </c>
      <c r="R870" s="925">
        <v>0</v>
      </c>
      <c r="S870" s="925">
        <v>0</v>
      </c>
      <c r="T870" s="925">
        <v>0</v>
      </c>
      <c r="U870" s="925">
        <v>0</v>
      </c>
      <c r="V870" s="925">
        <v>0</v>
      </c>
      <c r="W870" s="925">
        <v>0</v>
      </c>
      <c r="X870" s="925">
        <v>0</v>
      </c>
      <c r="Y870" s="925">
        <v>0</v>
      </c>
      <c r="Z870" s="921">
        <v>111268</v>
      </c>
      <c r="AA870" s="925">
        <v>0</v>
      </c>
    </row>
    <row r="871" spans="1:27" s="867" customFormat="1" ht="113.25" customHeight="1">
      <c r="A871" s="927">
        <v>355</v>
      </c>
      <c r="B871" s="868" t="s">
        <v>2276</v>
      </c>
      <c r="C871" s="925">
        <f>D871+N871+P871+R871+T871+X871+Z871</f>
        <v>4490832.0600000005</v>
      </c>
      <c r="D871" s="925">
        <f t="shared" si="187"/>
        <v>0</v>
      </c>
      <c r="E871" s="925">
        <v>0</v>
      </c>
      <c r="F871" s="925">
        <v>0</v>
      </c>
      <c r="G871" s="925">
        <v>0</v>
      </c>
      <c r="H871" s="925">
        <v>0</v>
      </c>
      <c r="I871" s="925">
        <v>0</v>
      </c>
      <c r="J871" s="925">
        <v>0</v>
      </c>
      <c r="K871" s="861">
        <v>0</v>
      </c>
      <c r="L871" s="925">
        <v>0</v>
      </c>
      <c r="M871" s="925">
        <v>0</v>
      </c>
      <c r="N871" s="925">
        <v>0</v>
      </c>
      <c r="O871" s="925">
        <v>874.6</v>
      </c>
      <c r="P871" s="925">
        <v>4164641.24</v>
      </c>
      <c r="Q871" s="925">
        <v>0</v>
      </c>
      <c r="R871" s="925">
        <v>0</v>
      </c>
      <c r="S871" s="925">
        <v>0</v>
      </c>
      <c r="T871" s="925">
        <v>0</v>
      </c>
      <c r="U871" s="925">
        <v>0</v>
      </c>
      <c r="V871" s="925">
        <v>0</v>
      </c>
      <c r="W871" s="925">
        <v>0</v>
      </c>
      <c r="X871" s="925">
        <v>0</v>
      </c>
      <c r="Y871" s="925">
        <v>0</v>
      </c>
      <c r="Z871" s="921">
        <v>326190.82</v>
      </c>
      <c r="AA871" s="925">
        <v>0</v>
      </c>
    </row>
    <row r="872" spans="1:27" s="867" customFormat="1" ht="92.25" customHeight="1">
      <c r="A872" s="1198" t="s">
        <v>1977</v>
      </c>
      <c r="B872" s="1199"/>
      <c r="C872" s="925">
        <f>SUM(C873:C903)</f>
        <v>151370689.77200001</v>
      </c>
      <c r="D872" s="925">
        <f t="shared" ref="D872:AA872" si="188">SUM(D873:D903)</f>
        <v>11040528.43</v>
      </c>
      <c r="E872" s="925">
        <f t="shared" si="188"/>
        <v>3897836.04</v>
      </c>
      <c r="F872" s="925">
        <f t="shared" si="188"/>
        <v>0</v>
      </c>
      <c r="G872" s="925">
        <f t="shared" si="188"/>
        <v>0</v>
      </c>
      <c r="H872" s="925">
        <f t="shared" si="188"/>
        <v>2713730.7</v>
      </c>
      <c r="I872" s="925">
        <f t="shared" si="188"/>
        <v>2713730.7</v>
      </c>
      <c r="J872" s="925">
        <f t="shared" si="188"/>
        <v>1715230.99</v>
      </c>
      <c r="K872" s="861">
        <f t="shared" si="188"/>
        <v>0</v>
      </c>
      <c r="L872" s="925">
        <f t="shared" si="188"/>
        <v>0</v>
      </c>
      <c r="M872" s="925">
        <f t="shared" si="188"/>
        <v>9</v>
      </c>
      <c r="N872" s="925">
        <f t="shared" si="188"/>
        <v>25288652.620000001</v>
      </c>
      <c r="O872" s="925">
        <f t="shared" si="188"/>
        <v>14063.19</v>
      </c>
      <c r="P872" s="925">
        <f t="shared" si="188"/>
        <v>66254703.489999995</v>
      </c>
      <c r="Q872" s="925">
        <f t="shared" si="188"/>
        <v>0</v>
      </c>
      <c r="R872" s="925">
        <f t="shared" si="188"/>
        <v>0</v>
      </c>
      <c r="S872" s="925">
        <f t="shared" si="188"/>
        <v>6506.23</v>
      </c>
      <c r="T872" s="925">
        <f t="shared" si="188"/>
        <v>23109125.346769564</v>
      </c>
      <c r="U872" s="925">
        <f t="shared" si="188"/>
        <v>2932.2</v>
      </c>
      <c r="V872" s="925">
        <f t="shared" si="188"/>
        <v>16202674.52</v>
      </c>
      <c r="W872" s="925">
        <f t="shared" si="188"/>
        <v>0</v>
      </c>
      <c r="X872" s="925">
        <f t="shared" si="188"/>
        <v>0</v>
      </c>
      <c r="Y872" s="925">
        <f t="shared" si="188"/>
        <v>0</v>
      </c>
      <c r="Z872" s="921">
        <f t="shared" si="188"/>
        <v>9383185.3652304336</v>
      </c>
      <c r="AA872" s="925">
        <f t="shared" si="188"/>
        <v>91820</v>
      </c>
    </row>
    <row r="873" spans="1:27" s="867" customFormat="1" ht="95.25" customHeight="1">
      <c r="A873" s="927">
        <v>356</v>
      </c>
      <c r="B873" s="891" t="s">
        <v>1532</v>
      </c>
      <c r="C873" s="925">
        <f>D873+N873+P873+R873+T873+X873+Z873</f>
        <v>4252462.49</v>
      </c>
      <c r="D873" s="925">
        <f>SUM(E873:J873)</f>
        <v>0</v>
      </c>
      <c r="E873" s="925">
        <v>0</v>
      </c>
      <c r="F873" s="925">
        <v>0</v>
      </c>
      <c r="G873" s="925">
        <v>0</v>
      </c>
      <c r="H873" s="925">
        <v>0</v>
      </c>
      <c r="I873" s="925">
        <v>0</v>
      </c>
      <c r="J873" s="925">
        <v>0</v>
      </c>
      <c r="K873" s="861">
        <v>0</v>
      </c>
      <c r="L873" s="925">
        <v>0</v>
      </c>
      <c r="M873" s="925">
        <v>0</v>
      </c>
      <c r="N873" s="925">
        <v>0</v>
      </c>
      <c r="O873" s="925">
        <v>1244</v>
      </c>
      <c r="P873" s="925">
        <v>3965610.01</v>
      </c>
      <c r="Q873" s="925">
        <v>0</v>
      </c>
      <c r="R873" s="925">
        <v>0</v>
      </c>
      <c r="S873" s="925">
        <v>0</v>
      </c>
      <c r="T873" s="925">
        <v>0</v>
      </c>
      <c r="U873" s="925">
        <v>0</v>
      </c>
      <c r="V873" s="925">
        <v>0</v>
      </c>
      <c r="W873" s="925">
        <v>0</v>
      </c>
      <c r="X873" s="925">
        <v>0</v>
      </c>
      <c r="Y873" s="925">
        <v>0</v>
      </c>
      <c r="Z873" s="921">
        <v>286852.47999999998</v>
      </c>
      <c r="AA873" s="925">
        <v>0</v>
      </c>
    </row>
    <row r="874" spans="1:27" s="867" customFormat="1" ht="105.75" customHeight="1">
      <c r="A874" s="927">
        <v>357</v>
      </c>
      <c r="B874" s="863" t="s">
        <v>1538</v>
      </c>
      <c r="C874" s="925">
        <f t="shared" ref="C874:C884" si="189">D874+N874+P874+R874+T874+X874+Z874</f>
        <v>7729973.2400000002</v>
      </c>
      <c r="D874" s="925">
        <f t="shared" ref="D874:D884" si="190">SUM(E874:J874)</f>
        <v>3897836.04</v>
      </c>
      <c r="E874" s="925">
        <v>3897836.04</v>
      </c>
      <c r="F874" s="925">
        <v>0</v>
      </c>
      <c r="G874" s="925">
        <v>0</v>
      </c>
      <c r="H874" s="925">
        <v>0</v>
      </c>
      <c r="I874" s="925">
        <v>0</v>
      </c>
      <c r="J874" s="925">
        <v>0</v>
      </c>
      <c r="K874" s="861">
        <v>0</v>
      </c>
      <c r="L874" s="925">
        <v>0</v>
      </c>
      <c r="M874" s="925">
        <v>0</v>
      </c>
      <c r="N874" s="925">
        <v>0</v>
      </c>
      <c r="O874" s="925">
        <v>1026</v>
      </c>
      <c r="P874" s="925">
        <v>3270671.92</v>
      </c>
      <c r="Q874" s="925">
        <v>0</v>
      </c>
      <c r="R874" s="925">
        <v>0</v>
      </c>
      <c r="S874" s="925">
        <v>0</v>
      </c>
      <c r="T874" s="925">
        <v>0</v>
      </c>
      <c r="U874" s="925">
        <v>0</v>
      </c>
      <c r="V874" s="925">
        <v>0</v>
      </c>
      <c r="W874" s="925">
        <v>0</v>
      </c>
      <c r="X874" s="925">
        <v>0</v>
      </c>
      <c r="Y874" s="925">
        <v>0</v>
      </c>
      <c r="Z874" s="921">
        <v>561465.28</v>
      </c>
      <c r="AA874" s="925">
        <v>0</v>
      </c>
    </row>
    <row r="875" spans="1:27" s="867" customFormat="1" ht="101.25" customHeight="1">
      <c r="A875" s="927">
        <v>358</v>
      </c>
      <c r="B875" s="863" t="s">
        <v>1553</v>
      </c>
      <c r="C875" s="925">
        <f>D875+N875+P875+R875+T875+X875+Z875+V875</f>
        <v>17471730.68</v>
      </c>
      <c r="D875" s="925">
        <f t="shared" si="190"/>
        <v>0</v>
      </c>
      <c r="E875" s="925">
        <v>0</v>
      </c>
      <c r="F875" s="925">
        <v>0</v>
      </c>
      <c r="G875" s="925">
        <v>0</v>
      </c>
      <c r="H875" s="925">
        <v>0</v>
      </c>
      <c r="I875" s="925">
        <v>0</v>
      </c>
      <c r="J875" s="925">
        <v>0</v>
      </c>
      <c r="K875" s="861">
        <v>0</v>
      </c>
      <c r="L875" s="925">
        <v>0</v>
      </c>
      <c r="M875" s="925">
        <v>0</v>
      </c>
      <c r="N875" s="925">
        <v>0</v>
      </c>
      <c r="O875" s="925">
        <v>0</v>
      </c>
      <c r="P875" s="925">
        <v>0</v>
      </c>
      <c r="Q875" s="925">
        <v>0</v>
      </c>
      <c r="R875" s="925">
        <v>0</v>
      </c>
      <c r="S875" s="925">
        <v>0</v>
      </c>
      <c r="T875" s="925">
        <v>0</v>
      </c>
      <c r="U875" s="925">
        <v>2932.2</v>
      </c>
      <c r="V875" s="925">
        <v>16202674.52</v>
      </c>
      <c r="W875" s="925">
        <v>0</v>
      </c>
      <c r="X875" s="925">
        <v>0</v>
      </c>
      <c r="Y875" s="925">
        <v>0</v>
      </c>
      <c r="Z875" s="921">
        <v>1269056.1599999999</v>
      </c>
      <c r="AA875" s="925">
        <v>0</v>
      </c>
    </row>
    <row r="876" spans="1:27" s="867" customFormat="1" ht="92.45" customHeight="1">
      <c r="A876" s="927">
        <v>359</v>
      </c>
      <c r="B876" s="863" t="s">
        <v>1540</v>
      </c>
      <c r="C876" s="925">
        <f t="shared" si="189"/>
        <v>2999749.36</v>
      </c>
      <c r="D876" s="925">
        <f t="shared" si="190"/>
        <v>0</v>
      </c>
      <c r="E876" s="925">
        <v>0</v>
      </c>
      <c r="F876" s="925">
        <v>0</v>
      </c>
      <c r="G876" s="925">
        <v>0</v>
      </c>
      <c r="H876" s="925">
        <v>0</v>
      </c>
      <c r="I876" s="925">
        <v>0</v>
      </c>
      <c r="J876" s="925">
        <v>0</v>
      </c>
      <c r="K876" s="861">
        <v>0</v>
      </c>
      <c r="L876" s="925">
        <v>0</v>
      </c>
      <c r="M876" s="925">
        <v>0</v>
      </c>
      <c r="N876" s="925">
        <v>0</v>
      </c>
      <c r="O876" s="925">
        <v>739.5</v>
      </c>
      <c r="P876" s="925">
        <v>2781863.08</v>
      </c>
      <c r="Q876" s="925">
        <v>0</v>
      </c>
      <c r="R876" s="925">
        <v>0</v>
      </c>
      <c r="S876" s="925">
        <v>0</v>
      </c>
      <c r="T876" s="925">
        <v>0</v>
      </c>
      <c r="U876" s="925">
        <v>0</v>
      </c>
      <c r="V876" s="925">
        <v>0</v>
      </c>
      <c r="W876" s="925">
        <v>0</v>
      </c>
      <c r="X876" s="925">
        <v>0</v>
      </c>
      <c r="Y876" s="925">
        <v>0</v>
      </c>
      <c r="Z876" s="921">
        <v>217886.28</v>
      </c>
      <c r="AA876" s="925">
        <v>0</v>
      </c>
    </row>
    <row r="877" spans="1:27" s="867" customFormat="1" ht="111.6" customHeight="1">
      <c r="A877" s="927">
        <v>360</v>
      </c>
      <c r="B877" s="863" t="s">
        <v>1554</v>
      </c>
      <c r="C877" s="925">
        <f t="shared" si="189"/>
        <v>4150636.9099999997</v>
      </c>
      <c r="D877" s="925">
        <f t="shared" si="190"/>
        <v>0</v>
      </c>
      <c r="E877" s="925">
        <v>0</v>
      </c>
      <c r="F877" s="925">
        <v>0</v>
      </c>
      <c r="G877" s="925">
        <v>0</v>
      </c>
      <c r="H877" s="925">
        <v>0</v>
      </c>
      <c r="I877" s="925">
        <v>0</v>
      </c>
      <c r="J877" s="925">
        <v>0</v>
      </c>
      <c r="K877" s="861">
        <v>0</v>
      </c>
      <c r="L877" s="925">
        <v>0</v>
      </c>
      <c r="M877" s="925">
        <v>1</v>
      </c>
      <c r="N877" s="925">
        <v>3849156.11</v>
      </c>
      <c r="O877" s="925">
        <v>0</v>
      </c>
      <c r="P877" s="925">
        <v>0</v>
      </c>
      <c r="Q877" s="925">
        <v>0</v>
      </c>
      <c r="R877" s="925">
        <v>0</v>
      </c>
      <c r="S877" s="925">
        <v>0</v>
      </c>
      <c r="T877" s="925">
        <v>0</v>
      </c>
      <c r="U877" s="925">
        <v>0</v>
      </c>
      <c r="V877" s="925">
        <v>0</v>
      </c>
      <c r="W877" s="925">
        <v>0</v>
      </c>
      <c r="X877" s="925">
        <v>0</v>
      </c>
      <c r="Y877" s="925">
        <v>0</v>
      </c>
      <c r="Z877" s="921">
        <v>301480.8</v>
      </c>
      <c r="AA877" s="925">
        <v>0</v>
      </c>
    </row>
    <row r="878" spans="1:27" s="867" customFormat="1" ht="149.25" customHeight="1">
      <c r="A878" s="927">
        <v>361</v>
      </c>
      <c r="B878" s="863" t="s">
        <v>1555</v>
      </c>
      <c r="C878" s="925">
        <f t="shared" si="189"/>
        <v>3605381.9099999997</v>
      </c>
      <c r="D878" s="925">
        <f t="shared" si="190"/>
        <v>0</v>
      </c>
      <c r="E878" s="925">
        <v>0</v>
      </c>
      <c r="F878" s="925">
        <v>0</v>
      </c>
      <c r="G878" s="925">
        <v>0</v>
      </c>
      <c r="H878" s="925">
        <v>0</v>
      </c>
      <c r="I878" s="925">
        <v>0</v>
      </c>
      <c r="J878" s="925">
        <v>0</v>
      </c>
      <c r="K878" s="861">
        <v>0</v>
      </c>
      <c r="L878" s="925">
        <v>0</v>
      </c>
      <c r="M878" s="925">
        <v>0</v>
      </c>
      <c r="N878" s="925">
        <v>0</v>
      </c>
      <c r="O878" s="925">
        <v>997.7</v>
      </c>
      <c r="P878" s="925">
        <v>3343505.61</v>
      </c>
      <c r="Q878" s="925">
        <v>0</v>
      </c>
      <c r="R878" s="925">
        <v>0</v>
      </c>
      <c r="S878" s="925">
        <v>0</v>
      </c>
      <c r="T878" s="925">
        <v>0</v>
      </c>
      <c r="U878" s="925">
        <v>0</v>
      </c>
      <c r="V878" s="925">
        <v>0</v>
      </c>
      <c r="W878" s="925">
        <v>0</v>
      </c>
      <c r="X878" s="925">
        <v>0</v>
      </c>
      <c r="Y878" s="925">
        <v>0</v>
      </c>
      <c r="Z878" s="921">
        <v>261876.3</v>
      </c>
      <c r="AA878" s="925">
        <v>0</v>
      </c>
    </row>
    <row r="879" spans="1:27" s="867" customFormat="1" ht="149.25" customHeight="1">
      <c r="A879" s="927">
        <v>362</v>
      </c>
      <c r="B879" s="863" t="s">
        <v>1556</v>
      </c>
      <c r="C879" s="925">
        <f t="shared" si="189"/>
        <v>7702135.8100000005</v>
      </c>
      <c r="D879" s="925">
        <f t="shared" si="190"/>
        <v>7142692.3900000006</v>
      </c>
      <c r="E879" s="925">
        <v>0</v>
      </c>
      <c r="F879" s="925">
        <v>0</v>
      </c>
      <c r="G879" s="925">
        <v>0</v>
      </c>
      <c r="H879" s="925">
        <v>2713730.7</v>
      </c>
      <c r="I879" s="925">
        <v>2713730.7</v>
      </c>
      <c r="J879" s="925">
        <v>1715230.99</v>
      </c>
      <c r="K879" s="861">
        <v>0</v>
      </c>
      <c r="L879" s="925">
        <v>0</v>
      </c>
      <c r="M879" s="925">
        <v>0</v>
      </c>
      <c r="N879" s="925">
        <v>0</v>
      </c>
      <c r="O879" s="925">
        <v>0</v>
      </c>
      <c r="P879" s="925">
        <v>0</v>
      </c>
      <c r="Q879" s="925">
        <v>0</v>
      </c>
      <c r="R879" s="925">
        <v>0</v>
      </c>
      <c r="S879" s="925">
        <v>0</v>
      </c>
      <c r="T879" s="925">
        <v>0</v>
      </c>
      <c r="U879" s="925">
        <v>0</v>
      </c>
      <c r="V879" s="925">
        <v>0</v>
      </c>
      <c r="W879" s="925">
        <v>0</v>
      </c>
      <c r="X879" s="925">
        <v>0</v>
      </c>
      <c r="Y879" s="925">
        <v>0</v>
      </c>
      <c r="Z879" s="921">
        <v>559443.42000000004</v>
      </c>
      <c r="AA879" s="925">
        <v>0</v>
      </c>
    </row>
    <row r="880" spans="1:27" s="867" customFormat="1" ht="149.25" customHeight="1">
      <c r="A880" s="927">
        <v>363</v>
      </c>
      <c r="B880" s="863" t="s">
        <v>1544</v>
      </c>
      <c r="C880" s="925">
        <f t="shared" si="189"/>
        <v>3365622.21</v>
      </c>
      <c r="D880" s="925">
        <f t="shared" si="190"/>
        <v>0</v>
      </c>
      <c r="E880" s="925">
        <v>0</v>
      </c>
      <c r="F880" s="925">
        <v>0</v>
      </c>
      <c r="G880" s="925">
        <v>0</v>
      </c>
      <c r="H880" s="925">
        <v>0</v>
      </c>
      <c r="I880" s="925">
        <v>0</v>
      </c>
      <c r="J880" s="925">
        <v>0</v>
      </c>
      <c r="K880" s="861">
        <v>0</v>
      </c>
      <c r="L880" s="925">
        <v>0</v>
      </c>
      <c r="M880" s="925">
        <v>0</v>
      </c>
      <c r="N880" s="925">
        <v>0</v>
      </c>
      <c r="O880" s="925">
        <v>789.4</v>
      </c>
      <c r="P880" s="925">
        <v>3121160.82</v>
      </c>
      <c r="Q880" s="925">
        <v>0</v>
      </c>
      <c r="R880" s="925">
        <v>0</v>
      </c>
      <c r="S880" s="925">
        <v>0</v>
      </c>
      <c r="T880" s="925">
        <v>0</v>
      </c>
      <c r="U880" s="925">
        <v>0</v>
      </c>
      <c r="V880" s="925">
        <v>0</v>
      </c>
      <c r="W880" s="925">
        <v>0</v>
      </c>
      <c r="X880" s="925">
        <v>0</v>
      </c>
      <c r="Y880" s="925">
        <v>0</v>
      </c>
      <c r="Z880" s="921">
        <v>244461.39</v>
      </c>
      <c r="AA880" s="925">
        <v>0</v>
      </c>
    </row>
    <row r="881" spans="1:27" s="867" customFormat="1" ht="149.25" customHeight="1">
      <c r="A881" s="927">
        <v>364</v>
      </c>
      <c r="B881" s="863" t="s">
        <v>2257</v>
      </c>
      <c r="C881" s="925">
        <f t="shared" si="189"/>
        <v>5891020.71</v>
      </c>
      <c r="D881" s="925">
        <f t="shared" si="190"/>
        <v>0</v>
      </c>
      <c r="E881" s="925">
        <v>0</v>
      </c>
      <c r="F881" s="925">
        <v>0</v>
      </c>
      <c r="G881" s="925">
        <v>0</v>
      </c>
      <c r="H881" s="925">
        <v>0</v>
      </c>
      <c r="I881" s="925">
        <v>0</v>
      </c>
      <c r="J881" s="925">
        <v>0</v>
      </c>
      <c r="K881" s="861">
        <v>0</v>
      </c>
      <c r="L881" s="925">
        <v>0</v>
      </c>
      <c r="M881" s="925">
        <v>0</v>
      </c>
      <c r="N881" s="925">
        <v>0</v>
      </c>
      <c r="O881" s="925">
        <v>1147.29</v>
      </c>
      <c r="P881" s="925">
        <v>5463127.4299999997</v>
      </c>
      <c r="Q881" s="925">
        <v>0</v>
      </c>
      <c r="R881" s="925">
        <v>0</v>
      </c>
      <c r="S881" s="925">
        <v>0</v>
      </c>
      <c r="T881" s="925">
        <v>0</v>
      </c>
      <c r="U881" s="925">
        <v>0</v>
      </c>
      <c r="V881" s="925">
        <v>0</v>
      </c>
      <c r="W881" s="925">
        <v>0</v>
      </c>
      <c r="X881" s="925">
        <v>0</v>
      </c>
      <c r="Y881" s="925">
        <v>0</v>
      </c>
      <c r="Z881" s="921">
        <v>427893.28</v>
      </c>
      <c r="AA881" s="925">
        <v>0</v>
      </c>
    </row>
    <row r="882" spans="1:27" s="867" customFormat="1" ht="109.15" customHeight="1">
      <c r="A882" s="927">
        <v>365</v>
      </c>
      <c r="B882" s="863" t="s">
        <v>1546</v>
      </c>
      <c r="C882" s="925">
        <f t="shared" si="189"/>
        <v>14449200.52</v>
      </c>
      <c r="D882" s="925">
        <f t="shared" si="190"/>
        <v>0</v>
      </c>
      <c r="E882" s="925">
        <v>0</v>
      </c>
      <c r="F882" s="925">
        <v>0</v>
      </c>
      <c r="G882" s="925">
        <v>0</v>
      </c>
      <c r="H882" s="925">
        <v>0</v>
      </c>
      <c r="I882" s="925">
        <v>0</v>
      </c>
      <c r="J882" s="925">
        <v>0</v>
      </c>
      <c r="K882" s="861">
        <v>0</v>
      </c>
      <c r="L882" s="925">
        <v>0</v>
      </c>
      <c r="M882" s="925">
        <v>5</v>
      </c>
      <c r="N882" s="925">
        <v>13399685.32</v>
      </c>
      <c r="O882" s="925">
        <v>0</v>
      </c>
      <c r="P882" s="925">
        <v>0</v>
      </c>
      <c r="Q882" s="925">
        <v>0</v>
      </c>
      <c r="R882" s="925">
        <v>0</v>
      </c>
      <c r="S882" s="925">
        <v>0</v>
      </c>
      <c r="T882" s="925">
        <v>0</v>
      </c>
      <c r="U882" s="925">
        <v>0</v>
      </c>
      <c r="V882" s="925">
        <v>0</v>
      </c>
      <c r="W882" s="925">
        <v>0</v>
      </c>
      <c r="X882" s="925">
        <v>0</v>
      </c>
      <c r="Y882" s="925">
        <v>0</v>
      </c>
      <c r="Z882" s="921">
        <v>1049515.2</v>
      </c>
      <c r="AA882" s="925">
        <v>0</v>
      </c>
    </row>
    <row r="883" spans="1:27" s="867" customFormat="1" ht="99" customHeight="1">
      <c r="A883" s="927">
        <v>366</v>
      </c>
      <c r="B883" s="863" t="s">
        <v>1547</v>
      </c>
      <c r="C883" s="925">
        <f t="shared" si="189"/>
        <v>15564858.65</v>
      </c>
      <c r="D883" s="925">
        <f t="shared" si="190"/>
        <v>0</v>
      </c>
      <c r="E883" s="925">
        <v>0</v>
      </c>
      <c r="F883" s="925">
        <v>0</v>
      </c>
      <c r="G883" s="925">
        <v>0</v>
      </c>
      <c r="H883" s="925">
        <v>0</v>
      </c>
      <c r="I883" s="925">
        <v>0</v>
      </c>
      <c r="J883" s="925">
        <v>0</v>
      </c>
      <c r="K883" s="861">
        <v>0</v>
      </c>
      <c r="L883" s="925">
        <v>0</v>
      </c>
      <c r="M883" s="925">
        <v>0</v>
      </c>
      <c r="N883" s="925">
        <v>0</v>
      </c>
      <c r="O883" s="925">
        <v>0</v>
      </c>
      <c r="P883" s="925">
        <v>0</v>
      </c>
      <c r="Q883" s="925">
        <v>0</v>
      </c>
      <c r="R883" s="925">
        <v>0</v>
      </c>
      <c r="S883" s="925">
        <v>2811</v>
      </c>
      <c r="T883" s="925">
        <v>14648366.43</v>
      </c>
      <c r="U883" s="925">
        <v>0</v>
      </c>
      <c r="V883" s="925">
        <v>0</v>
      </c>
      <c r="W883" s="925">
        <v>0</v>
      </c>
      <c r="X883" s="925">
        <v>0</v>
      </c>
      <c r="Y883" s="925">
        <v>0</v>
      </c>
      <c r="Z883" s="921">
        <v>916492.22</v>
      </c>
      <c r="AA883" s="925">
        <v>0</v>
      </c>
    </row>
    <row r="884" spans="1:27" s="867" customFormat="1" ht="99.6" customHeight="1">
      <c r="A884" s="927">
        <v>367</v>
      </c>
      <c r="B884" s="863" t="s">
        <v>1557</v>
      </c>
      <c r="C884" s="925">
        <f t="shared" si="189"/>
        <v>8669520.3100000005</v>
      </c>
      <c r="D884" s="925">
        <f t="shared" si="190"/>
        <v>0</v>
      </c>
      <c r="E884" s="925">
        <v>0</v>
      </c>
      <c r="F884" s="925">
        <v>0</v>
      </c>
      <c r="G884" s="925">
        <v>0</v>
      </c>
      <c r="H884" s="925">
        <v>0</v>
      </c>
      <c r="I884" s="925">
        <v>0</v>
      </c>
      <c r="J884" s="925">
        <v>0</v>
      </c>
      <c r="K884" s="861">
        <v>0</v>
      </c>
      <c r="L884" s="925">
        <v>0</v>
      </c>
      <c r="M884" s="925">
        <v>3</v>
      </c>
      <c r="N884" s="925">
        <v>8039811.1900000004</v>
      </c>
      <c r="O884" s="925">
        <v>0</v>
      </c>
      <c r="P884" s="925">
        <v>0</v>
      </c>
      <c r="Q884" s="925">
        <v>0</v>
      </c>
      <c r="R884" s="925">
        <v>0</v>
      </c>
      <c r="S884" s="925">
        <v>0</v>
      </c>
      <c r="T884" s="925">
        <v>0</v>
      </c>
      <c r="U884" s="925">
        <v>0</v>
      </c>
      <c r="V884" s="925">
        <v>0</v>
      </c>
      <c r="W884" s="925">
        <v>0</v>
      </c>
      <c r="X884" s="925">
        <v>0</v>
      </c>
      <c r="Y884" s="925">
        <v>0</v>
      </c>
      <c r="Z884" s="921">
        <v>629709.12</v>
      </c>
      <c r="AA884" s="925">
        <v>0</v>
      </c>
    </row>
    <row r="885" spans="1:27" s="867" customFormat="1" ht="99" customHeight="1">
      <c r="A885" s="927">
        <v>368</v>
      </c>
      <c r="B885" s="863" t="s">
        <v>1055</v>
      </c>
      <c r="C885" s="925">
        <f>D885+N885+P885+R885+T885+X885+Z885</f>
        <v>1992274</v>
      </c>
      <c r="D885" s="925">
        <v>0</v>
      </c>
      <c r="E885" s="925">
        <v>0</v>
      </c>
      <c r="F885" s="925">
        <v>0</v>
      </c>
      <c r="G885" s="925">
        <v>0</v>
      </c>
      <c r="H885" s="925">
        <v>0</v>
      </c>
      <c r="I885" s="925">
        <v>0</v>
      </c>
      <c r="J885" s="925">
        <v>0</v>
      </c>
      <c r="K885" s="861">
        <v>0</v>
      </c>
      <c r="L885" s="925">
        <v>0</v>
      </c>
      <c r="M885" s="925">
        <v>0</v>
      </c>
      <c r="N885" s="925">
        <v>0</v>
      </c>
      <c r="O885" s="925">
        <v>388</v>
      </c>
      <c r="P885" s="925">
        <v>1847566</v>
      </c>
      <c r="Q885" s="925">
        <v>0</v>
      </c>
      <c r="R885" s="925">
        <v>0</v>
      </c>
      <c r="S885" s="925">
        <v>0</v>
      </c>
      <c r="T885" s="925">
        <v>0</v>
      </c>
      <c r="U885" s="925">
        <v>0</v>
      </c>
      <c r="V885" s="925">
        <v>0</v>
      </c>
      <c r="W885" s="925">
        <v>0</v>
      </c>
      <c r="X885" s="925">
        <v>0</v>
      </c>
      <c r="Y885" s="925">
        <v>0</v>
      </c>
      <c r="Z885" s="921">
        <v>144708</v>
      </c>
      <c r="AA885" s="925">
        <v>0</v>
      </c>
    </row>
    <row r="886" spans="1:27" s="867" customFormat="1" ht="82.9" customHeight="1">
      <c r="A886" s="927">
        <v>369</v>
      </c>
      <c r="B886" s="868" t="s">
        <v>1208</v>
      </c>
      <c r="C886" s="925">
        <f>T886+AA886+Z886</f>
        <v>1256949</v>
      </c>
      <c r="D886" s="925">
        <v>0</v>
      </c>
      <c r="E886" s="925">
        <v>0</v>
      </c>
      <c r="F886" s="925">
        <v>0</v>
      </c>
      <c r="G886" s="925">
        <v>0</v>
      </c>
      <c r="H886" s="925">
        <v>0</v>
      </c>
      <c r="I886" s="925">
        <v>0</v>
      </c>
      <c r="J886" s="925">
        <v>0</v>
      </c>
      <c r="K886" s="861">
        <v>0</v>
      </c>
      <c r="L886" s="925">
        <v>0</v>
      </c>
      <c r="M886" s="925">
        <v>0</v>
      </c>
      <c r="N886" s="925">
        <v>0</v>
      </c>
      <c r="O886" s="925">
        <v>0</v>
      </c>
      <c r="P886" s="925">
        <v>0</v>
      </c>
      <c r="Q886" s="925">
        <v>0</v>
      </c>
      <c r="R886" s="925">
        <v>0</v>
      </c>
      <c r="S886" s="925">
        <v>797.3</v>
      </c>
      <c r="T886" s="925">
        <v>1120105.9667695661</v>
      </c>
      <c r="U886" s="925">
        <v>0</v>
      </c>
      <c r="V886" s="925">
        <v>0</v>
      </c>
      <c r="W886" s="925">
        <v>0</v>
      </c>
      <c r="X886" s="925">
        <v>0</v>
      </c>
      <c r="Y886" s="925">
        <v>0</v>
      </c>
      <c r="Z886" s="921">
        <v>87731.033230433997</v>
      </c>
      <c r="AA886" s="925">
        <v>49112</v>
      </c>
    </row>
    <row r="887" spans="1:27" s="867" customFormat="1" ht="137.44999999999999" customHeight="1">
      <c r="A887" s="927">
        <v>370</v>
      </c>
      <c r="B887" s="863" t="s">
        <v>2087</v>
      </c>
      <c r="C887" s="925">
        <f>T887+AA887+Z887</f>
        <v>3291644.5920000002</v>
      </c>
      <c r="D887" s="925">
        <v>0</v>
      </c>
      <c r="E887" s="925">
        <v>0</v>
      </c>
      <c r="F887" s="925">
        <v>0</v>
      </c>
      <c r="G887" s="925">
        <v>0</v>
      </c>
      <c r="H887" s="925">
        <v>0</v>
      </c>
      <c r="I887" s="925">
        <v>0</v>
      </c>
      <c r="J887" s="925">
        <v>0</v>
      </c>
      <c r="K887" s="861">
        <v>0</v>
      </c>
      <c r="L887" s="925">
        <v>0</v>
      </c>
      <c r="M887" s="925">
        <v>0</v>
      </c>
      <c r="N887" s="925">
        <v>0</v>
      </c>
      <c r="O887" s="925">
        <v>0</v>
      </c>
      <c r="P887" s="925">
        <v>0</v>
      </c>
      <c r="Q887" s="925">
        <v>0</v>
      </c>
      <c r="R887" s="925">
        <v>0</v>
      </c>
      <c r="S887" s="925">
        <v>726.2</v>
      </c>
      <c r="T887" s="925">
        <v>3012950.64</v>
      </c>
      <c r="U887" s="925">
        <v>0</v>
      </c>
      <c r="V887" s="925">
        <v>0</v>
      </c>
      <c r="W887" s="925">
        <v>0</v>
      </c>
      <c r="X887" s="925">
        <v>0</v>
      </c>
      <c r="Y887" s="925">
        <v>0</v>
      </c>
      <c r="Z887" s="921">
        <v>235985.95199999999</v>
      </c>
      <c r="AA887" s="925">
        <v>42708</v>
      </c>
    </row>
    <row r="888" spans="1:27" s="867" customFormat="1" ht="105" customHeight="1">
      <c r="A888" s="927">
        <v>371</v>
      </c>
      <c r="B888" s="863" t="s">
        <v>1067</v>
      </c>
      <c r="C888" s="925">
        <f>P888+Z888</f>
        <v>4080205</v>
      </c>
      <c r="D888" s="925">
        <v>0</v>
      </c>
      <c r="E888" s="925">
        <v>0</v>
      </c>
      <c r="F888" s="925">
        <v>0</v>
      </c>
      <c r="G888" s="925">
        <v>0</v>
      </c>
      <c r="H888" s="925">
        <v>0</v>
      </c>
      <c r="I888" s="925">
        <v>0</v>
      </c>
      <c r="J888" s="925">
        <v>0</v>
      </c>
      <c r="K888" s="861">
        <v>0</v>
      </c>
      <c r="L888" s="925">
        <v>0</v>
      </c>
      <c r="M888" s="925">
        <v>0</v>
      </c>
      <c r="N888" s="925">
        <v>0</v>
      </c>
      <c r="O888" s="925">
        <v>598.4</v>
      </c>
      <c r="P888" s="925">
        <v>3783840</v>
      </c>
      <c r="Q888" s="925">
        <v>0</v>
      </c>
      <c r="R888" s="925">
        <v>0</v>
      </c>
      <c r="S888" s="925">
        <v>0</v>
      </c>
      <c r="T888" s="925">
        <v>0</v>
      </c>
      <c r="U888" s="925">
        <v>0</v>
      </c>
      <c r="V888" s="925">
        <v>0</v>
      </c>
      <c r="W888" s="925">
        <v>0</v>
      </c>
      <c r="X888" s="925">
        <v>0</v>
      </c>
      <c r="Y888" s="925">
        <v>0</v>
      </c>
      <c r="Z888" s="921">
        <v>296365</v>
      </c>
      <c r="AA888" s="925">
        <v>0</v>
      </c>
    </row>
    <row r="889" spans="1:27" s="867" customFormat="1" ht="122.25" customHeight="1">
      <c r="A889" s="927">
        <v>372</v>
      </c>
      <c r="B889" s="868" t="s">
        <v>2088</v>
      </c>
      <c r="C889" s="925">
        <f>D889+N889+P889+R889+T889+X889+Z889</f>
        <v>1705839</v>
      </c>
      <c r="D889" s="925">
        <v>0</v>
      </c>
      <c r="E889" s="925">
        <v>0</v>
      </c>
      <c r="F889" s="925">
        <v>0</v>
      </c>
      <c r="G889" s="925">
        <v>0</v>
      </c>
      <c r="H889" s="925">
        <v>0</v>
      </c>
      <c r="I889" s="925">
        <v>0</v>
      </c>
      <c r="J889" s="925">
        <v>0</v>
      </c>
      <c r="K889" s="861">
        <v>0</v>
      </c>
      <c r="L889" s="925">
        <v>0</v>
      </c>
      <c r="M889" s="925">
        <v>0</v>
      </c>
      <c r="N889" s="925">
        <v>0</v>
      </c>
      <c r="O889" s="925">
        <v>504</v>
      </c>
      <c r="P889" s="925">
        <v>1581936</v>
      </c>
      <c r="Q889" s="925">
        <v>0</v>
      </c>
      <c r="R889" s="925">
        <v>0</v>
      </c>
      <c r="S889" s="925">
        <v>0</v>
      </c>
      <c r="T889" s="925">
        <v>0</v>
      </c>
      <c r="U889" s="925">
        <v>0</v>
      </c>
      <c r="V889" s="925">
        <v>0</v>
      </c>
      <c r="W889" s="925">
        <v>0</v>
      </c>
      <c r="X889" s="925">
        <v>0</v>
      </c>
      <c r="Y889" s="925">
        <v>0</v>
      </c>
      <c r="Z889" s="921">
        <v>123903</v>
      </c>
      <c r="AA889" s="925">
        <v>0</v>
      </c>
    </row>
    <row r="890" spans="1:27" s="867" customFormat="1" ht="92.25" customHeight="1">
      <c r="A890" s="927">
        <v>373</v>
      </c>
      <c r="B890" s="868" t="s">
        <v>1585</v>
      </c>
      <c r="C890" s="925">
        <f>D890+N890+P890+R890+T890+X890+Z890</f>
        <v>1489225</v>
      </c>
      <c r="D890" s="925">
        <v>0</v>
      </c>
      <c r="E890" s="925">
        <v>0</v>
      </c>
      <c r="F890" s="925">
        <v>0</v>
      </c>
      <c r="G890" s="925">
        <v>0</v>
      </c>
      <c r="H890" s="925">
        <v>0</v>
      </c>
      <c r="I890" s="925">
        <v>0</v>
      </c>
      <c r="J890" s="925">
        <v>0</v>
      </c>
      <c r="K890" s="861">
        <v>0</v>
      </c>
      <c r="L890" s="925">
        <v>0</v>
      </c>
      <c r="M890" s="925">
        <v>0</v>
      </c>
      <c r="N890" s="925">
        <v>0</v>
      </c>
      <c r="O890" s="925">
        <v>440</v>
      </c>
      <c r="P890" s="925">
        <v>1381055</v>
      </c>
      <c r="Q890" s="925">
        <v>0</v>
      </c>
      <c r="R890" s="925">
        <v>0</v>
      </c>
      <c r="S890" s="925">
        <v>0</v>
      </c>
      <c r="T890" s="925">
        <v>0</v>
      </c>
      <c r="U890" s="925">
        <v>0</v>
      </c>
      <c r="V890" s="925">
        <v>0</v>
      </c>
      <c r="W890" s="925">
        <v>0</v>
      </c>
      <c r="X890" s="925">
        <v>0</v>
      </c>
      <c r="Y890" s="925">
        <v>0</v>
      </c>
      <c r="Z890" s="921">
        <v>108170</v>
      </c>
      <c r="AA890" s="925">
        <v>0</v>
      </c>
    </row>
    <row r="891" spans="1:27" s="867" customFormat="1" ht="111.75" customHeight="1">
      <c r="A891" s="927">
        <v>374</v>
      </c>
      <c r="B891" s="863" t="s">
        <v>1805</v>
      </c>
      <c r="C891" s="925">
        <f t="shared" ref="C891:C896" si="191">D891+N891+P891+R891+T891+X891+Z891</f>
        <v>6390248.8399999999</v>
      </c>
      <c r="D891" s="925">
        <f t="shared" ref="D891:D896" si="192">SUM(E891:J891)</f>
        <v>0</v>
      </c>
      <c r="E891" s="925">
        <v>0</v>
      </c>
      <c r="F891" s="925">
        <v>0</v>
      </c>
      <c r="G891" s="925">
        <v>0</v>
      </c>
      <c r="H891" s="925">
        <v>0</v>
      </c>
      <c r="I891" s="925">
        <v>0</v>
      </c>
      <c r="J891" s="925">
        <v>0</v>
      </c>
      <c r="K891" s="861">
        <v>0</v>
      </c>
      <c r="L891" s="925">
        <v>0</v>
      </c>
      <c r="M891" s="925">
        <v>0</v>
      </c>
      <c r="N891" s="925">
        <v>0</v>
      </c>
      <c r="O891" s="925">
        <v>700</v>
      </c>
      <c r="P891" s="925">
        <v>6254645.04</v>
      </c>
      <c r="Q891" s="925">
        <v>0</v>
      </c>
      <c r="R891" s="925">
        <v>0</v>
      </c>
      <c r="S891" s="925">
        <v>0</v>
      </c>
      <c r="T891" s="925">
        <v>0</v>
      </c>
      <c r="U891" s="925">
        <v>0</v>
      </c>
      <c r="V891" s="925">
        <v>0</v>
      </c>
      <c r="W891" s="925">
        <v>0</v>
      </c>
      <c r="X891" s="925">
        <v>0</v>
      </c>
      <c r="Y891" s="925">
        <v>0</v>
      </c>
      <c r="Z891" s="921">
        <v>135603.79999999999</v>
      </c>
      <c r="AA891" s="925">
        <v>0</v>
      </c>
    </row>
    <row r="892" spans="1:27" s="867" customFormat="1" ht="116.25" customHeight="1">
      <c r="A892" s="927">
        <v>375</v>
      </c>
      <c r="B892" s="863" t="s">
        <v>680</v>
      </c>
      <c r="C892" s="925">
        <f t="shared" si="191"/>
        <v>734707</v>
      </c>
      <c r="D892" s="925">
        <f t="shared" si="192"/>
        <v>0</v>
      </c>
      <c r="E892" s="925">
        <v>0</v>
      </c>
      <c r="F892" s="925">
        <v>0</v>
      </c>
      <c r="G892" s="925">
        <v>0</v>
      </c>
      <c r="H892" s="925">
        <v>0</v>
      </c>
      <c r="I892" s="925">
        <v>0</v>
      </c>
      <c r="J892" s="925">
        <v>0</v>
      </c>
      <c r="K892" s="861">
        <v>0</v>
      </c>
      <c r="L892" s="925">
        <v>0</v>
      </c>
      <c r="M892" s="925">
        <v>0</v>
      </c>
      <c r="N892" s="925">
        <v>0</v>
      </c>
      <c r="O892" s="925">
        <v>0</v>
      </c>
      <c r="P892" s="925">
        <v>0</v>
      </c>
      <c r="Q892" s="925">
        <v>0</v>
      </c>
      <c r="R892" s="925">
        <v>0</v>
      </c>
      <c r="S892" s="925">
        <v>484.51</v>
      </c>
      <c r="T892" s="925">
        <v>681341.68</v>
      </c>
      <c r="U892" s="925">
        <v>0</v>
      </c>
      <c r="V892" s="925">
        <v>0</v>
      </c>
      <c r="W892" s="925">
        <v>0</v>
      </c>
      <c r="X892" s="925">
        <v>0</v>
      </c>
      <c r="Y892" s="925">
        <v>0</v>
      </c>
      <c r="Z892" s="921">
        <v>53365.32</v>
      </c>
      <c r="AA892" s="925">
        <v>0</v>
      </c>
    </row>
    <row r="893" spans="1:27" s="867" customFormat="1" ht="85.5" customHeight="1">
      <c r="A893" s="927">
        <v>376</v>
      </c>
      <c r="B893" s="863" t="s">
        <v>1889</v>
      </c>
      <c r="C893" s="925">
        <f t="shared" si="191"/>
        <v>738725.94</v>
      </c>
      <c r="D893" s="925">
        <f t="shared" si="192"/>
        <v>0</v>
      </c>
      <c r="E893" s="925">
        <v>0</v>
      </c>
      <c r="F893" s="925">
        <v>0</v>
      </c>
      <c r="G893" s="925">
        <v>0</v>
      </c>
      <c r="H893" s="925">
        <v>0</v>
      </c>
      <c r="I893" s="925">
        <v>0</v>
      </c>
      <c r="J893" s="925">
        <v>0</v>
      </c>
      <c r="K893" s="861">
        <v>0</v>
      </c>
      <c r="L893" s="925">
        <v>0</v>
      </c>
      <c r="M893" s="925">
        <v>0</v>
      </c>
      <c r="N893" s="925">
        <v>0</v>
      </c>
      <c r="O893" s="925">
        <v>0</v>
      </c>
      <c r="P893" s="925">
        <v>0</v>
      </c>
      <c r="Q893" s="925">
        <v>0</v>
      </c>
      <c r="R893" s="925">
        <v>0</v>
      </c>
      <c r="S893" s="925">
        <v>487.2</v>
      </c>
      <c r="T893" s="925">
        <v>685068.7</v>
      </c>
      <c r="U893" s="925">
        <v>0</v>
      </c>
      <c r="V893" s="925">
        <v>0</v>
      </c>
      <c r="W893" s="925">
        <v>0</v>
      </c>
      <c r="X893" s="925">
        <v>0</v>
      </c>
      <c r="Y893" s="925">
        <v>0</v>
      </c>
      <c r="Z893" s="921">
        <v>53657.24</v>
      </c>
      <c r="AA893" s="925">
        <v>0</v>
      </c>
    </row>
    <row r="894" spans="1:27" s="867" customFormat="1" ht="131.25" customHeight="1">
      <c r="A894" s="927">
        <v>377</v>
      </c>
      <c r="B894" s="863" t="s">
        <v>682</v>
      </c>
      <c r="C894" s="925">
        <f t="shared" si="191"/>
        <v>6389537.4500000002</v>
      </c>
      <c r="D894" s="925">
        <f t="shared" si="192"/>
        <v>0</v>
      </c>
      <c r="E894" s="925">
        <v>0</v>
      </c>
      <c r="F894" s="925">
        <v>0</v>
      </c>
      <c r="G894" s="925">
        <v>0</v>
      </c>
      <c r="H894" s="925">
        <v>0</v>
      </c>
      <c r="I894" s="925">
        <v>0</v>
      </c>
      <c r="J894" s="925">
        <v>0</v>
      </c>
      <c r="K894" s="861">
        <v>0</v>
      </c>
      <c r="L894" s="925">
        <v>0</v>
      </c>
      <c r="M894" s="925">
        <v>0</v>
      </c>
      <c r="N894" s="925">
        <v>0</v>
      </c>
      <c r="O894" s="925">
        <v>700</v>
      </c>
      <c r="P894" s="925">
        <v>6254645.04</v>
      </c>
      <c r="Q894" s="925">
        <v>0</v>
      </c>
      <c r="R894" s="925">
        <v>0</v>
      </c>
      <c r="S894" s="925">
        <v>0</v>
      </c>
      <c r="T894" s="925">
        <v>0</v>
      </c>
      <c r="U894" s="925">
        <v>0</v>
      </c>
      <c r="V894" s="925">
        <v>0</v>
      </c>
      <c r="W894" s="925">
        <v>0</v>
      </c>
      <c r="X894" s="925">
        <v>0</v>
      </c>
      <c r="Y894" s="925">
        <v>0</v>
      </c>
      <c r="Z894" s="921">
        <v>134892.41</v>
      </c>
      <c r="AA894" s="925">
        <v>0</v>
      </c>
    </row>
    <row r="895" spans="1:27" s="867" customFormat="1" ht="106.5" customHeight="1">
      <c r="A895" s="927">
        <v>378</v>
      </c>
      <c r="B895" s="863" t="s">
        <v>2079</v>
      </c>
      <c r="C895" s="925">
        <f t="shared" si="191"/>
        <v>6529318.21</v>
      </c>
      <c r="D895" s="925">
        <f t="shared" si="192"/>
        <v>0</v>
      </c>
      <c r="E895" s="925">
        <v>0</v>
      </c>
      <c r="F895" s="925">
        <v>0</v>
      </c>
      <c r="G895" s="925">
        <v>0</v>
      </c>
      <c r="H895" s="925">
        <v>0</v>
      </c>
      <c r="I895" s="925">
        <v>0</v>
      </c>
      <c r="J895" s="925">
        <v>0</v>
      </c>
      <c r="K895" s="861">
        <v>0</v>
      </c>
      <c r="L895" s="925">
        <v>0</v>
      </c>
      <c r="M895" s="925">
        <v>0</v>
      </c>
      <c r="N895" s="925">
        <v>0</v>
      </c>
      <c r="O895" s="925">
        <v>715</v>
      </c>
      <c r="P895" s="925">
        <v>6388673.1500000004</v>
      </c>
      <c r="Q895" s="925">
        <v>0</v>
      </c>
      <c r="R895" s="925">
        <v>0</v>
      </c>
      <c r="S895" s="925">
        <v>0</v>
      </c>
      <c r="T895" s="925">
        <v>0</v>
      </c>
      <c r="U895" s="925">
        <v>0</v>
      </c>
      <c r="V895" s="925">
        <v>0</v>
      </c>
      <c r="W895" s="925">
        <v>0</v>
      </c>
      <c r="X895" s="925">
        <v>0</v>
      </c>
      <c r="Y895" s="925">
        <v>0</v>
      </c>
      <c r="Z895" s="921">
        <v>140645.06</v>
      </c>
      <c r="AA895" s="925">
        <v>0</v>
      </c>
    </row>
    <row r="896" spans="1:27" s="867" customFormat="1" ht="135" customHeight="1">
      <c r="A896" s="927">
        <v>379</v>
      </c>
      <c r="B896" s="863" t="s">
        <v>1804</v>
      </c>
      <c r="C896" s="925">
        <f t="shared" si="191"/>
        <v>1309256.5499999998</v>
      </c>
      <c r="D896" s="925">
        <f t="shared" si="192"/>
        <v>0</v>
      </c>
      <c r="E896" s="925">
        <v>0</v>
      </c>
      <c r="F896" s="925">
        <v>0</v>
      </c>
      <c r="G896" s="925">
        <v>0</v>
      </c>
      <c r="H896" s="925">
        <v>0</v>
      </c>
      <c r="I896" s="925">
        <v>0</v>
      </c>
      <c r="J896" s="925">
        <v>0</v>
      </c>
      <c r="K896" s="861">
        <v>0</v>
      </c>
      <c r="L896" s="925">
        <v>0</v>
      </c>
      <c r="M896" s="925">
        <v>0</v>
      </c>
      <c r="N896" s="925">
        <v>0</v>
      </c>
      <c r="O896" s="925">
        <v>0</v>
      </c>
      <c r="P896" s="925">
        <v>0</v>
      </c>
      <c r="Q896" s="925">
        <v>0</v>
      </c>
      <c r="R896" s="925">
        <v>0</v>
      </c>
      <c r="S896" s="925">
        <v>492.02</v>
      </c>
      <c r="T896" s="925">
        <v>1214158.93</v>
      </c>
      <c r="U896" s="925">
        <v>0</v>
      </c>
      <c r="V896" s="925">
        <v>0</v>
      </c>
      <c r="W896" s="925">
        <v>0</v>
      </c>
      <c r="X896" s="925">
        <v>0</v>
      </c>
      <c r="Y896" s="925">
        <v>0</v>
      </c>
      <c r="Z896" s="921">
        <v>95097.62</v>
      </c>
      <c r="AA896" s="925">
        <v>0</v>
      </c>
    </row>
    <row r="897" spans="1:27" s="867" customFormat="1" ht="87.75" customHeight="1">
      <c r="A897" s="927">
        <v>380</v>
      </c>
      <c r="B897" s="868" t="s">
        <v>1958</v>
      </c>
      <c r="C897" s="925">
        <f t="shared" ref="C897:C903" si="193">D897+N897+P897+R897+T897+X897+Z897</f>
        <v>59964</v>
      </c>
      <c r="D897" s="925">
        <f t="shared" ref="D897:D903" si="194">SUM(E897:J897)</f>
        <v>0</v>
      </c>
      <c r="E897" s="925">
        <v>0</v>
      </c>
      <c r="F897" s="925">
        <v>0</v>
      </c>
      <c r="G897" s="925">
        <v>0</v>
      </c>
      <c r="H897" s="925">
        <v>0</v>
      </c>
      <c r="I897" s="925">
        <v>0</v>
      </c>
      <c r="J897" s="925">
        <v>0</v>
      </c>
      <c r="K897" s="861">
        <v>0</v>
      </c>
      <c r="L897" s="925">
        <v>0</v>
      </c>
      <c r="M897" s="925">
        <v>0</v>
      </c>
      <c r="N897" s="925">
        <v>0</v>
      </c>
      <c r="O897" s="925">
        <v>0</v>
      </c>
      <c r="P897" s="925">
        <v>0</v>
      </c>
      <c r="Q897" s="925">
        <v>0</v>
      </c>
      <c r="R897" s="925">
        <v>0</v>
      </c>
      <c r="S897" s="925">
        <v>0</v>
      </c>
      <c r="T897" s="925">
        <v>0</v>
      </c>
      <c r="U897" s="925">
        <v>0</v>
      </c>
      <c r="V897" s="925">
        <v>0</v>
      </c>
      <c r="W897" s="925">
        <v>0</v>
      </c>
      <c r="X897" s="925">
        <v>0</v>
      </c>
      <c r="Y897" s="925">
        <v>0</v>
      </c>
      <c r="Z897" s="921">
        <v>59964</v>
      </c>
      <c r="AA897" s="925">
        <v>0</v>
      </c>
    </row>
    <row r="898" spans="1:27" s="867" customFormat="1" ht="87.75" customHeight="1">
      <c r="A898" s="927">
        <v>381</v>
      </c>
      <c r="B898" s="868" t="s">
        <v>2096</v>
      </c>
      <c r="C898" s="925">
        <f t="shared" si="193"/>
        <v>1039583</v>
      </c>
      <c r="D898" s="925">
        <f t="shared" si="194"/>
        <v>0</v>
      </c>
      <c r="E898" s="925">
        <v>0</v>
      </c>
      <c r="F898" s="925">
        <v>0</v>
      </c>
      <c r="G898" s="925">
        <v>0</v>
      </c>
      <c r="H898" s="925">
        <v>0</v>
      </c>
      <c r="I898" s="925">
        <v>0</v>
      </c>
      <c r="J898" s="925">
        <v>0</v>
      </c>
      <c r="K898" s="861">
        <v>0</v>
      </c>
      <c r="L898" s="925">
        <v>0</v>
      </c>
      <c r="M898" s="925">
        <v>0</v>
      </c>
      <c r="N898" s="925">
        <v>0</v>
      </c>
      <c r="O898" s="925">
        <v>382.6</v>
      </c>
      <c r="P898" s="925">
        <v>964073</v>
      </c>
      <c r="Q898" s="925">
        <v>0</v>
      </c>
      <c r="R898" s="925">
        <v>0</v>
      </c>
      <c r="S898" s="925">
        <v>0</v>
      </c>
      <c r="T898" s="925">
        <v>0</v>
      </c>
      <c r="U898" s="925">
        <v>0</v>
      </c>
      <c r="V898" s="925">
        <v>0</v>
      </c>
      <c r="W898" s="925">
        <v>0</v>
      </c>
      <c r="X898" s="925">
        <v>0</v>
      </c>
      <c r="Y898" s="925">
        <v>0</v>
      </c>
      <c r="Z898" s="921">
        <v>75510</v>
      </c>
      <c r="AA898" s="925">
        <v>0</v>
      </c>
    </row>
    <row r="899" spans="1:27" s="867" customFormat="1" ht="113.25" customHeight="1">
      <c r="A899" s="927">
        <v>382</v>
      </c>
      <c r="B899" s="863" t="s">
        <v>1831</v>
      </c>
      <c r="C899" s="925">
        <f t="shared" si="193"/>
        <v>4707741</v>
      </c>
      <c r="D899" s="925">
        <f t="shared" si="194"/>
        <v>0</v>
      </c>
      <c r="E899" s="925">
        <v>0</v>
      </c>
      <c r="F899" s="925">
        <v>0</v>
      </c>
      <c r="G899" s="925">
        <v>0</v>
      </c>
      <c r="H899" s="925">
        <v>0</v>
      </c>
      <c r="I899" s="925">
        <v>0</v>
      </c>
      <c r="J899" s="925">
        <v>0</v>
      </c>
      <c r="K899" s="861">
        <v>0</v>
      </c>
      <c r="L899" s="925">
        <v>0</v>
      </c>
      <c r="M899" s="925">
        <v>0</v>
      </c>
      <c r="N899" s="925">
        <v>0</v>
      </c>
      <c r="O899" s="925">
        <v>1732.6</v>
      </c>
      <c r="P899" s="925">
        <v>4365795</v>
      </c>
      <c r="Q899" s="925">
        <v>0</v>
      </c>
      <c r="R899" s="925">
        <v>0</v>
      </c>
      <c r="S899" s="925">
        <v>0</v>
      </c>
      <c r="T899" s="925">
        <v>0</v>
      </c>
      <c r="U899" s="925">
        <v>0</v>
      </c>
      <c r="V899" s="925">
        <v>0</v>
      </c>
      <c r="W899" s="925">
        <v>0</v>
      </c>
      <c r="X899" s="925">
        <v>0</v>
      </c>
      <c r="Y899" s="925">
        <v>0</v>
      </c>
      <c r="Z899" s="921">
        <v>341946</v>
      </c>
      <c r="AA899" s="925">
        <v>0</v>
      </c>
    </row>
    <row r="900" spans="1:27" s="867" customFormat="1" ht="118.5" customHeight="1">
      <c r="A900" s="927">
        <v>383</v>
      </c>
      <c r="B900" s="863" t="s">
        <v>2258</v>
      </c>
      <c r="C900" s="925">
        <f t="shared" si="193"/>
        <v>5748571.6699999999</v>
      </c>
      <c r="D900" s="925">
        <f t="shared" si="194"/>
        <v>0</v>
      </c>
      <c r="E900" s="925">
        <v>0</v>
      </c>
      <c r="F900" s="925">
        <v>0</v>
      </c>
      <c r="G900" s="925">
        <v>0</v>
      </c>
      <c r="H900" s="925">
        <v>0</v>
      </c>
      <c r="I900" s="925">
        <v>0</v>
      </c>
      <c r="J900" s="925">
        <v>0</v>
      </c>
      <c r="K900" s="861">
        <v>0</v>
      </c>
      <c r="L900" s="925">
        <v>0</v>
      </c>
      <c r="M900" s="925">
        <v>0</v>
      </c>
      <c r="N900" s="925">
        <v>0</v>
      </c>
      <c r="O900" s="925">
        <v>875.84</v>
      </c>
      <c r="P900" s="925">
        <v>5618875.6699999999</v>
      </c>
      <c r="Q900" s="925">
        <v>0</v>
      </c>
      <c r="R900" s="925">
        <v>0</v>
      </c>
      <c r="S900" s="925">
        <v>0</v>
      </c>
      <c r="T900" s="925">
        <v>0</v>
      </c>
      <c r="U900" s="925">
        <v>0</v>
      </c>
      <c r="V900" s="925">
        <v>0</v>
      </c>
      <c r="W900" s="925">
        <v>0</v>
      </c>
      <c r="X900" s="925">
        <v>0</v>
      </c>
      <c r="Y900" s="925">
        <v>0</v>
      </c>
      <c r="Z900" s="921">
        <v>129696</v>
      </c>
      <c r="AA900" s="925">
        <v>0</v>
      </c>
    </row>
    <row r="901" spans="1:27" s="867" customFormat="1" ht="102" customHeight="1">
      <c r="A901" s="927">
        <v>384</v>
      </c>
      <c r="B901" s="863" t="s">
        <v>1833</v>
      </c>
      <c r="C901" s="925">
        <f t="shared" si="193"/>
        <v>1883975</v>
      </c>
      <c r="D901" s="925">
        <f t="shared" si="194"/>
        <v>0</v>
      </c>
      <c r="E901" s="925">
        <v>0</v>
      </c>
      <c r="F901" s="925">
        <v>0</v>
      </c>
      <c r="G901" s="925">
        <v>0</v>
      </c>
      <c r="H901" s="925">
        <v>0</v>
      </c>
      <c r="I901" s="925">
        <v>0</v>
      </c>
      <c r="J901" s="925">
        <v>0</v>
      </c>
      <c r="K901" s="861">
        <v>0</v>
      </c>
      <c r="L901" s="925">
        <v>0</v>
      </c>
      <c r="M901" s="925">
        <v>0</v>
      </c>
      <c r="N901" s="925">
        <v>0</v>
      </c>
      <c r="O901" s="925">
        <v>0</v>
      </c>
      <c r="P901" s="925">
        <v>0</v>
      </c>
      <c r="Q901" s="925">
        <v>0</v>
      </c>
      <c r="R901" s="925">
        <v>0</v>
      </c>
      <c r="S901" s="925">
        <v>708</v>
      </c>
      <c r="T901" s="925">
        <v>1747133</v>
      </c>
      <c r="U901" s="925">
        <v>0</v>
      </c>
      <c r="V901" s="925">
        <v>0</v>
      </c>
      <c r="W901" s="925">
        <v>0</v>
      </c>
      <c r="X901" s="925">
        <v>0</v>
      </c>
      <c r="Y901" s="925">
        <v>0</v>
      </c>
      <c r="Z901" s="921">
        <v>136842</v>
      </c>
      <c r="AA901" s="925">
        <v>0</v>
      </c>
    </row>
    <row r="902" spans="1:27" s="867" customFormat="1" ht="102" customHeight="1">
      <c r="A902" s="927">
        <v>385</v>
      </c>
      <c r="B902" s="863" t="s">
        <v>2259</v>
      </c>
      <c r="C902" s="925">
        <f t="shared" si="193"/>
        <v>3806377.72</v>
      </c>
      <c r="D902" s="925">
        <f t="shared" si="194"/>
        <v>0</v>
      </c>
      <c r="E902" s="925">
        <v>0</v>
      </c>
      <c r="F902" s="925">
        <v>0</v>
      </c>
      <c r="G902" s="925">
        <v>0</v>
      </c>
      <c r="H902" s="925">
        <v>0</v>
      </c>
      <c r="I902" s="925">
        <v>0</v>
      </c>
      <c r="J902" s="925">
        <v>0</v>
      </c>
      <c r="K902" s="861">
        <v>0</v>
      </c>
      <c r="L902" s="925">
        <v>0</v>
      </c>
      <c r="M902" s="925">
        <v>0</v>
      </c>
      <c r="N902" s="925">
        <v>0</v>
      </c>
      <c r="O902" s="925">
        <v>572.86</v>
      </c>
      <c r="P902" s="925">
        <v>3675133.72</v>
      </c>
      <c r="Q902" s="925">
        <v>0</v>
      </c>
      <c r="R902" s="925">
        <v>0</v>
      </c>
      <c r="S902" s="925">
        <v>0</v>
      </c>
      <c r="T902" s="925">
        <v>0</v>
      </c>
      <c r="U902" s="925">
        <v>0</v>
      </c>
      <c r="V902" s="925">
        <v>0</v>
      </c>
      <c r="W902" s="925">
        <v>0</v>
      </c>
      <c r="X902" s="925">
        <v>0</v>
      </c>
      <c r="Y902" s="925">
        <v>0</v>
      </c>
      <c r="Z902" s="921">
        <v>131244</v>
      </c>
      <c r="AA902" s="925">
        <v>0</v>
      </c>
    </row>
    <row r="903" spans="1:27" s="867" customFormat="1" ht="99" customHeight="1">
      <c r="A903" s="927">
        <v>386</v>
      </c>
      <c r="B903" s="863" t="s">
        <v>1823</v>
      </c>
      <c r="C903" s="925">
        <f t="shared" si="193"/>
        <v>2364254</v>
      </c>
      <c r="D903" s="925">
        <f t="shared" si="194"/>
        <v>0</v>
      </c>
      <c r="E903" s="925">
        <v>0</v>
      </c>
      <c r="F903" s="925">
        <v>0</v>
      </c>
      <c r="G903" s="925">
        <v>0</v>
      </c>
      <c r="H903" s="925">
        <v>0</v>
      </c>
      <c r="I903" s="925">
        <v>0</v>
      </c>
      <c r="J903" s="925">
        <v>0</v>
      </c>
      <c r="K903" s="861">
        <v>0</v>
      </c>
      <c r="L903" s="925">
        <v>0</v>
      </c>
      <c r="M903" s="925">
        <v>0</v>
      </c>
      <c r="N903" s="925">
        <v>0</v>
      </c>
      <c r="O903" s="925">
        <v>510</v>
      </c>
      <c r="P903" s="925">
        <v>2192527</v>
      </c>
      <c r="Q903" s="925">
        <v>0</v>
      </c>
      <c r="R903" s="925">
        <v>0</v>
      </c>
      <c r="S903" s="925">
        <v>0</v>
      </c>
      <c r="T903" s="925">
        <v>0</v>
      </c>
      <c r="U903" s="925">
        <v>0</v>
      </c>
      <c r="V903" s="925">
        <v>0</v>
      </c>
      <c r="W903" s="925">
        <v>0</v>
      </c>
      <c r="X903" s="925">
        <v>0</v>
      </c>
      <c r="Y903" s="925">
        <v>0</v>
      </c>
      <c r="Z903" s="921">
        <v>171727</v>
      </c>
      <c r="AA903" s="925">
        <v>0</v>
      </c>
    </row>
    <row r="904" spans="1:27" s="867" customFormat="1" ht="98.25" customHeight="1">
      <c r="A904" s="1198" t="s">
        <v>1057</v>
      </c>
      <c r="B904" s="1199"/>
      <c r="C904" s="925">
        <f>SUM(C905:C910)</f>
        <v>13173642.190000001</v>
      </c>
      <c r="D904" s="925">
        <f t="shared" ref="D904:AA904" si="195">SUM(D905:D910)</f>
        <v>187319.65</v>
      </c>
      <c r="E904" s="925">
        <f t="shared" si="195"/>
        <v>187319.65</v>
      </c>
      <c r="F904" s="925">
        <f t="shared" si="195"/>
        <v>0</v>
      </c>
      <c r="G904" s="925">
        <f t="shared" si="195"/>
        <v>0</v>
      </c>
      <c r="H904" s="925">
        <f t="shared" si="195"/>
        <v>0</v>
      </c>
      <c r="I904" s="925">
        <f t="shared" si="195"/>
        <v>0</v>
      </c>
      <c r="J904" s="925">
        <f t="shared" si="195"/>
        <v>0</v>
      </c>
      <c r="K904" s="861">
        <f t="shared" si="195"/>
        <v>0</v>
      </c>
      <c r="L904" s="925">
        <f t="shared" si="195"/>
        <v>0</v>
      </c>
      <c r="M904" s="925">
        <f t="shared" si="195"/>
        <v>0</v>
      </c>
      <c r="N904" s="925">
        <f t="shared" si="195"/>
        <v>0</v>
      </c>
      <c r="O904" s="925">
        <f t="shared" si="195"/>
        <v>2120.4</v>
      </c>
      <c r="P904" s="925">
        <f t="shared" si="195"/>
        <v>12162379.529999999</v>
      </c>
      <c r="Q904" s="925">
        <f t="shared" si="195"/>
        <v>0</v>
      </c>
      <c r="R904" s="925">
        <f t="shared" si="195"/>
        <v>0</v>
      </c>
      <c r="S904" s="925">
        <f t="shared" si="195"/>
        <v>0</v>
      </c>
      <c r="T904" s="925">
        <f t="shared" si="195"/>
        <v>0</v>
      </c>
      <c r="U904" s="925">
        <f t="shared" si="195"/>
        <v>0</v>
      </c>
      <c r="V904" s="925">
        <f t="shared" si="195"/>
        <v>0</v>
      </c>
      <c r="W904" s="925">
        <f t="shared" si="195"/>
        <v>0</v>
      </c>
      <c r="X904" s="925">
        <f t="shared" si="195"/>
        <v>0</v>
      </c>
      <c r="Y904" s="925">
        <f t="shared" si="195"/>
        <v>0</v>
      </c>
      <c r="Z904" s="921">
        <f t="shared" si="195"/>
        <v>823943.00999999989</v>
      </c>
      <c r="AA904" s="925">
        <f t="shared" si="195"/>
        <v>0</v>
      </c>
    </row>
    <row r="905" spans="1:27" s="867" customFormat="1" ht="118.5" customHeight="1">
      <c r="A905" s="927">
        <v>387</v>
      </c>
      <c r="B905" s="863" t="s">
        <v>2260</v>
      </c>
      <c r="C905" s="925">
        <f t="shared" ref="C905:C910" si="196">D905+N905+P905+R905+T905+X905+Z905</f>
        <v>1555703.83</v>
      </c>
      <c r="D905" s="925">
        <f t="shared" ref="D905:D910" si="197">SUM(E905:J905)</f>
        <v>0</v>
      </c>
      <c r="E905" s="925">
        <v>0</v>
      </c>
      <c r="F905" s="925">
        <v>0</v>
      </c>
      <c r="G905" s="925">
        <v>0</v>
      </c>
      <c r="H905" s="925">
        <v>0</v>
      </c>
      <c r="I905" s="925">
        <v>0</v>
      </c>
      <c r="J905" s="925">
        <v>0</v>
      </c>
      <c r="K905" s="861">
        <v>0</v>
      </c>
      <c r="L905" s="925">
        <v>0</v>
      </c>
      <c r="M905" s="925">
        <v>0</v>
      </c>
      <c r="N905" s="925">
        <v>0</v>
      </c>
      <c r="O905" s="925">
        <v>400</v>
      </c>
      <c r="P905" s="925">
        <v>1483503.83</v>
      </c>
      <c r="Q905" s="925">
        <v>0</v>
      </c>
      <c r="R905" s="925">
        <v>0</v>
      </c>
      <c r="S905" s="925">
        <v>0</v>
      </c>
      <c r="T905" s="925">
        <v>0</v>
      </c>
      <c r="U905" s="925">
        <v>0</v>
      </c>
      <c r="V905" s="925">
        <v>0</v>
      </c>
      <c r="W905" s="925">
        <v>0</v>
      </c>
      <c r="X905" s="925">
        <v>0</v>
      </c>
      <c r="Y905" s="925">
        <v>0</v>
      </c>
      <c r="Z905" s="921">
        <v>72200</v>
      </c>
      <c r="AA905" s="925">
        <v>0</v>
      </c>
    </row>
    <row r="906" spans="1:27" s="867" customFormat="1" ht="98.45" customHeight="1">
      <c r="A906" s="927">
        <v>388</v>
      </c>
      <c r="B906" s="863" t="s">
        <v>1191</v>
      </c>
      <c r="C906" s="925">
        <f t="shared" si="196"/>
        <v>3588646.4600000004</v>
      </c>
      <c r="D906" s="925">
        <f t="shared" si="197"/>
        <v>0</v>
      </c>
      <c r="E906" s="925">
        <v>0</v>
      </c>
      <c r="F906" s="925">
        <v>0</v>
      </c>
      <c r="G906" s="925">
        <v>0</v>
      </c>
      <c r="H906" s="925">
        <v>0</v>
      </c>
      <c r="I906" s="925">
        <v>0</v>
      </c>
      <c r="J906" s="925">
        <v>0</v>
      </c>
      <c r="K906" s="861">
        <v>0</v>
      </c>
      <c r="L906" s="925">
        <v>0</v>
      </c>
      <c r="M906" s="925">
        <v>0</v>
      </c>
      <c r="N906" s="925">
        <v>0</v>
      </c>
      <c r="O906" s="925">
        <v>467</v>
      </c>
      <c r="P906" s="925">
        <v>3327985.74</v>
      </c>
      <c r="Q906" s="925">
        <v>0</v>
      </c>
      <c r="R906" s="925">
        <v>0</v>
      </c>
      <c r="S906" s="925">
        <v>0</v>
      </c>
      <c r="T906" s="925">
        <v>0</v>
      </c>
      <c r="U906" s="925">
        <v>0</v>
      </c>
      <c r="V906" s="925">
        <v>0</v>
      </c>
      <c r="W906" s="925">
        <v>0</v>
      </c>
      <c r="X906" s="925">
        <v>0</v>
      </c>
      <c r="Y906" s="925">
        <v>0</v>
      </c>
      <c r="Z906" s="921">
        <v>260660.72</v>
      </c>
      <c r="AA906" s="925">
        <v>0</v>
      </c>
    </row>
    <row r="907" spans="1:27" s="867" customFormat="1" ht="99.6" customHeight="1">
      <c r="A907" s="927">
        <v>389</v>
      </c>
      <c r="B907" s="863" t="s">
        <v>2261</v>
      </c>
      <c r="C907" s="925">
        <f t="shared" si="196"/>
        <v>1659093.22</v>
      </c>
      <c r="D907" s="925">
        <f t="shared" si="197"/>
        <v>0</v>
      </c>
      <c r="E907" s="925">
        <v>0</v>
      </c>
      <c r="F907" s="925">
        <v>0</v>
      </c>
      <c r="G907" s="925">
        <v>0</v>
      </c>
      <c r="H907" s="925">
        <v>0</v>
      </c>
      <c r="I907" s="925">
        <v>0</v>
      </c>
      <c r="J907" s="925">
        <v>0</v>
      </c>
      <c r="K907" s="861">
        <v>0</v>
      </c>
      <c r="L907" s="925">
        <v>0</v>
      </c>
      <c r="M907" s="925">
        <v>0</v>
      </c>
      <c r="N907" s="925">
        <v>0</v>
      </c>
      <c r="O907" s="925">
        <v>191.8</v>
      </c>
      <c r="P907" s="925">
        <v>1630709.22</v>
      </c>
      <c r="Q907" s="925">
        <v>0</v>
      </c>
      <c r="R907" s="925">
        <v>0</v>
      </c>
      <c r="S907" s="925">
        <v>0</v>
      </c>
      <c r="T907" s="925">
        <v>0</v>
      </c>
      <c r="U907" s="925">
        <v>0</v>
      </c>
      <c r="V907" s="925">
        <v>0</v>
      </c>
      <c r="W907" s="925">
        <v>0</v>
      </c>
      <c r="X907" s="925">
        <v>0</v>
      </c>
      <c r="Y907" s="925">
        <v>0</v>
      </c>
      <c r="Z907" s="921">
        <v>28384</v>
      </c>
      <c r="AA907" s="925">
        <v>0</v>
      </c>
    </row>
    <row r="908" spans="1:27" s="867" customFormat="1" ht="96" customHeight="1">
      <c r="A908" s="927">
        <v>390</v>
      </c>
      <c r="B908" s="863" t="s">
        <v>1192</v>
      </c>
      <c r="C908" s="925">
        <f t="shared" si="196"/>
        <v>2479662.89</v>
      </c>
      <c r="D908" s="925">
        <f t="shared" si="197"/>
        <v>0</v>
      </c>
      <c r="E908" s="925">
        <v>0</v>
      </c>
      <c r="F908" s="925">
        <v>0</v>
      </c>
      <c r="G908" s="925">
        <v>0</v>
      </c>
      <c r="H908" s="925">
        <v>0</v>
      </c>
      <c r="I908" s="925">
        <v>0</v>
      </c>
      <c r="J908" s="925">
        <v>0</v>
      </c>
      <c r="K908" s="861">
        <v>0</v>
      </c>
      <c r="L908" s="925">
        <v>0</v>
      </c>
      <c r="M908" s="925">
        <v>0</v>
      </c>
      <c r="N908" s="925">
        <v>0</v>
      </c>
      <c r="O908" s="925">
        <v>581.6</v>
      </c>
      <c r="P908" s="925">
        <v>2299553</v>
      </c>
      <c r="Q908" s="925">
        <v>0</v>
      </c>
      <c r="R908" s="925">
        <v>0</v>
      </c>
      <c r="S908" s="925">
        <v>0</v>
      </c>
      <c r="T908" s="925">
        <v>0</v>
      </c>
      <c r="U908" s="925">
        <v>0</v>
      </c>
      <c r="V908" s="925">
        <v>0</v>
      </c>
      <c r="W908" s="925">
        <v>0</v>
      </c>
      <c r="X908" s="925">
        <v>0</v>
      </c>
      <c r="Y908" s="925">
        <v>0</v>
      </c>
      <c r="Z908" s="921">
        <v>180109.89</v>
      </c>
      <c r="AA908" s="925">
        <v>0</v>
      </c>
    </row>
    <row r="909" spans="1:27" s="867" customFormat="1" ht="93.6" customHeight="1">
      <c r="A909" s="927">
        <v>391</v>
      </c>
      <c r="B909" s="863" t="s">
        <v>2262</v>
      </c>
      <c r="C909" s="925">
        <f t="shared" si="196"/>
        <v>3688544.54</v>
      </c>
      <c r="D909" s="925">
        <f t="shared" si="197"/>
        <v>0</v>
      </c>
      <c r="E909" s="925">
        <v>0</v>
      </c>
      <c r="F909" s="925">
        <v>0</v>
      </c>
      <c r="G909" s="925">
        <v>0</v>
      </c>
      <c r="H909" s="925">
        <v>0</v>
      </c>
      <c r="I909" s="925">
        <v>0</v>
      </c>
      <c r="J909" s="925">
        <v>0</v>
      </c>
      <c r="K909" s="861">
        <v>0</v>
      </c>
      <c r="L909" s="925">
        <v>0</v>
      </c>
      <c r="M909" s="925">
        <v>0</v>
      </c>
      <c r="N909" s="925">
        <v>0</v>
      </c>
      <c r="O909" s="925">
        <v>480</v>
      </c>
      <c r="P909" s="925">
        <v>3420627.74</v>
      </c>
      <c r="Q909" s="925">
        <v>0</v>
      </c>
      <c r="R909" s="925">
        <v>0</v>
      </c>
      <c r="S909" s="925">
        <v>0</v>
      </c>
      <c r="T909" s="925">
        <v>0</v>
      </c>
      <c r="U909" s="925">
        <v>0</v>
      </c>
      <c r="V909" s="925">
        <v>0</v>
      </c>
      <c r="W909" s="925">
        <v>0</v>
      </c>
      <c r="X909" s="925">
        <v>0</v>
      </c>
      <c r="Y909" s="925">
        <v>0</v>
      </c>
      <c r="Z909" s="921">
        <v>267916.79999999999</v>
      </c>
      <c r="AA909" s="925">
        <v>0</v>
      </c>
    </row>
    <row r="910" spans="1:27" s="867" customFormat="1" ht="105" customHeight="1">
      <c r="A910" s="927">
        <v>392</v>
      </c>
      <c r="B910" s="863" t="s">
        <v>2263</v>
      </c>
      <c r="C910" s="925">
        <f t="shared" si="196"/>
        <v>201991.25</v>
      </c>
      <c r="D910" s="925">
        <f t="shared" si="197"/>
        <v>187319.65</v>
      </c>
      <c r="E910" s="925">
        <v>187319.65</v>
      </c>
      <c r="F910" s="925">
        <v>0</v>
      </c>
      <c r="G910" s="925">
        <v>0</v>
      </c>
      <c r="H910" s="925">
        <v>0</v>
      </c>
      <c r="I910" s="925">
        <v>0</v>
      </c>
      <c r="J910" s="925">
        <v>0</v>
      </c>
      <c r="K910" s="861">
        <v>0</v>
      </c>
      <c r="L910" s="925">
        <v>0</v>
      </c>
      <c r="M910" s="925">
        <v>0</v>
      </c>
      <c r="N910" s="925">
        <v>0</v>
      </c>
      <c r="O910" s="925">
        <v>0</v>
      </c>
      <c r="P910" s="925">
        <v>0</v>
      </c>
      <c r="Q910" s="925">
        <v>0</v>
      </c>
      <c r="R910" s="925">
        <v>0</v>
      </c>
      <c r="S910" s="925">
        <v>0</v>
      </c>
      <c r="T910" s="925">
        <v>0</v>
      </c>
      <c r="U910" s="925">
        <v>0</v>
      </c>
      <c r="V910" s="925">
        <v>0</v>
      </c>
      <c r="W910" s="925">
        <v>0</v>
      </c>
      <c r="X910" s="925">
        <v>0</v>
      </c>
      <c r="Y910" s="925">
        <v>0</v>
      </c>
      <c r="Z910" s="921">
        <v>14671.6</v>
      </c>
      <c r="AA910" s="925">
        <v>0</v>
      </c>
    </row>
    <row r="911" spans="1:27" s="867" customFormat="1" ht="88.9" customHeight="1">
      <c r="A911" s="1198" t="s">
        <v>1976</v>
      </c>
      <c r="B911" s="1199"/>
      <c r="C911" s="925">
        <f>SUM(C912:C919)</f>
        <v>23427486.270007264</v>
      </c>
      <c r="D911" s="925">
        <f t="shared" ref="D911:AA911" si="198">SUM(D912:D919)</f>
        <v>887572.90000000014</v>
      </c>
      <c r="E911" s="925">
        <f t="shared" si="198"/>
        <v>0</v>
      </c>
      <c r="F911" s="925">
        <f t="shared" si="198"/>
        <v>0</v>
      </c>
      <c r="G911" s="925">
        <f t="shared" si="198"/>
        <v>0</v>
      </c>
      <c r="H911" s="925">
        <f t="shared" si="198"/>
        <v>0</v>
      </c>
      <c r="I911" s="925">
        <f t="shared" si="198"/>
        <v>0</v>
      </c>
      <c r="J911" s="925">
        <f t="shared" si="198"/>
        <v>887572.90000000014</v>
      </c>
      <c r="K911" s="861">
        <f t="shared" si="198"/>
        <v>0</v>
      </c>
      <c r="L911" s="925">
        <f t="shared" si="198"/>
        <v>0</v>
      </c>
      <c r="M911" s="925">
        <f t="shared" si="198"/>
        <v>0</v>
      </c>
      <c r="N911" s="925">
        <f t="shared" si="198"/>
        <v>0</v>
      </c>
      <c r="O911" s="925">
        <f t="shared" si="198"/>
        <v>1639.2</v>
      </c>
      <c r="P911" s="925">
        <f t="shared" si="198"/>
        <v>8755049.6699999999</v>
      </c>
      <c r="Q911" s="925">
        <f t="shared" si="198"/>
        <v>0</v>
      </c>
      <c r="R911" s="925">
        <f t="shared" si="198"/>
        <v>0</v>
      </c>
      <c r="S911" s="925">
        <f t="shared" si="198"/>
        <v>2666.3</v>
      </c>
      <c r="T911" s="925">
        <f t="shared" si="198"/>
        <v>12927585.539999999</v>
      </c>
      <c r="U911" s="925">
        <f t="shared" si="198"/>
        <v>0</v>
      </c>
      <c r="V911" s="925">
        <f t="shared" si="198"/>
        <v>0</v>
      </c>
      <c r="W911" s="925">
        <f t="shared" si="198"/>
        <v>0</v>
      </c>
      <c r="X911" s="925">
        <f t="shared" si="198"/>
        <v>0</v>
      </c>
      <c r="Y911" s="925">
        <f t="shared" si="198"/>
        <v>0</v>
      </c>
      <c r="Z911" s="921">
        <f t="shared" si="198"/>
        <v>857278.16000726353</v>
      </c>
      <c r="AA911" s="925">
        <f t="shared" si="198"/>
        <v>0</v>
      </c>
    </row>
    <row r="912" spans="1:27" s="867" customFormat="1" ht="99" customHeight="1">
      <c r="A912" s="927">
        <v>393</v>
      </c>
      <c r="B912" s="863" t="s">
        <v>1438</v>
      </c>
      <c r="C912" s="925">
        <f>D912+N912+P912+R912+T912+X912+Z912</f>
        <v>2266042.34</v>
      </c>
      <c r="D912" s="925">
        <f>SUM(E912:J912)</f>
        <v>0</v>
      </c>
      <c r="E912" s="925">
        <v>0</v>
      </c>
      <c r="F912" s="925">
        <v>0</v>
      </c>
      <c r="G912" s="925">
        <v>0</v>
      </c>
      <c r="H912" s="925">
        <v>0</v>
      </c>
      <c r="I912" s="925">
        <v>0</v>
      </c>
      <c r="J912" s="925">
        <v>0</v>
      </c>
      <c r="K912" s="861">
        <v>0</v>
      </c>
      <c r="L912" s="925">
        <v>0</v>
      </c>
      <c r="M912" s="925">
        <v>0</v>
      </c>
      <c r="N912" s="925">
        <v>0</v>
      </c>
      <c r="O912" s="925">
        <v>0</v>
      </c>
      <c r="P912" s="925">
        <v>0</v>
      </c>
      <c r="Q912" s="925">
        <v>0</v>
      </c>
      <c r="R912" s="925">
        <v>0</v>
      </c>
      <c r="S912" s="925">
        <v>617</v>
      </c>
      <c r="T912" s="925">
        <v>2168229.15</v>
      </c>
      <c r="U912" s="925">
        <v>0</v>
      </c>
      <c r="V912" s="925">
        <v>0</v>
      </c>
      <c r="W912" s="925">
        <v>0</v>
      </c>
      <c r="X912" s="925">
        <v>0</v>
      </c>
      <c r="Y912" s="925">
        <v>0</v>
      </c>
      <c r="Z912" s="921">
        <v>97813.19</v>
      </c>
      <c r="AA912" s="925">
        <v>0</v>
      </c>
    </row>
    <row r="913" spans="1:27" s="867" customFormat="1" ht="95.25" customHeight="1">
      <c r="A913" s="927">
        <v>394</v>
      </c>
      <c r="B913" s="863" t="s">
        <v>1439</v>
      </c>
      <c r="C913" s="925">
        <f t="shared" ref="C913:C919" si="199">D913+N913+P913+R913+T913+X913+Z913</f>
        <v>2170679.0240548393</v>
      </c>
      <c r="D913" s="925">
        <f t="shared" ref="D913:D919" si="200">SUM(E913:J913)</f>
        <v>0</v>
      </c>
      <c r="E913" s="925">
        <v>0</v>
      </c>
      <c r="F913" s="925">
        <v>0</v>
      </c>
      <c r="G913" s="925">
        <v>0</v>
      </c>
      <c r="H913" s="925">
        <v>0</v>
      </c>
      <c r="I913" s="925">
        <v>0</v>
      </c>
      <c r="J913" s="925">
        <v>0</v>
      </c>
      <c r="K913" s="861">
        <v>0</v>
      </c>
      <c r="L913" s="925">
        <v>0</v>
      </c>
      <c r="M913" s="925">
        <v>0</v>
      </c>
      <c r="N913" s="925">
        <v>0</v>
      </c>
      <c r="O913" s="925">
        <v>302</v>
      </c>
      <c r="P913" s="925">
        <v>1225690.21</v>
      </c>
      <c r="Q913" s="925">
        <v>0</v>
      </c>
      <c r="R913" s="925">
        <v>0</v>
      </c>
      <c r="S913" s="925">
        <v>345</v>
      </c>
      <c r="T913" s="925">
        <v>851357</v>
      </c>
      <c r="U913" s="925">
        <v>0</v>
      </c>
      <c r="V913" s="925">
        <v>0</v>
      </c>
      <c r="W913" s="925">
        <v>0</v>
      </c>
      <c r="X913" s="925">
        <v>0</v>
      </c>
      <c r="Y913" s="925">
        <v>0</v>
      </c>
      <c r="Z913" s="921">
        <v>93631.814054839298</v>
      </c>
      <c r="AA913" s="925">
        <v>0</v>
      </c>
    </row>
    <row r="914" spans="1:27" s="867" customFormat="1" ht="89.25" customHeight="1">
      <c r="A914" s="927">
        <v>395</v>
      </c>
      <c r="B914" s="863" t="s">
        <v>1440</v>
      </c>
      <c r="C914" s="925">
        <f>D914+N914+P914+R914+T914+X914+Z914</f>
        <v>3430328.6564281825</v>
      </c>
      <c r="D914" s="925">
        <f t="shared" si="200"/>
        <v>332661.81</v>
      </c>
      <c r="E914" s="925">
        <v>0</v>
      </c>
      <c r="F914" s="925">
        <v>0</v>
      </c>
      <c r="G914" s="925">
        <v>0</v>
      </c>
      <c r="H914" s="925">
        <v>0</v>
      </c>
      <c r="I914" s="925">
        <v>0</v>
      </c>
      <c r="J914" s="925">
        <v>332661.81</v>
      </c>
      <c r="K914" s="861">
        <v>0</v>
      </c>
      <c r="L914" s="925">
        <v>0</v>
      </c>
      <c r="M914" s="925">
        <v>0</v>
      </c>
      <c r="N914" s="925">
        <v>0</v>
      </c>
      <c r="O914" s="925">
        <v>440.2</v>
      </c>
      <c r="P914" s="925">
        <v>2985029.04</v>
      </c>
      <c r="Q914" s="925">
        <v>0</v>
      </c>
      <c r="R914" s="925">
        <v>0</v>
      </c>
      <c r="S914" s="925">
        <v>0</v>
      </c>
      <c r="T914" s="925">
        <v>0</v>
      </c>
      <c r="U914" s="925">
        <v>0</v>
      </c>
      <c r="V914" s="925">
        <v>0</v>
      </c>
      <c r="W914" s="925">
        <v>0</v>
      </c>
      <c r="X914" s="925">
        <v>0</v>
      </c>
      <c r="Y914" s="925">
        <v>0</v>
      </c>
      <c r="Z914" s="921">
        <v>112637.80642818232</v>
      </c>
      <c r="AA914" s="925">
        <v>0</v>
      </c>
    </row>
    <row r="915" spans="1:27" s="867" customFormat="1" ht="136.15" customHeight="1">
      <c r="A915" s="927">
        <v>396</v>
      </c>
      <c r="B915" s="863" t="s">
        <v>1441</v>
      </c>
      <c r="C915" s="925">
        <f t="shared" si="199"/>
        <v>2881461.0795242419</v>
      </c>
      <c r="D915" s="925">
        <f t="shared" si="200"/>
        <v>206447</v>
      </c>
      <c r="E915" s="925">
        <v>0</v>
      </c>
      <c r="F915" s="925">
        <v>0</v>
      </c>
      <c r="G915" s="925">
        <v>0</v>
      </c>
      <c r="H915" s="925">
        <v>0</v>
      </c>
      <c r="I915" s="925">
        <v>0</v>
      </c>
      <c r="J915" s="925">
        <v>206447</v>
      </c>
      <c r="K915" s="861">
        <v>0</v>
      </c>
      <c r="L915" s="925">
        <v>0</v>
      </c>
      <c r="M915" s="925">
        <v>0</v>
      </c>
      <c r="N915" s="925">
        <v>0</v>
      </c>
      <c r="O915" s="925">
        <v>347</v>
      </c>
      <c r="P915" s="925">
        <v>2583589.42</v>
      </c>
      <c r="Q915" s="925">
        <v>0</v>
      </c>
      <c r="R915" s="925">
        <v>0</v>
      </c>
      <c r="S915" s="925">
        <v>0</v>
      </c>
      <c r="T915" s="925">
        <v>0</v>
      </c>
      <c r="U915" s="925">
        <v>0</v>
      </c>
      <c r="V915" s="925">
        <v>0</v>
      </c>
      <c r="W915" s="925">
        <v>0</v>
      </c>
      <c r="X915" s="925">
        <v>0</v>
      </c>
      <c r="Y915" s="925">
        <v>0</v>
      </c>
      <c r="Z915" s="921">
        <v>91424.65952424187</v>
      </c>
      <c r="AA915" s="925">
        <v>0</v>
      </c>
    </row>
    <row r="916" spans="1:27" s="867" customFormat="1" ht="97.15" customHeight="1">
      <c r="A916" s="927">
        <v>397</v>
      </c>
      <c r="B916" s="863" t="s">
        <v>1442</v>
      </c>
      <c r="C916" s="925">
        <f>D916+N916+P916+R916+T916+X916+Z916</f>
        <v>375421.78</v>
      </c>
      <c r="D916" s="925">
        <f>SUM(E916:J916)</f>
        <v>348464.09</v>
      </c>
      <c r="E916" s="925">
        <v>0</v>
      </c>
      <c r="F916" s="925">
        <v>0</v>
      </c>
      <c r="G916" s="925">
        <v>0</v>
      </c>
      <c r="H916" s="925">
        <v>0</v>
      </c>
      <c r="I916" s="925">
        <v>0</v>
      </c>
      <c r="J916" s="925">
        <v>348464.09</v>
      </c>
      <c r="K916" s="861">
        <v>0</v>
      </c>
      <c r="L916" s="925">
        <v>0</v>
      </c>
      <c r="M916" s="925">
        <v>0</v>
      </c>
      <c r="N916" s="925">
        <v>0</v>
      </c>
      <c r="O916" s="925">
        <v>0</v>
      </c>
      <c r="P916" s="925">
        <v>0</v>
      </c>
      <c r="Q916" s="925">
        <v>0</v>
      </c>
      <c r="R916" s="925">
        <v>0</v>
      </c>
      <c r="S916" s="925">
        <v>0</v>
      </c>
      <c r="T916" s="925">
        <v>0</v>
      </c>
      <c r="U916" s="925">
        <v>0</v>
      </c>
      <c r="V916" s="925">
        <v>0</v>
      </c>
      <c r="W916" s="925">
        <v>0</v>
      </c>
      <c r="X916" s="925">
        <v>0</v>
      </c>
      <c r="Y916" s="925">
        <v>0</v>
      </c>
      <c r="Z916" s="921">
        <v>26957.69</v>
      </c>
      <c r="AA916" s="925">
        <v>0</v>
      </c>
    </row>
    <row r="917" spans="1:27" s="867" customFormat="1" ht="88.9" customHeight="1">
      <c r="A917" s="927">
        <v>398</v>
      </c>
      <c r="B917" s="863" t="s">
        <v>2264</v>
      </c>
      <c r="C917" s="925">
        <f>D917+N917+P917+R917+T917+X917+Z917</f>
        <v>2114314</v>
      </c>
      <c r="D917" s="925">
        <f>SUM(E917:J917)</f>
        <v>0</v>
      </c>
      <c r="E917" s="925">
        <v>0</v>
      </c>
      <c r="F917" s="925">
        <v>0</v>
      </c>
      <c r="G917" s="925">
        <v>0</v>
      </c>
      <c r="H917" s="925">
        <v>0</v>
      </c>
      <c r="I917" s="925">
        <v>0</v>
      </c>
      <c r="J917" s="925">
        <v>0</v>
      </c>
      <c r="K917" s="861">
        <v>0</v>
      </c>
      <c r="L917" s="925">
        <v>0</v>
      </c>
      <c r="M917" s="925">
        <v>0</v>
      </c>
      <c r="N917" s="925">
        <v>0</v>
      </c>
      <c r="O917" s="925">
        <v>550</v>
      </c>
      <c r="P917" s="925">
        <v>1960741</v>
      </c>
      <c r="Q917" s="925">
        <v>0</v>
      </c>
      <c r="R917" s="925">
        <v>0</v>
      </c>
      <c r="S917" s="925">
        <v>0</v>
      </c>
      <c r="T917" s="925">
        <v>0</v>
      </c>
      <c r="U917" s="925">
        <v>0</v>
      </c>
      <c r="V917" s="925">
        <v>0</v>
      </c>
      <c r="W917" s="925">
        <v>0</v>
      </c>
      <c r="X917" s="925">
        <v>0</v>
      </c>
      <c r="Y917" s="925">
        <v>0</v>
      </c>
      <c r="Z917" s="921">
        <v>153573</v>
      </c>
      <c r="AA917" s="925">
        <v>0</v>
      </c>
    </row>
    <row r="918" spans="1:27" s="867" customFormat="1" ht="94.9" customHeight="1">
      <c r="A918" s="927">
        <v>399</v>
      </c>
      <c r="B918" s="863" t="s">
        <v>1444</v>
      </c>
      <c r="C918" s="925">
        <f>D918+N918+P918+R918+T918+X918+Z918</f>
        <v>4821152.43</v>
      </c>
      <c r="D918" s="925">
        <f>SUM(E918:J918)</f>
        <v>0</v>
      </c>
      <c r="E918" s="925">
        <v>0</v>
      </c>
      <c r="F918" s="925">
        <v>0</v>
      </c>
      <c r="G918" s="925">
        <v>0</v>
      </c>
      <c r="H918" s="925">
        <v>0</v>
      </c>
      <c r="I918" s="925">
        <v>0</v>
      </c>
      <c r="J918" s="925">
        <v>0</v>
      </c>
      <c r="K918" s="861">
        <v>0</v>
      </c>
      <c r="L918" s="925">
        <v>0</v>
      </c>
      <c r="M918" s="925">
        <v>0</v>
      </c>
      <c r="N918" s="925">
        <v>0</v>
      </c>
      <c r="O918" s="925">
        <v>0</v>
      </c>
      <c r="P918" s="925">
        <v>0</v>
      </c>
      <c r="Q918" s="925">
        <v>0</v>
      </c>
      <c r="R918" s="925">
        <v>0</v>
      </c>
      <c r="S918" s="925">
        <v>1110.3</v>
      </c>
      <c r="T918" s="925">
        <v>4606553.43</v>
      </c>
      <c r="U918" s="925">
        <v>0</v>
      </c>
      <c r="V918" s="925">
        <v>0</v>
      </c>
      <c r="W918" s="925">
        <v>0</v>
      </c>
      <c r="X918" s="925">
        <v>0</v>
      </c>
      <c r="Y918" s="925">
        <v>0</v>
      </c>
      <c r="Z918" s="921">
        <v>214599</v>
      </c>
      <c r="AA918" s="925">
        <v>0</v>
      </c>
    </row>
    <row r="919" spans="1:27" s="867" customFormat="1" ht="138.6" customHeight="1">
      <c r="A919" s="927">
        <v>400</v>
      </c>
      <c r="B919" s="863" t="s">
        <v>2265</v>
      </c>
      <c r="C919" s="925">
        <f t="shared" si="199"/>
        <v>5368086.96</v>
      </c>
      <c r="D919" s="925">
        <f t="shared" si="200"/>
        <v>0</v>
      </c>
      <c r="E919" s="925">
        <v>0</v>
      </c>
      <c r="F919" s="925">
        <v>0</v>
      </c>
      <c r="G919" s="925">
        <v>0</v>
      </c>
      <c r="H919" s="925">
        <v>0</v>
      </c>
      <c r="I919" s="925">
        <v>0</v>
      </c>
      <c r="J919" s="925">
        <v>0</v>
      </c>
      <c r="K919" s="861">
        <v>0</v>
      </c>
      <c r="L919" s="925">
        <v>0</v>
      </c>
      <c r="M919" s="925">
        <v>0</v>
      </c>
      <c r="N919" s="925">
        <v>0</v>
      </c>
      <c r="O919" s="925">
        <v>0</v>
      </c>
      <c r="P919" s="925">
        <v>0</v>
      </c>
      <c r="Q919" s="925">
        <v>0</v>
      </c>
      <c r="R919" s="925">
        <v>0</v>
      </c>
      <c r="S919" s="925">
        <v>594</v>
      </c>
      <c r="T919" s="925">
        <v>5301445.96</v>
      </c>
      <c r="U919" s="925">
        <v>0</v>
      </c>
      <c r="V919" s="925">
        <v>0</v>
      </c>
      <c r="W919" s="925">
        <v>0</v>
      </c>
      <c r="X919" s="925">
        <v>0</v>
      </c>
      <c r="Y919" s="925">
        <v>0</v>
      </c>
      <c r="Z919" s="921">
        <v>66641</v>
      </c>
      <c r="AA919" s="925">
        <v>0</v>
      </c>
    </row>
    <row r="920" spans="1:27" s="867" customFormat="1" ht="93" customHeight="1">
      <c r="A920" s="1198" t="s">
        <v>1072</v>
      </c>
      <c r="B920" s="1199"/>
      <c r="C920" s="925">
        <f>SUM(C921:C944)</f>
        <v>60084473.129999995</v>
      </c>
      <c r="D920" s="925">
        <f t="shared" ref="D920:AA920" si="201">SUM(D921:D944)</f>
        <v>33923418.590000004</v>
      </c>
      <c r="E920" s="925">
        <f t="shared" si="201"/>
        <v>6019233.8900000006</v>
      </c>
      <c r="F920" s="925">
        <f t="shared" si="201"/>
        <v>6880287.6799999997</v>
      </c>
      <c r="G920" s="925">
        <f t="shared" si="201"/>
        <v>1701210.64</v>
      </c>
      <c r="H920" s="925">
        <f t="shared" si="201"/>
        <v>5060752.2300000004</v>
      </c>
      <c r="I920" s="925">
        <f t="shared" si="201"/>
        <v>4699515.6400000006</v>
      </c>
      <c r="J920" s="925">
        <f t="shared" si="201"/>
        <v>9562418.5099999998</v>
      </c>
      <c r="K920" s="861">
        <f t="shared" si="201"/>
        <v>2</v>
      </c>
      <c r="L920" s="925">
        <f t="shared" si="201"/>
        <v>657563.02</v>
      </c>
      <c r="M920" s="925">
        <f t="shared" si="201"/>
        <v>0</v>
      </c>
      <c r="N920" s="925">
        <f t="shared" si="201"/>
        <v>0</v>
      </c>
      <c r="O920" s="925">
        <f t="shared" si="201"/>
        <v>4001.68</v>
      </c>
      <c r="P920" s="925">
        <f t="shared" si="201"/>
        <v>17390971.829999998</v>
      </c>
      <c r="Q920" s="925">
        <f t="shared" si="201"/>
        <v>0</v>
      </c>
      <c r="R920" s="925">
        <f t="shared" si="201"/>
        <v>0</v>
      </c>
      <c r="S920" s="925">
        <f t="shared" si="201"/>
        <v>983</v>
      </c>
      <c r="T920" s="925">
        <f t="shared" si="201"/>
        <v>4363337.05</v>
      </c>
      <c r="U920" s="925">
        <f t="shared" si="201"/>
        <v>0</v>
      </c>
      <c r="V920" s="925">
        <f t="shared" si="201"/>
        <v>0</v>
      </c>
      <c r="W920" s="925">
        <f t="shared" si="201"/>
        <v>0</v>
      </c>
      <c r="X920" s="925">
        <f t="shared" si="201"/>
        <v>0</v>
      </c>
      <c r="Y920" s="925">
        <f t="shared" si="201"/>
        <v>0</v>
      </c>
      <c r="Z920" s="925">
        <f t="shared" si="201"/>
        <v>3749182.6400000006</v>
      </c>
      <c r="AA920" s="925">
        <f t="shared" si="201"/>
        <v>0</v>
      </c>
    </row>
    <row r="921" spans="1:27" s="867" customFormat="1" ht="138.6" customHeight="1">
      <c r="A921" s="927">
        <v>401</v>
      </c>
      <c r="B921" s="863" t="s">
        <v>2266</v>
      </c>
      <c r="C921" s="925">
        <f>D921+P921+T921+Z921+AA921</f>
        <v>2905442.4899999998</v>
      </c>
      <c r="D921" s="925">
        <f t="shared" ref="D921:D929" si="202">E921+F921+G921+H921+I921+J921</f>
        <v>0</v>
      </c>
      <c r="E921" s="925">
        <v>0</v>
      </c>
      <c r="F921" s="925">
        <v>0</v>
      </c>
      <c r="G921" s="925">
        <v>0</v>
      </c>
      <c r="H921" s="925">
        <v>0</v>
      </c>
      <c r="I921" s="925">
        <v>0</v>
      </c>
      <c r="J921" s="925">
        <v>0</v>
      </c>
      <c r="K921" s="861">
        <v>0</v>
      </c>
      <c r="L921" s="925">
        <v>0</v>
      </c>
      <c r="M921" s="925">
        <v>0</v>
      </c>
      <c r="N921" s="925">
        <v>0</v>
      </c>
      <c r="O921" s="925">
        <v>442.9</v>
      </c>
      <c r="P921" s="925">
        <v>2841386.59</v>
      </c>
      <c r="Q921" s="925">
        <v>0</v>
      </c>
      <c r="R921" s="925">
        <v>0</v>
      </c>
      <c r="S921" s="925">
        <v>0</v>
      </c>
      <c r="T921" s="925">
        <v>0</v>
      </c>
      <c r="U921" s="925">
        <v>0</v>
      </c>
      <c r="V921" s="925">
        <v>0</v>
      </c>
      <c r="W921" s="925">
        <v>0</v>
      </c>
      <c r="X921" s="925">
        <v>0</v>
      </c>
      <c r="Y921" s="925">
        <v>0</v>
      </c>
      <c r="Z921" s="921">
        <v>64055.9</v>
      </c>
      <c r="AA921" s="925">
        <v>0</v>
      </c>
    </row>
    <row r="922" spans="1:27" s="867" customFormat="1" ht="138.6" customHeight="1">
      <c r="A922" s="927">
        <v>402</v>
      </c>
      <c r="B922" s="863" t="s">
        <v>2267</v>
      </c>
      <c r="C922" s="925">
        <f>D922+P922+T922+Z922+AA922</f>
        <v>2742740.33</v>
      </c>
      <c r="D922" s="925">
        <f t="shared" si="202"/>
        <v>2573074.11</v>
      </c>
      <c r="E922" s="925">
        <v>0</v>
      </c>
      <c r="F922" s="925">
        <v>0</v>
      </c>
      <c r="G922" s="925">
        <v>0</v>
      </c>
      <c r="H922" s="925">
        <v>0</v>
      </c>
      <c r="I922" s="925">
        <v>1576584.01</v>
      </c>
      <c r="J922" s="925">
        <v>996490.1</v>
      </c>
      <c r="K922" s="861">
        <v>0</v>
      </c>
      <c r="L922" s="925">
        <v>0</v>
      </c>
      <c r="M922" s="925">
        <v>0</v>
      </c>
      <c r="N922" s="925">
        <v>0</v>
      </c>
      <c r="O922" s="925">
        <v>0</v>
      </c>
      <c r="P922" s="925">
        <v>0</v>
      </c>
      <c r="Q922" s="925">
        <v>0</v>
      </c>
      <c r="R922" s="925">
        <v>0</v>
      </c>
      <c r="S922" s="925">
        <v>0</v>
      </c>
      <c r="T922" s="925">
        <v>0</v>
      </c>
      <c r="U922" s="925">
        <v>0</v>
      </c>
      <c r="V922" s="925">
        <v>0</v>
      </c>
      <c r="W922" s="925">
        <v>0</v>
      </c>
      <c r="X922" s="925">
        <v>0</v>
      </c>
      <c r="Y922" s="925">
        <v>0</v>
      </c>
      <c r="Z922" s="921">
        <v>169666.22</v>
      </c>
      <c r="AA922" s="925">
        <v>0</v>
      </c>
    </row>
    <row r="923" spans="1:27" s="867" customFormat="1" ht="138.6" customHeight="1">
      <c r="A923" s="927">
        <v>403</v>
      </c>
      <c r="B923" s="863" t="s">
        <v>1145</v>
      </c>
      <c r="C923" s="925">
        <f>D923+P923+T923+Z923+AA923</f>
        <v>313233.64999999997</v>
      </c>
      <c r="D923" s="925">
        <f t="shared" si="202"/>
        <v>293887.73</v>
      </c>
      <c r="E923" s="925">
        <v>0</v>
      </c>
      <c r="F923" s="925">
        <v>0</v>
      </c>
      <c r="G923" s="925">
        <v>0</v>
      </c>
      <c r="H923" s="925">
        <v>0</v>
      </c>
      <c r="I923" s="925">
        <v>0</v>
      </c>
      <c r="J923" s="925">
        <v>293887.73</v>
      </c>
      <c r="K923" s="861">
        <v>0</v>
      </c>
      <c r="L923" s="925">
        <v>0</v>
      </c>
      <c r="M923" s="925">
        <v>0</v>
      </c>
      <c r="N923" s="925">
        <v>0</v>
      </c>
      <c r="O923" s="925">
        <v>0</v>
      </c>
      <c r="P923" s="925">
        <v>0</v>
      </c>
      <c r="Q923" s="925">
        <v>0</v>
      </c>
      <c r="R923" s="925">
        <v>0</v>
      </c>
      <c r="S923" s="925">
        <v>0</v>
      </c>
      <c r="T923" s="925">
        <v>0</v>
      </c>
      <c r="U923" s="925">
        <v>0</v>
      </c>
      <c r="V923" s="925">
        <v>0</v>
      </c>
      <c r="W923" s="925">
        <v>0</v>
      </c>
      <c r="X923" s="925">
        <v>0</v>
      </c>
      <c r="Y923" s="925">
        <v>0</v>
      </c>
      <c r="Z923" s="921">
        <v>19345.919999999998</v>
      </c>
      <c r="AA923" s="925">
        <v>0</v>
      </c>
    </row>
    <row r="924" spans="1:27" s="867" customFormat="1" ht="138.6" customHeight="1">
      <c r="A924" s="927">
        <v>404</v>
      </c>
      <c r="B924" s="863" t="s">
        <v>1124</v>
      </c>
      <c r="C924" s="925">
        <f>D924+P924+T924+Z924+AA924</f>
        <v>94528</v>
      </c>
      <c r="D924" s="925">
        <f t="shared" si="202"/>
        <v>0</v>
      </c>
      <c r="E924" s="925">
        <v>0</v>
      </c>
      <c r="F924" s="925">
        <v>0</v>
      </c>
      <c r="G924" s="925">
        <v>0</v>
      </c>
      <c r="H924" s="925">
        <v>0</v>
      </c>
      <c r="I924" s="925">
        <v>0</v>
      </c>
      <c r="J924" s="925">
        <v>0</v>
      </c>
      <c r="K924" s="861">
        <v>0</v>
      </c>
      <c r="L924" s="925">
        <v>0</v>
      </c>
      <c r="M924" s="925">
        <v>0</v>
      </c>
      <c r="N924" s="925">
        <v>0</v>
      </c>
      <c r="O924" s="925">
        <v>0</v>
      </c>
      <c r="P924" s="925">
        <v>0</v>
      </c>
      <c r="Q924" s="925">
        <v>0</v>
      </c>
      <c r="R924" s="925">
        <v>0</v>
      </c>
      <c r="S924" s="925">
        <v>0</v>
      </c>
      <c r="T924" s="925">
        <v>0</v>
      </c>
      <c r="U924" s="925">
        <v>0</v>
      </c>
      <c r="V924" s="925">
        <v>0</v>
      </c>
      <c r="W924" s="925">
        <v>0</v>
      </c>
      <c r="X924" s="925">
        <v>0</v>
      </c>
      <c r="Y924" s="925">
        <v>0</v>
      </c>
      <c r="Z924" s="925">
        <v>94528</v>
      </c>
      <c r="AA924" s="925">
        <v>0</v>
      </c>
    </row>
    <row r="925" spans="1:27" s="867" customFormat="1" ht="138.6" customHeight="1">
      <c r="A925" s="927">
        <v>405</v>
      </c>
      <c r="B925" s="863" t="s">
        <v>1125</v>
      </c>
      <c r="C925" s="925">
        <f>D925+P925+T925+Z925</f>
        <v>911123.22000000009</v>
      </c>
      <c r="D925" s="925">
        <f t="shared" si="202"/>
        <v>874750.45000000007</v>
      </c>
      <c r="E925" s="925">
        <v>0</v>
      </c>
      <c r="F925" s="925">
        <v>0</v>
      </c>
      <c r="G925" s="925">
        <v>203165.65</v>
      </c>
      <c r="H925" s="925">
        <v>467684.76</v>
      </c>
      <c r="I925" s="925">
        <v>0</v>
      </c>
      <c r="J925" s="925">
        <v>203900.04</v>
      </c>
      <c r="K925" s="861">
        <v>0</v>
      </c>
      <c r="L925" s="925">
        <v>0</v>
      </c>
      <c r="M925" s="925">
        <v>0</v>
      </c>
      <c r="N925" s="925">
        <v>0</v>
      </c>
      <c r="O925" s="925">
        <v>0</v>
      </c>
      <c r="P925" s="925">
        <v>0</v>
      </c>
      <c r="Q925" s="925">
        <v>0</v>
      </c>
      <c r="R925" s="925">
        <v>0</v>
      </c>
      <c r="S925" s="925">
        <v>0</v>
      </c>
      <c r="T925" s="925">
        <v>0</v>
      </c>
      <c r="U925" s="925">
        <v>0</v>
      </c>
      <c r="V925" s="925">
        <v>0</v>
      </c>
      <c r="W925" s="925">
        <v>0</v>
      </c>
      <c r="X925" s="925">
        <v>0</v>
      </c>
      <c r="Y925" s="925">
        <v>0</v>
      </c>
      <c r="Z925" s="921">
        <v>36372.769999999997</v>
      </c>
      <c r="AA925" s="925">
        <v>0</v>
      </c>
    </row>
    <row r="926" spans="1:27" s="867" customFormat="1" ht="138.6" customHeight="1">
      <c r="A926" s="927">
        <v>406</v>
      </c>
      <c r="B926" s="863" t="s">
        <v>1144</v>
      </c>
      <c r="C926" s="925">
        <f>D926+P926+T926+Z926</f>
        <v>898439.81</v>
      </c>
      <c r="D926" s="925">
        <f t="shared" si="202"/>
        <v>842358.38</v>
      </c>
      <c r="E926" s="925">
        <v>0</v>
      </c>
      <c r="F926" s="925">
        <v>0</v>
      </c>
      <c r="G926" s="925">
        <v>252998.74</v>
      </c>
      <c r="H926" s="925">
        <v>361114.74</v>
      </c>
      <c r="I926" s="925">
        <v>0</v>
      </c>
      <c r="J926" s="925">
        <v>228244.9</v>
      </c>
      <c r="K926" s="861">
        <v>0</v>
      </c>
      <c r="L926" s="925">
        <v>0</v>
      </c>
      <c r="M926" s="925">
        <v>0</v>
      </c>
      <c r="N926" s="925">
        <v>0</v>
      </c>
      <c r="O926" s="925">
        <v>0</v>
      </c>
      <c r="P926" s="925">
        <v>0</v>
      </c>
      <c r="Q926" s="925">
        <v>0</v>
      </c>
      <c r="R926" s="925">
        <v>0</v>
      </c>
      <c r="S926" s="925">
        <v>0</v>
      </c>
      <c r="T926" s="925">
        <v>0</v>
      </c>
      <c r="U926" s="925">
        <v>0</v>
      </c>
      <c r="V926" s="925">
        <v>0</v>
      </c>
      <c r="W926" s="925">
        <v>0</v>
      </c>
      <c r="X926" s="925">
        <v>0</v>
      </c>
      <c r="Y926" s="925">
        <v>0</v>
      </c>
      <c r="Z926" s="921">
        <v>56081.43</v>
      </c>
      <c r="AA926" s="925">
        <v>0</v>
      </c>
    </row>
    <row r="927" spans="1:27" s="867" customFormat="1" ht="138.6" customHeight="1">
      <c r="A927" s="927">
        <v>407</v>
      </c>
      <c r="B927" s="863" t="s">
        <v>1126</v>
      </c>
      <c r="C927" s="925">
        <f>D927+P927+T927+Z927</f>
        <v>2201411.69</v>
      </c>
      <c r="D927" s="925">
        <f t="shared" si="202"/>
        <v>2041512.53</v>
      </c>
      <c r="E927" s="925">
        <v>0</v>
      </c>
      <c r="F927" s="925">
        <v>0</v>
      </c>
      <c r="G927" s="925">
        <v>0</v>
      </c>
      <c r="H927" s="925">
        <v>0</v>
      </c>
      <c r="I927" s="925">
        <v>2041512.53</v>
      </c>
      <c r="J927" s="925">
        <v>0</v>
      </c>
      <c r="K927" s="861">
        <v>0</v>
      </c>
      <c r="L927" s="925">
        <v>0</v>
      </c>
      <c r="M927" s="925">
        <v>0</v>
      </c>
      <c r="N927" s="925">
        <v>0</v>
      </c>
      <c r="O927" s="925">
        <v>0</v>
      </c>
      <c r="P927" s="925">
        <v>0</v>
      </c>
      <c r="Q927" s="925">
        <v>0</v>
      </c>
      <c r="R927" s="925">
        <v>0</v>
      </c>
      <c r="S927" s="925">
        <v>0</v>
      </c>
      <c r="T927" s="925">
        <v>0</v>
      </c>
      <c r="U927" s="925">
        <v>0</v>
      </c>
      <c r="V927" s="925">
        <v>0</v>
      </c>
      <c r="W927" s="925">
        <v>0</v>
      </c>
      <c r="X927" s="925">
        <v>0</v>
      </c>
      <c r="Y927" s="925">
        <v>0</v>
      </c>
      <c r="Z927" s="921">
        <v>159899.16</v>
      </c>
      <c r="AA927" s="925">
        <v>0</v>
      </c>
    </row>
    <row r="928" spans="1:27" s="867" customFormat="1" ht="138.6" customHeight="1">
      <c r="A928" s="927">
        <v>408</v>
      </c>
      <c r="B928" s="863" t="s">
        <v>1395</v>
      </c>
      <c r="C928" s="925">
        <f>D928+P928+T928+Z928</f>
        <v>205467.03999999998</v>
      </c>
      <c r="D928" s="925">
        <f t="shared" si="202"/>
        <v>191548.96</v>
      </c>
      <c r="E928" s="925">
        <v>0</v>
      </c>
      <c r="F928" s="925">
        <v>0</v>
      </c>
      <c r="G928" s="925">
        <v>0</v>
      </c>
      <c r="H928" s="925">
        <v>0</v>
      </c>
      <c r="I928" s="925">
        <v>0</v>
      </c>
      <c r="J928" s="925">
        <v>191548.96</v>
      </c>
      <c r="K928" s="861">
        <v>0</v>
      </c>
      <c r="L928" s="925">
        <v>0</v>
      </c>
      <c r="M928" s="925">
        <v>0</v>
      </c>
      <c r="N928" s="925">
        <v>0</v>
      </c>
      <c r="O928" s="925">
        <v>0</v>
      </c>
      <c r="P928" s="925">
        <v>0</v>
      </c>
      <c r="Q928" s="925">
        <v>0</v>
      </c>
      <c r="R928" s="925">
        <v>0</v>
      </c>
      <c r="S928" s="925">
        <v>0</v>
      </c>
      <c r="T928" s="925">
        <v>0</v>
      </c>
      <c r="U928" s="925">
        <v>0</v>
      </c>
      <c r="V928" s="925">
        <v>0</v>
      </c>
      <c r="W928" s="925">
        <v>0</v>
      </c>
      <c r="X928" s="925">
        <v>0</v>
      </c>
      <c r="Y928" s="925">
        <v>0</v>
      </c>
      <c r="Z928" s="921">
        <v>13918.08</v>
      </c>
      <c r="AA928" s="925">
        <v>0</v>
      </c>
    </row>
    <row r="929" spans="1:27" s="867" customFormat="1" ht="138.6" customHeight="1">
      <c r="A929" s="927">
        <v>409</v>
      </c>
      <c r="B929" s="863" t="s">
        <v>2080</v>
      </c>
      <c r="C929" s="925">
        <f>D929+P929+T929+Z929</f>
        <v>2029840.7999999998</v>
      </c>
      <c r="D929" s="925">
        <f t="shared" si="202"/>
        <v>1916303.9</v>
      </c>
      <c r="E929" s="925">
        <v>0</v>
      </c>
      <c r="F929" s="925">
        <v>0</v>
      </c>
      <c r="G929" s="925">
        <v>0</v>
      </c>
      <c r="H929" s="925">
        <v>0</v>
      </c>
      <c r="I929" s="925">
        <v>0</v>
      </c>
      <c r="J929" s="925">
        <v>1916303.9</v>
      </c>
      <c r="K929" s="861">
        <v>0</v>
      </c>
      <c r="L929" s="925">
        <v>0</v>
      </c>
      <c r="M929" s="925">
        <v>0</v>
      </c>
      <c r="N929" s="925">
        <v>0</v>
      </c>
      <c r="O929" s="925">
        <v>0</v>
      </c>
      <c r="P929" s="925">
        <v>0</v>
      </c>
      <c r="Q929" s="925">
        <v>0</v>
      </c>
      <c r="R929" s="925">
        <v>0</v>
      </c>
      <c r="S929" s="925">
        <v>0</v>
      </c>
      <c r="T929" s="925">
        <v>0</v>
      </c>
      <c r="U929" s="925">
        <v>0</v>
      </c>
      <c r="V929" s="925">
        <v>0</v>
      </c>
      <c r="W929" s="925">
        <v>0</v>
      </c>
      <c r="X929" s="925">
        <v>0</v>
      </c>
      <c r="Y929" s="925">
        <v>0</v>
      </c>
      <c r="Z929" s="921">
        <v>113536.9</v>
      </c>
      <c r="AA929" s="925">
        <v>0</v>
      </c>
    </row>
    <row r="930" spans="1:27" s="867" customFormat="1" ht="83.45" customHeight="1">
      <c r="A930" s="927">
        <v>410</v>
      </c>
      <c r="B930" s="863" t="s">
        <v>1396</v>
      </c>
      <c r="C930" s="925">
        <f t="shared" ref="C930:C937" si="203">D930+P930+T930+Z930</f>
        <v>4010585.9599999995</v>
      </c>
      <c r="D930" s="925">
        <f t="shared" ref="D930:D937" si="204">E930+F930+G930+H930+I930+J930</f>
        <v>598203.13</v>
      </c>
      <c r="E930" s="925">
        <v>598203.13</v>
      </c>
      <c r="F930" s="925">
        <v>0</v>
      </c>
      <c r="G930" s="925">
        <v>0</v>
      </c>
      <c r="H930" s="925">
        <v>0</v>
      </c>
      <c r="I930" s="925">
        <v>0</v>
      </c>
      <c r="J930" s="925">
        <v>0</v>
      </c>
      <c r="K930" s="861">
        <v>0</v>
      </c>
      <c r="L930" s="925">
        <v>0</v>
      </c>
      <c r="M930" s="925">
        <v>0</v>
      </c>
      <c r="N930" s="925">
        <v>0</v>
      </c>
      <c r="O930" s="925">
        <v>628</v>
      </c>
      <c r="P930" s="925">
        <v>3248889.55</v>
      </c>
      <c r="Q930" s="925">
        <v>0</v>
      </c>
      <c r="R930" s="925">
        <v>0</v>
      </c>
      <c r="S930" s="925">
        <v>0</v>
      </c>
      <c r="T930" s="925">
        <v>0</v>
      </c>
      <c r="U930" s="925">
        <v>0</v>
      </c>
      <c r="V930" s="925">
        <v>0</v>
      </c>
      <c r="W930" s="925">
        <v>0</v>
      </c>
      <c r="X930" s="925">
        <v>0</v>
      </c>
      <c r="Y930" s="925">
        <v>0</v>
      </c>
      <c r="Z930" s="921">
        <v>163493.28</v>
      </c>
      <c r="AA930" s="925">
        <v>0</v>
      </c>
    </row>
    <row r="931" spans="1:27" s="867" customFormat="1" ht="111.6" customHeight="1">
      <c r="A931" s="927">
        <v>411</v>
      </c>
      <c r="B931" s="863" t="s">
        <v>2081</v>
      </c>
      <c r="C931" s="925">
        <f t="shared" si="203"/>
        <v>2901725.36</v>
      </c>
      <c r="D931" s="925">
        <f t="shared" si="204"/>
        <v>0</v>
      </c>
      <c r="E931" s="925">
        <v>0</v>
      </c>
      <c r="F931" s="925">
        <v>0</v>
      </c>
      <c r="G931" s="925">
        <v>0</v>
      </c>
      <c r="H931" s="925">
        <v>0</v>
      </c>
      <c r="I931" s="925">
        <v>0</v>
      </c>
      <c r="J931" s="925">
        <v>0</v>
      </c>
      <c r="K931" s="861">
        <v>0</v>
      </c>
      <c r="L931" s="925">
        <v>0</v>
      </c>
      <c r="M931" s="925">
        <v>0</v>
      </c>
      <c r="N931" s="925">
        <v>0</v>
      </c>
      <c r="O931" s="925">
        <v>566.79999999999995</v>
      </c>
      <c r="P931" s="925">
        <v>2789861.36</v>
      </c>
      <c r="Q931" s="925">
        <v>0</v>
      </c>
      <c r="R931" s="925">
        <v>0</v>
      </c>
      <c r="S931" s="925">
        <v>0</v>
      </c>
      <c r="T931" s="925">
        <v>0</v>
      </c>
      <c r="U931" s="925">
        <v>0</v>
      </c>
      <c r="V931" s="925">
        <v>0</v>
      </c>
      <c r="W931" s="925">
        <v>0</v>
      </c>
      <c r="X931" s="925">
        <v>0</v>
      </c>
      <c r="Y931" s="925">
        <v>0</v>
      </c>
      <c r="Z931" s="921">
        <v>111864</v>
      </c>
      <c r="AA931" s="925">
        <v>0</v>
      </c>
    </row>
    <row r="932" spans="1:27" s="867" customFormat="1" ht="105.6" customHeight="1">
      <c r="A932" s="927">
        <v>412</v>
      </c>
      <c r="B932" s="863" t="s">
        <v>1127</v>
      </c>
      <c r="C932" s="925">
        <f t="shared" si="203"/>
        <v>2924734.08</v>
      </c>
      <c r="D932" s="925">
        <f t="shared" si="204"/>
        <v>0</v>
      </c>
      <c r="E932" s="925">
        <v>0</v>
      </c>
      <c r="F932" s="925">
        <v>0</v>
      </c>
      <c r="G932" s="925">
        <v>0</v>
      </c>
      <c r="H932" s="925">
        <v>0</v>
      </c>
      <c r="I932" s="925">
        <v>0</v>
      </c>
      <c r="J932" s="925">
        <v>0</v>
      </c>
      <c r="K932" s="861">
        <v>0</v>
      </c>
      <c r="L932" s="925">
        <v>0</v>
      </c>
      <c r="M932" s="925">
        <v>0</v>
      </c>
      <c r="N932" s="925">
        <v>0</v>
      </c>
      <c r="O932" s="925">
        <v>824.2</v>
      </c>
      <c r="P932" s="925">
        <v>2762070.08</v>
      </c>
      <c r="Q932" s="925">
        <v>0</v>
      </c>
      <c r="R932" s="925">
        <v>0</v>
      </c>
      <c r="S932" s="925">
        <v>0</v>
      </c>
      <c r="T932" s="925">
        <v>0</v>
      </c>
      <c r="U932" s="925">
        <v>0</v>
      </c>
      <c r="V932" s="925">
        <v>0</v>
      </c>
      <c r="W932" s="925">
        <v>0</v>
      </c>
      <c r="X932" s="925">
        <v>0</v>
      </c>
      <c r="Y932" s="925">
        <v>0</v>
      </c>
      <c r="Z932" s="921">
        <v>162664</v>
      </c>
      <c r="AA932" s="925">
        <v>0</v>
      </c>
    </row>
    <row r="933" spans="1:27" s="867" customFormat="1" ht="84.6" customHeight="1">
      <c r="A933" s="927">
        <v>413</v>
      </c>
      <c r="B933" s="863" t="s">
        <v>1396</v>
      </c>
      <c r="C933" s="925">
        <f>D933+P933+T933+Z933+L933</f>
        <v>2084014.67</v>
      </c>
      <c r="D933" s="925">
        <f t="shared" si="204"/>
        <v>1620688.68</v>
      </c>
      <c r="E933" s="925">
        <v>0</v>
      </c>
      <c r="F933" s="925">
        <v>1133289.8799999999</v>
      </c>
      <c r="G933" s="925">
        <v>487398.8</v>
      </c>
      <c r="H933" s="925">
        <v>0</v>
      </c>
      <c r="I933" s="925">
        <v>0</v>
      </c>
      <c r="J933" s="925">
        <v>0</v>
      </c>
      <c r="K933" s="861">
        <v>1</v>
      </c>
      <c r="L933" s="925">
        <v>328781.51</v>
      </c>
      <c r="M933" s="925">
        <v>0</v>
      </c>
      <c r="N933" s="925">
        <v>0</v>
      </c>
      <c r="O933" s="925">
        <v>0</v>
      </c>
      <c r="P933" s="925">
        <v>0</v>
      </c>
      <c r="Q933" s="925">
        <v>0</v>
      </c>
      <c r="R933" s="925">
        <v>0</v>
      </c>
      <c r="S933" s="925">
        <v>0</v>
      </c>
      <c r="T933" s="925">
        <v>0</v>
      </c>
      <c r="U933" s="925">
        <v>0</v>
      </c>
      <c r="V933" s="925">
        <v>0</v>
      </c>
      <c r="W933" s="925">
        <v>0</v>
      </c>
      <c r="X933" s="925">
        <v>0</v>
      </c>
      <c r="Y933" s="925">
        <v>0</v>
      </c>
      <c r="Z933" s="921">
        <v>134544.48000000001</v>
      </c>
      <c r="AA933" s="925">
        <v>0</v>
      </c>
    </row>
    <row r="934" spans="1:27" s="867" customFormat="1" ht="110.45" customHeight="1">
      <c r="A934" s="927">
        <v>414</v>
      </c>
      <c r="B934" s="863" t="s">
        <v>1840</v>
      </c>
      <c r="C934" s="925">
        <f>D934+P934+T934+Z934+L934</f>
        <v>1373640.47</v>
      </c>
      <c r="D934" s="925">
        <f t="shared" si="204"/>
        <v>959978.72</v>
      </c>
      <c r="E934" s="925">
        <v>0</v>
      </c>
      <c r="F934" s="925">
        <v>959978.72</v>
      </c>
      <c r="G934" s="925">
        <v>0</v>
      </c>
      <c r="H934" s="925">
        <v>0</v>
      </c>
      <c r="I934" s="925">
        <v>0</v>
      </c>
      <c r="J934" s="925">
        <v>0</v>
      </c>
      <c r="K934" s="861">
        <v>1</v>
      </c>
      <c r="L934" s="925">
        <v>328781.51</v>
      </c>
      <c r="M934" s="925">
        <v>0</v>
      </c>
      <c r="N934" s="925">
        <v>0</v>
      </c>
      <c r="O934" s="925">
        <v>0</v>
      </c>
      <c r="P934" s="925">
        <v>0</v>
      </c>
      <c r="Q934" s="925">
        <v>0</v>
      </c>
      <c r="R934" s="925">
        <v>0</v>
      </c>
      <c r="S934" s="925">
        <v>0</v>
      </c>
      <c r="T934" s="925">
        <v>0</v>
      </c>
      <c r="U934" s="925">
        <v>0</v>
      </c>
      <c r="V934" s="925">
        <v>0</v>
      </c>
      <c r="W934" s="925">
        <v>0</v>
      </c>
      <c r="X934" s="925">
        <v>0</v>
      </c>
      <c r="Y934" s="925">
        <v>0</v>
      </c>
      <c r="Z934" s="921">
        <v>84880.24</v>
      </c>
      <c r="AA934" s="925">
        <v>0</v>
      </c>
    </row>
    <row r="935" spans="1:27" s="867" customFormat="1" ht="129" customHeight="1">
      <c r="A935" s="927">
        <v>415</v>
      </c>
      <c r="B935" s="863" t="s">
        <v>1841</v>
      </c>
      <c r="C935" s="925">
        <f t="shared" si="203"/>
        <v>2145232.42</v>
      </c>
      <c r="D935" s="925">
        <f t="shared" si="204"/>
        <v>0</v>
      </c>
      <c r="E935" s="925">
        <v>0</v>
      </c>
      <c r="F935" s="925">
        <v>0</v>
      </c>
      <c r="G935" s="925">
        <v>0</v>
      </c>
      <c r="H935" s="925">
        <v>0</v>
      </c>
      <c r="I935" s="925">
        <v>0</v>
      </c>
      <c r="J935" s="925">
        <v>0</v>
      </c>
      <c r="K935" s="861">
        <v>0</v>
      </c>
      <c r="L935" s="925">
        <v>0</v>
      </c>
      <c r="M935" s="925">
        <v>0</v>
      </c>
      <c r="N935" s="925">
        <v>0</v>
      </c>
      <c r="O935" s="925">
        <v>503.16</v>
      </c>
      <c r="P935" s="925">
        <v>1989413.83</v>
      </c>
      <c r="Q935" s="925">
        <v>0</v>
      </c>
      <c r="R935" s="925">
        <v>0</v>
      </c>
      <c r="S935" s="925">
        <v>0</v>
      </c>
      <c r="T935" s="925">
        <v>0</v>
      </c>
      <c r="U935" s="925">
        <v>0</v>
      </c>
      <c r="V935" s="925">
        <v>0</v>
      </c>
      <c r="W935" s="925">
        <v>0</v>
      </c>
      <c r="X935" s="925">
        <v>0</v>
      </c>
      <c r="Y935" s="925">
        <v>0</v>
      </c>
      <c r="Z935" s="921">
        <v>155818.59</v>
      </c>
      <c r="AA935" s="925">
        <v>0</v>
      </c>
    </row>
    <row r="936" spans="1:27" s="867" customFormat="1" ht="150.75" customHeight="1">
      <c r="A936" s="927">
        <v>416</v>
      </c>
      <c r="B936" s="863" t="s">
        <v>1839</v>
      </c>
      <c r="C936" s="925">
        <f t="shared" si="203"/>
        <v>5109821.33</v>
      </c>
      <c r="D936" s="925">
        <f t="shared" si="204"/>
        <v>0</v>
      </c>
      <c r="E936" s="925">
        <v>0</v>
      </c>
      <c r="F936" s="925">
        <v>0</v>
      </c>
      <c r="G936" s="925">
        <v>0</v>
      </c>
      <c r="H936" s="925">
        <v>0</v>
      </c>
      <c r="I936" s="925">
        <v>0</v>
      </c>
      <c r="J936" s="925">
        <v>0</v>
      </c>
      <c r="K936" s="861">
        <v>0</v>
      </c>
      <c r="L936" s="925">
        <v>0</v>
      </c>
      <c r="M936" s="925">
        <v>0</v>
      </c>
      <c r="N936" s="925">
        <v>0</v>
      </c>
      <c r="O936" s="925">
        <v>473.62</v>
      </c>
      <c r="P936" s="925">
        <v>1872617.42</v>
      </c>
      <c r="Q936" s="925">
        <v>0</v>
      </c>
      <c r="R936" s="925">
        <v>0</v>
      </c>
      <c r="S936" s="925">
        <v>515</v>
      </c>
      <c r="T936" s="925">
        <v>2990955.41</v>
      </c>
      <c r="U936" s="925">
        <v>0</v>
      </c>
      <c r="V936" s="925">
        <v>0</v>
      </c>
      <c r="W936" s="925">
        <v>0</v>
      </c>
      <c r="X936" s="925">
        <v>0</v>
      </c>
      <c r="Y936" s="925">
        <v>0</v>
      </c>
      <c r="Z936" s="921">
        <v>246248.5</v>
      </c>
      <c r="AA936" s="925">
        <v>0</v>
      </c>
    </row>
    <row r="937" spans="1:27" s="867" customFormat="1" ht="105.75" customHeight="1">
      <c r="A937" s="927">
        <v>417</v>
      </c>
      <c r="B937" s="863" t="s">
        <v>1125</v>
      </c>
      <c r="C937" s="925">
        <f t="shared" si="203"/>
        <v>1462875.3399999999</v>
      </c>
      <c r="D937" s="925">
        <f t="shared" si="204"/>
        <v>0</v>
      </c>
      <c r="E937" s="925">
        <v>0</v>
      </c>
      <c r="F937" s="925">
        <v>0</v>
      </c>
      <c r="G937" s="925">
        <v>0</v>
      </c>
      <c r="H937" s="925">
        <v>0</v>
      </c>
      <c r="I937" s="925">
        <v>0</v>
      </c>
      <c r="J937" s="925">
        <v>0</v>
      </c>
      <c r="K937" s="861">
        <v>0</v>
      </c>
      <c r="L937" s="925">
        <v>0</v>
      </c>
      <c r="M937" s="925">
        <v>0</v>
      </c>
      <c r="N937" s="925">
        <v>0</v>
      </c>
      <c r="O937" s="925">
        <v>0</v>
      </c>
      <c r="P937" s="925">
        <v>0</v>
      </c>
      <c r="Q937" s="925">
        <v>0</v>
      </c>
      <c r="R937" s="925">
        <v>0</v>
      </c>
      <c r="S937" s="925">
        <v>468</v>
      </c>
      <c r="T937" s="925">
        <v>1372381.64</v>
      </c>
      <c r="U937" s="925">
        <v>0</v>
      </c>
      <c r="V937" s="925">
        <v>0</v>
      </c>
      <c r="W937" s="925">
        <v>0</v>
      </c>
      <c r="X937" s="925">
        <v>0</v>
      </c>
      <c r="Y937" s="925">
        <v>0</v>
      </c>
      <c r="Z937" s="921">
        <v>90493.7</v>
      </c>
      <c r="AA937" s="925">
        <v>0</v>
      </c>
    </row>
    <row r="938" spans="1:27" s="867" customFormat="1" ht="91.15" customHeight="1">
      <c r="A938" s="927">
        <v>418</v>
      </c>
      <c r="B938" s="863" t="s">
        <v>1398</v>
      </c>
      <c r="C938" s="925">
        <f>D938+P938+T938+Z938</f>
        <v>6250068.7599999998</v>
      </c>
      <c r="D938" s="925">
        <f t="shared" ref="D938:D944" si="205">E938+F938+G938+H938+I938+J938</f>
        <v>5796096.0899999999</v>
      </c>
      <c r="E938" s="925">
        <v>1596921.82</v>
      </c>
      <c r="F938" s="925">
        <v>3025352.48</v>
      </c>
      <c r="G938" s="925">
        <v>0</v>
      </c>
      <c r="H938" s="925">
        <v>0</v>
      </c>
      <c r="I938" s="925">
        <v>0</v>
      </c>
      <c r="J938" s="925">
        <v>1173821.79</v>
      </c>
      <c r="K938" s="861">
        <v>0</v>
      </c>
      <c r="L938" s="925">
        <v>0</v>
      </c>
      <c r="M938" s="925">
        <v>0</v>
      </c>
      <c r="N938" s="925">
        <v>0</v>
      </c>
      <c r="O938" s="925">
        <v>0</v>
      </c>
      <c r="P938" s="925">
        <v>0</v>
      </c>
      <c r="Q938" s="925">
        <v>0</v>
      </c>
      <c r="R938" s="925">
        <v>0</v>
      </c>
      <c r="S938" s="925">
        <v>0</v>
      </c>
      <c r="T938" s="925">
        <v>0</v>
      </c>
      <c r="U938" s="925">
        <v>0</v>
      </c>
      <c r="V938" s="925">
        <v>0</v>
      </c>
      <c r="W938" s="925">
        <v>0</v>
      </c>
      <c r="X938" s="925">
        <v>0</v>
      </c>
      <c r="Y938" s="925">
        <v>0</v>
      </c>
      <c r="Z938" s="921">
        <v>453972.67</v>
      </c>
      <c r="AA938" s="925">
        <v>0</v>
      </c>
    </row>
    <row r="939" spans="1:27" s="867" customFormat="1" ht="91.15" customHeight="1">
      <c r="A939" s="927">
        <v>419</v>
      </c>
      <c r="B939" s="863" t="s">
        <v>1046</v>
      </c>
      <c r="C939" s="925">
        <f>D939+P939+T939+Z939</f>
        <v>1014866.08</v>
      </c>
      <c r="D939" s="925">
        <f t="shared" si="205"/>
        <v>941151.46</v>
      </c>
      <c r="E939" s="925">
        <v>0</v>
      </c>
      <c r="F939" s="925">
        <v>0</v>
      </c>
      <c r="G939" s="925">
        <v>0</v>
      </c>
      <c r="H939" s="925">
        <v>0</v>
      </c>
      <c r="I939" s="925">
        <v>0</v>
      </c>
      <c r="J939" s="925">
        <v>941151.46</v>
      </c>
      <c r="K939" s="861">
        <v>0</v>
      </c>
      <c r="L939" s="925">
        <v>0</v>
      </c>
      <c r="M939" s="925">
        <v>0</v>
      </c>
      <c r="N939" s="925">
        <v>0</v>
      </c>
      <c r="O939" s="925">
        <v>0</v>
      </c>
      <c r="P939" s="925">
        <v>0</v>
      </c>
      <c r="Q939" s="925">
        <v>0</v>
      </c>
      <c r="R939" s="925">
        <v>0</v>
      </c>
      <c r="S939" s="925">
        <v>0</v>
      </c>
      <c r="T939" s="925">
        <v>0</v>
      </c>
      <c r="U939" s="925">
        <v>0</v>
      </c>
      <c r="V939" s="925">
        <v>0</v>
      </c>
      <c r="W939" s="925">
        <v>0</v>
      </c>
      <c r="X939" s="925">
        <v>0</v>
      </c>
      <c r="Y939" s="925">
        <v>0</v>
      </c>
      <c r="Z939" s="921">
        <v>73714.62</v>
      </c>
      <c r="AA939" s="925">
        <v>0</v>
      </c>
    </row>
    <row r="940" spans="1:27" s="867" customFormat="1" ht="87.6" customHeight="1">
      <c r="A940" s="927">
        <v>420</v>
      </c>
      <c r="B940" s="863" t="s">
        <v>2268</v>
      </c>
      <c r="C940" s="925">
        <f>D940+P940+T940+Z940+AA940</f>
        <v>6788652.379999999</v>
      </c>
      <c r="D940" s="925">
        <f t="shared" si="205"/>
        <v>6295559.7799999993</v>
      </c>
      <c r="E940" s="925">
        <v>929889.61</v>
      </c>
      <c r="F940" s="925">
        <v>1761666.6</v>
      </c>
      <c r="G940" s="925">
        <v>757647.45</v>
      </c>
      <c r="H940" s="925">
        <v>1081419.1000000001</v>
      </c>
      <c r="I940" s="925">
        <v>1081419.1000000001</v>
      </c>
      <c r="J940" s="925">
        <v>683517.92</v>
      </c>
      <c r="K940" s="861">
        <v>0</v>
      </c>
      <c r="L940" s="925">
        <v>0</v>
      </c>
      <c r="M940" s="925">
        <v>0</v>
      </c>
      <c r="N940" s="925">
        <v>0</v>
      </c>
      <c r="O940" s="925">
        <v>0</v>
      </c>
      <c r="P940" s="925">
        <v>0</v>
      </c>
      <c r="Q940" s="925">
        <v>0</v>
      </c>
      <c r="R940" s="925">
        <v>0</v>
      </c>
      <c r="S940" s="925">
        <v>0</v>
      </c>
      <c r="T940" s="925">
        <v>0</v>
      </c>
      <c r="U940" s="925">
        <v>0</v>
      </c>
      <c r="V940" s="925">
        <v>0</v>
      </c>
      <c r="W940" s="925">
        <v>0</v>
      </c>
      <c r="X940" s="925">
        <v>0</v>
      </c>
      <c r="Y940" s="925">
        <v>0</v>
      </c>
      <c r="Z940" s="921">
        <v>493092.6</v>
      </c>
      <c r="AA940" s="925">
        <v>0</v>
      </c>
    </row>
    <row r="941" spans="1:27" s="867" customFormat="1" ht="93.6" customHeight="1">
      <c r="A941" s="927">
        <v>421</v>
      </c>
      <c r="B941" s="863" t="s">
        <v>1200</v>
      </c>
      <c r="C941" s="925">
        <f>D941+P941+T941+Z941+AA941</f>
        <v>199642.52</v>
      </c>
      <c r="D941" s="925">
        <f t="shared" si="205"/>
        <v>185141.52</v>
      </c>
      <c r="E941" s="925">
        <v>185141.52</v>
      </c>
      <c r="F941" s="925">
        <v>0</v>
      </c>
      <c r="G941" s="925">
        <v>0</v>
      </c>
      <c r="H941" s="925">
        <v>0</v>
      </c>
      <c r="I941" s="925">
        <v>0</v>
      </c>
      <c r="J941" s="925">
        <v>0</v>
      </c>
      <c r="K941" s="861">
        <v>0</v>
      </c>
      <c r="L941" s="925">
        <v>0</v>
      </c>
      <c r="M941" s="925">
        <v>0</v>
      </c>
      <c r="N941" s="925">
        <v>0</v>
      </c>
      <c r="O941" s="925">
        <v>0</v>
      </c>
      <c r="P941" s="925">
        <v>0</v>
      </c>
      <c r="Q941" s="925">
        <v>0</v>
      </c>
      <c r="R941" s="925">
        <v>0</v>
      </c>
      <c r="S941" s="925">
        <v>0</v>
      </c>
      <c r="T941" s="925">
        <v>0</v>
      </c>
      <c r="U941" s="925">
        <v>0</v>
      </c>
      <c r="V941" s="925">
        <v>0</v>
      </c>
      <c r="W941" s="925">
        <v>0</v>
      </c>
      <c r="X941" s="925">
        <v>0</v>
      </c>
      <c r="Y941" s="925">
        <v>0</v>
      </c>
      <c r="Z941" s="921">
        <v>14501</v>
      </c>
      <c r="AA941" s="925">
        <v>0</v>
      </c>
    </row>
    <row r="942" spans="1:27" s="867" customFormat="1" ht="92.45" customHeight="1">
      <c r="A942" s="927">
        <v>422</v>
      </c>
      <c r="B942" s="863" t="s">
        <v>1218</v>
      </c>
      <c r="C942" s="925">
        <f>D942+P942+T942+Z942+AA942</f>
        <v>8465841.5099999998</v>
      </c>
      <c r="D942" s="925">
        <f t="shared" si="205"/>
        <v>7850926.5499999998</v>
      </c>
      <c r="E942" s="925">
        <v>2709077.81</v>
      </c>
      <c r="F942" s="925">
        <v>0</v>
      </c>
      <c r="G942" s="925">
        <v>0</v>
      </c>
      <c r="H942" s="925">
        <v>3150533.63</v>
      </c>
      <c r="I942" s="925">
        <v>0</v>
      </c>
      <c r="J942" s="925">
        <v>1991315.11</v>
      </c>
      <c r="K942" s="861">
        <v>0</v>
      </c>
      <c r="L942" s="925">
        <v>0</v>
      </c>
      <c r="M942" s="925">
        <v>0</v>
      </c>
      <c r="N942" s="925">
        <v>0</v>
      </c>
      <c r="O942" s="925">
        <v>0</v>
      </c>
      <c r="P942" s="925">
        <v>0</v>
      </c>
      <c r="Q942" s="925">
        <v>0</v>
      </c>
      <c r="R942" s="925">
        <v>0</v>
      </c>
      <c r="S942" s="925">
        <v>0</v>
      </c>
      <c r="T942" s="925">
        <v>0</v>
      </c>
      <c r="U942" s="925">
        <v>0</v>
      </c>
      <c r="V942" s="925">
        <v>0</v>
      </c>
      <c r="W942" s="925">
        <v>0</v>
      </c>
      <c r="X942" s="925">
        <v>0</v>
      </c>
      <c r="Y942" s="925">
        <v>0</v>
      </c>
      <c r="Z942" s="921">
        <v>614914.96</v>
      </c>
      <c r="AA942" s="925">
        <v>0</v>
      </c>
    </row>
    <row r="943" spans="1:27" s="867" customFormat="1" ht="92.45" customHeight="1">
      <c r="A943" s="927">
        <v>423</v>
      </c>
      <c r="B943" s="863" t="s">
        <v>1073</v>
      </c>
      <c r="C943" s="925">
        <f>D943+P943+T943+Z943+AA943</f>
        <v>2034509</v>
      </c>
      <c r="D943" s="925">
        <f t="shared" si="205"/>
        <v>0</v>
      </c>
      <c r="E943" s="925">
        <v>0</v>
      </c>
      <c r="F943" s="925">
        <v>0</v>
      </c>
      <c r="G943" s="925">
        <v>0</v>
      </c>
      <c r="H943" s="925">
        <v>0</v>
      </c>
      <c r="I943" s="925">
        <v>0</v>
      </c>
      <c r="J943" s="925">
        <v>0</v>
      </c>
      <c r="K943" s="861">
        <v>0</v>
      </c>
      <c r="L943" s="925">
        <v>0</v>
      </c>
      <c r="M943" s="925">
        <v>0</v>
      </c>
      <c r="N943" s="925">
        <v>0</v>
      </c>
      <c r="O943" s="925">
        <v>563</v>
      </c>
      <c r="P943" s="925">
        <v>1886733</v>
      </c>
      <c r="Q943" s="925">
        <v>0</v>
      </c>
      <c r="R943" s="925">
        <v>0</v>
      </c>
      <c r="S943" s="925">
        <v>0</v>
      </c>
      <c r="T943" s="925">
        <v>0</v>
      </c>
      <c r="U943" s="925">
        <v>0</v>
      </c>
      <c r="V943" s="925">
        <v>0</v>
      </c>
      <c r="W943" s="925">
        <v>0</v>
      </c>
      <c r="X943" s="925">
        <v>0</v>
      </c>
      <c r="Y943" s="925">
        <v>0</v>
      </c>
      <c r="Z943" s="921">
        <v>147776</v>
      </c>
      <c r="AA943" s="925">
        <v>0</v>
      </c>
    </row>
    <row r="944" spans="1:27" s="867" customFormat="1" ht="92.45" customHeight="1">
      <c r="A944" s="927">
        <v>424</v>
      </c>
      <c r="B944" s="863" t="s">
        <v>1047</v>
      </c>
      <c r="C944" s="925">
        <f>D944+P944+T944+Z944+AA944</f>
        <v>1016036.22</v>
      </c>
      <c r="D944" s="925">
        <f t="shared" si="205"/>
        <v>942236.6</v>
      </c>
      <c r="E944" s="925">
        <v>0</v>
      </c>
      <c r="F944" s="925">
        <v>0</v>
      </c>
      <c r="G944" s="925">
        <v>0</v>
      </c>
      <c r="H944" s="925">
        <v>0</v>
      </c>
      <c r="I944" s="925">
        <v>0</v>
      </c>
      <c r="J944" s="925">
        <v>942236.6</v>
      </c>
      <c r="K944" s="861">
        <v>0</v>
      </c>
      <c r="L944" s="925">
        <v>0</v>
      </c>
      <c r="M944" s="925">
        <v>0</v>
      </c>
      <c r="N944" s="925">
        <v>0</v>
      </c>
      <c r="O944" s="925">
        <v>0</v>
      </c>
      <c r="P944" s="925">
        <v>0</v>
      </c>
      <c r="Q944" s="925">
        <v>0</v>
      </c>
      <c r="R944" s="925">
        <v>0</v>
      </c>
      <c r="S944" s="925">
        <v>0</v>
      </c>
      <c r="T944" s="925">
        <v>0</v>
      </c>
      <c r="U944" s="925">
        <v>0</v>
      </c>
      <c r="V944" s="925">
        <v>0</v>
      </c>
      <c r="W944" s="925">
        <v>0</v>
      </c>
      <c r="X944" s="925">
        <v>0</v>
      </c>
      <c r="Y944" s="925">
        <v>0</v>
      </c>
      <c r="Z944" s="921">
        <v>73799.62</v>
      </c>
      <c r="AA944" s="925">
        <v>0</v>
      </c>
    </row>
    <row r="945" spans="1:27" s="867" customFormat="1" ht="92.45" customHeight="1">
      <c r="A945" s="1198" t="s">
        <v>1824</v>
      </c>
      <c r="B945" s="1199"/>
      <c r="C945" s="925">
        <f>C946</f>
        <v>4862609.08</v>
      </c>
      <c r="D945" s="925">
        <f t="shared" ref="D945:AA945" si="206">D946</f>
        <v>0</v>
      </c>
      <c r="E945" s="925">
        <f t="shared" si="206"/>
        <v>0</v>
      </c>
      <c r="F945" s="925">
        <f t="shared" si="206"/>
        <v>0</v>
      </c>
      <c r="G945" s="925">
        <f t="shared" si="206"/>
        <v>0</v>
      </c>
      <c r="H945" s="925">
        <f t="shared" si="206"/>
        <v>0</v>
      </c>
      <c r="I945" s="925">
        <f t="shared" si="206"/>
        <v>0</v>
      </c>
      <c r="J945" s="925">
        <f t="shared" si="206"/>
        <v>0</v>
      </c>
      <c r="K945" s="861">
        <f t="shared" si="206"/>
        <v>0</v>
      </c>
      <c r="L945" s="925">
        <f t="shared" si="206"/>
        <v>0</v>
      </c>
      <c r="M945" s="925">
        <f t="shared" si="206"/>
        <v>0</v>
      </c>
      <c r="N945" s="925">
        <f t="shared" si="206"/>
        <v>0</v>
      </c>
      <c r="O945" s="925">
        <f t="shared" si="206"/>
        <v>657.3</v>
      </c>
      <c r="P945" s="925">
        <f t="shared" si="206"/>
        <v>4644362.9400000004</v>
      </c>
      <c r="Q945" s="925">
        <f t="shared" si="206"/>
        <v>0</v>
      </c>
      <c r="R945" s="925">
        <f t="shared" si="206"/>
        <v>0</v>
      </c>
      <c r="S945" s="925">
        <f t="shared" si="206"/>
        <v>0</v>
      </c>
      <c r="T945" s="925">
        <f t="shared" si="206"/>
        <v>0</v>
      </c>
      <c r="U945" s="925">
        <v>0</v>
      </c>
      <c r="V945" s="925">
        <v>0</v>
      </c>
      <c r="W945" s="925">
        <f t="shared" si="206"/>
        <v>0</v>
      </c>
      <c r="X945" s="925">
        <f t="shared" si="206"/>
        <v>0</v>
      </c>
      <c r="Y945" s="925">
        <f t="shared" si="206"/>
        <v>0</v>
      </c>
      <c r="Z945" s="921">
        <f t="shared" si="206"/>
        <v>218246.14</v>
      </c>
      <c r="AA945" s="925">
        <f t="shared" si="206"/>
        <v>0</v>
      </c>
    </row>
    <row r="946" spans="1:27" s="867" customFormat="1" ht="92.45" customHeight="1">
      <c r="A946" s="927">
        <v>425</v>
      </c>
      <c r="B946" s="868" t="s">
        <v>1826</v>
      </c>
      <c r="C946" s="925">
        <f>D946+N946+P946+R946+T946+X946+Z946</f>
        <v>4862609.08</v>
      </c>
      <c r="D946" s="925">
        <v>0</v>
      </c>
      <c r="E946" s="925">
        <v>0</v>
      </c>
      <c r="F946" s="925">
        <v>0</v>
      </c>
      <c r="G946" s="925">
        <v>0</v>
      </c>
      <c r="H946" s="925">
        <v>0</v>
      </c>
      <c r="I946" s="925">
        <v>0</v>
      </c>
      <c r="J946" s="925">
        <v>0</v>
      </c>
      <c r="K946" s="861">
        <v>0</v>
      </c>
      <c r="L946" s="925">
        <v>0</v>
      </c>
      <c r="M946" s="925">
        <v>0</v>
      </c>
      <c r="N946" s="925">
        <v>0</v>
      </c>
      <c r="O946" s="925">
        <v>657.3</v>
      </c>
      <c r="P946" s="925">
        <v>4644362.9400000004</v>
      </c>
      <c r="Q946" s="925">
        <v>0</v>
      </c>
      <c r="R946" s="925">
        <v>0</v>
      </c>
      <c r="S946" s="925">
        <v>0</v>
      </c>
      <c r="T946" s="925">
        <v>0</v>
      </c>
      <c r="U946" s="925">
        <v>0</v>
      </c>
      <c r="V946" s="925">
        <v>0</v>
      </c>
      <c r="W946" s="925">
        <v>0</v>
      </c>
      <c r="X946" s="925">
        <v>0</v>
      </c>
      <c r="Y946" s="925">
        <v>0</v>
      </c>
      <c r="Z946" s="921">
        <v>218246.14</v>
      </c>
      <c r="AA946" s="925">
        <v>0</v>
      </c>
    </row>
    <row r="947" spans="1:27" s="867" customFormat="1" ht="92.45" customHeight="1">
      <c r="A947" s="1198" t="s">
        <v>1249</v>
      </c>
      <c r="B947" s="1199"/>
      <c r="C947" s="925">
        <f>SUM(C948:C955)</f>
        <v>23221166.856291991</v>
      </c>
      <c r="D947" s="925">
        <f t="shared" ref="D947:Z947" si="207">SUM(D948:D955)</f>
        <v>2948153.82</v>
      </c>
      <c r="E947" s="925">
        <f t="shared" si="207"/>
        <v>468327</v>
      </c>
      <c r="F947" s="925">
        <f t="shared" si="207"/>
        <v>2479826.8199999998</v>
      </c>
      <c r="G947" s="925">
        <f t="shared" si="207"/>
        <v>0</v>
      </c>
      <c r="H947" s="925">
        <f t="shared" si="207"/>
        <v>0</v>
      </c>
      <c r="I947" s="925">
        <f t="shared" si="207"/>
        <v>0</v>
      </c>
      <c r="J947" s="925">
        <f t="shared" si="207"/>
        <v>0</v>
      </c>
      <c r="K947" s="861">
        <f t="shared" si="207"/>
        <v>0</v>
      </c>
      <c r="L947" s="925">
        <f t="shared" si="207"/>
        <v>0</v>
      </c>
      <c r="M947" s="925">
        <f t="shared" si="207"/>
        <v>0</v>
      </c>
      <c r="N947" s="925">
        <f t="shared" si="207"/>
        <v>0</v>
      </c>
      <c r="O947" s="925">
        <f t="shared" si="207"/>
        <v>2661.8</v>
      </c>
      <c r="P947" s="925">
        <f t="shared" si="207"/>
        <v>13169207.219999999</v>
      </c>
      <c r="Q947" s="925">
        <f t="shared" si="207"/>
        <v>0</v>
      </c>
      <c r="R947" s="925">
        <f t="shared" si="207"/>
        <v>0</v>
      </c>
      <c r="S947" s="925">
        <f t="shared" si="207"/>
        <v>1350</v>
      </c>
      <c r="T947" s="925">
        <f t="shared" si="207"/>
        <v>5601051.1799999997</v>
      </c>
      <c r="U947" s="925">
        <f t="shared" si="207"/>
        <v>0</v>
      </c>
      <c r="V947" s="925">
        <f t="shared" si="207"/>
        <v>0</v>
      </c>
      <c r="W947" s="925">
        <f t="shared" si="207"/>
        <v>0</v>
      </c>
      <c r="X947" s="925">
        <f t="shared" si="207"/>
        <v>0</v>
      </c>
      <c r="Y947" s="925">
        <f t="shared" si="207"/>
        <v>0</v>
      </c>
      <c r="Z947" s="921">
        <f t="shared" si="207"/>
        <v>1502754.6362919922</v>
      </c>
      <c r="AA947" s="925">
        <f>SUM(AA948:AA955)</f>
        <v>0</v>
      </c>
    </row>
    <row r="948" spans="1:27" s="867" customFormat="1" ht="92.45" customHeight="1">
      <c r="A948" s="927">
        <v>426</v>
      </c>
      <c r="B948" s="868" t="s">
        <v>1089</v>
      </c>
      <c r="C948" s="925">
        <f>D948+N948+P948+R948+T948+X948+Z948</f>
        <v>505008</v>
      </c>
      <c r="D948" s="925">
        <f>SUM(E948:J948)</f>
        <v>468327</v>
      </c>
      <c r="E948" s="925">
        <v>468327</v>
      </c>
      <c r="F948" s="925">
        <v>0</v>
      </c>
      <c r="G948" s="925">
        <v>0</v>
      </c>
      <c r="H948" s="925">
        <v>0</v>
      </c>
      <c r="I948" s="925">
        <v>0</v>
      </c>
      <c r="J948" s="925">
        <v>0</v>
      </c>
      <c r="K948" s="861">
        <v>0</v>
      </c>
      <c r="L948" s="925">
        <v>0</v>
      </c>
      <c r="M948" s="925">
        <v>0</v>
      </c>
      <c r="N948" s="925">
        <v>0</v>
      </c>
      <c r="O948" s="929">
        <v>0</v>
      </c>
      <c r="P948" s="925">
        <v>0</v>
      </c>
      <c r="Q948" s="925">
        <v>0</v>
      </c>
      <c r="R948" s="925">
        <v>0</v>
      </c>
      <c r="S948" s="925">
        <v>0</v>
      </c>
      <c r="T948" s="925">
        <v>0</v>
      </c>
      <c r="U948" s="925">
        <v>0</v>
      </c>
      <c r="V948" s="925">
        <v>0</v>
      </c>
      <c r="W948" s="925">
        <v>0</v>
      </c>
      <c r="X948" s="925">
        <v>0</v>
      </c>
      <c r="Y948" s="925">
        <v>0</v>
      </c>
      <c r="Z948" s="921">
        <v>36681</v>
      </c>
      <c r="AA948" s="925">
        <v>0</v>
      </c>
    </row>
    <row r="949" spans="1:27" s="867" customFormat="1" ht="93.6" customHeight="1">
      <c r="A949" s="927">
        <v>427</v>
      </c>
      <c r="B949" s="863" t="s">
        <v>1835</v>
      </c>
      <c r="C949" s="925">
        <f t="shared" ref="C949:C955" si="208">D949+N949+P949+R949+T949+X949+Z949</f>
        <v>2089124.51</v>
      </c>
      <c r="D949" s="925">
        <f t="shared" ref="D949:D955" si="209">SUM(E949:J949)</f>
        <v>0</v>
      </c>
      <c r="E949" s="925">
        <v>0</v>
      </c>
      <c r="F949" s="925">
        <v>0</v>
      </c>
      <c r="G949" s="925">
        <v>0</v>
      </c>
      <c r="H949" s="925">
        <v>0</v>
      </c>
      <c r="I949" s="925">
        <v>0</v>
      </c>
      <c r="J949" s="925">
        <v>0</v>
      </c>
      <c r="K949" s="861">
        <v>0</v>
      </c>
      <c r="L949" s="925">
        <v>0</v>
      </c>
      <c r="M949" s="925">
        <v>0</v>
      </c>
      <c r="N949" s="925">
        <v>0</v>
      </c>
      <c r="O949" s="929">
        <v>490</v>
      </c>
      <c r="P949" s="929">
        <v>1937381.31</v>
      </c>
      <c r="Q949" s="925">
        <v>0</v>
      </c>
      <c r="R949" s="925">
        <v>0</v>
      </c>
      <c r="S949" s="925">
        <v>0</v>
      </c>
      <c r="T949" s="925">
        <v>0</v>
      </c>
      <c r="U949" s="925">
        <v>0</v>
      </c>
      <c r="V949" s="925">
        <v>0</v>
      </c>
      <c r="W949" s="925">
        <v>0</v>
      </c>
      <c r="X949" s="925">
        <v>0</v>
      </c>
      <c r="Y949" s="925">
        <v>0</v>
      </c>
      <c r="Z949" s="921">
        <v>151743.20000000001</v>
      </c>
      <c r="AA949" s="925">
        <v>0</v>
      </c>
    </row>
    <row r="950" spans="1:27" s="867" customFormat="1" ht="93.6" customHeight="1">
      <c r="A950" s="927">
        <v>428</v>
      </c>
      <c r="B950" s="892" t="s">
        <v>1092</v>
      </c>
      <c r="C950" s="925">
        <f t="shared" si="208"/>
        <v>2196085.86</v>
      </c>
      <c r="D950" s="925">
        <f t="shared" si="209"/>
        <v>613191.36</v>
      </c>
      <c r="E950" s="925">
        <v>0</v>
      </c>
      <c r="F950" s="925">
        <v>613191.36</v>
      </c>
      <c r="G950" s="925">
        <v>0</v>
      </c>
      <c r="H950" s="925">
        <v>0</v>
      </c>
      <c r="I950" s="925">
        <v>0</v>
      </c>
      <c r="J950" s="925">
        <v>0</v>
      </c>
      <c r="K950" s="861">
        <v>0</v>
      </c>
      <c r="L950" s="925">
        <v>0</v>
      </c>
      <c r="M950" s="925">
        <v>0</v>
      </c>
      <c r="N950" s="925">
        <v>0</v>
      </c>
      <c r="O950" s="929">
        <v>360</v>
      </c>
      <c r="P950" s="925">
        <v>1423382.18</v>
      </c>
      <c r="Q950" s="925">
        <v>0</v>
      </c>
      <c r="R950" s="925">
        <v>0</v>
      </c>
      <c r="S950" s="925">
        <v>0</v>
      </c>
      <c r="T950" s="925">
        <v>0</v>
      </c>
      <c r="U950" s="925">
        <v>0</v>
      </c>
      <c r="V950" s="925">
        <v>0</v>
      </c>
      <c r="W950" s="925">
        <v>0</v>
      </c>
      <c r="X950" s="925">
        <v>0</v>
      </c>
      <c r="Y950" s="925">
        <v>0</v>
      </c>
      <c r="Z950" s="921">
        <v>159512.32000000001</v>
      </c>
      <c r="AA950" s="925">
        <v>0</v>
      </c>
    </row>
    <row r="951" spans="1:27" s="867" customFormat="1" ht="93.6" customHeight="1">
      <c r="A951" s="927">
        <v>429</v>
      </c>
      <c r="B951" s="892" t="s">
        <v>1836</v>
      </c>
      <c r="C951" s="925">
        <f t="shared" si="208"/>
        <v>3623991.49</v>
      </c>
      <c r="D951" s="925">
        <f t="shared" si="209"/>
        <v>0</v>
      </c>
      <c r="E951" s="925">
        <v>0</v>
      </c>
      <c r="F951" s="925">
        <v>0</v>
      </c>
      <c r="G951" s="925">
        <v>0</v>
      </c>
      <c r="H951" s="925">
        <v>0</v>
      </c>
      <c r="I951" s="925">
        <v>0</v>
      </c>
      <c r="J951" s="925">
        <v>0</v>
      </c>
      <c r="K951" s="861">
        <v>0</v>
      </c>
      <c r="L951" s="925">
        <v>0</v>
      </c>
      <c r="M951" s="925">
        <v>0</v>
      </c>
      <c r="N951" s="925">
        <v>0</v>
      </c>
      <c r="O951" s="929">
        <v>850</v>
      </c>
      <c r="P951" s="929">
        <v>3360763.49</v>
      </c>
      <c r="Q951" s="925">
        <v>0</v>
      </c>
      <c r="R951" s="925">
        <v>0</v>
      </c>
      <c r="S951" s="925">
        <v>0</v>
      </c>
      <c r="T951" s="925">
        <v>0</v>
      </c>
      <c r="U951" s="925">
        <v>0</v>
      </c>
      <c r="V951" s="925">
        <v>0</v>
      </c>
      <c r="W951" s="925">
        <v>0</v>
      </c>
      <c r="X951" s="925">
        <v>0</v>
      </c>
      <c r="Y951" s="925">
        <v>0</v>
      </c>
      <c r="Z951" s="921">
        <v>263228</v>
      </c>
      <c r="AA951" s="925">
        <v>0</v>
      </c>
    </row>
    <row r="952" spans="1:27" s="867" customFormat="1" ht="117" customHeight="1">
      <c r="A952" s="927">
        <v>430</v>
      </c>
      <c r="B952" s="892" t="s">
        <v>1837</v>
      </c>
      <c r="C952" s="925">
        <f>D952+N952+P952+R952+T952+X952+Z952</f>
        <v>6039747.1799999997</v>
      </c>
      <c r="D952" s="925">
        <f>SUM(E952:J952)</f>
        <v>0</v>
      </c>
      <c r="E952" s="925">
        <v>0</v>
      </c>
      <c r="F952" s="925">
        <v>0</v>
      </c>
      <c r="G952" s="925">
        <v>0</v>
      </c>
      <c r="H952" s="925">
        <v>0</v>
      </c>
      <c r="I952" s="925">
        <v>0</v>
      </c>
      <c r="J952" s="925">
        <v>0</v>
      </c>
      <c r="K952" s="861">
        <v>0</v>
      </c>
      <c r="L952" s="925">
        <v>0</v>
      </c>
      <c r="M952" s="925">
        <v>0</v>
      </c>
      <c r="N952" s="925">
        <v>0</v>
      </c>
      <c r="O952" s="925">
        <v>0</v>
      </c>
      <c r="P952" s="925">
        <v>0</v>
      </c>
      <c r="Q952" s="925">
        <v>0</v>
      </c>
      <c r="R952" s="925">
        <v>0</v>
      </c>
      <c r="S952" s="925">
        <v>1350</v>
      </c>
      <c r="T952" s="925">
        <v>5601051.1799999997</v>
      </c>
      <c r="U952" s="925">
        <v>0</v>
      </c>
      <c r="V952" s="925">
        <v>0</v>
      </c>
      <c r="W952" s="925">
        <v>0</v>
      </c>
      <c r="X952" s="925">
        <v>0</v>
      </c>
      <c r="Y952" s="925">
        <v>0</v>
      </c>
      <c r="Z952" s="921">
        <v>438696</v>
      </c>
      <c r="AA952" s="925">
        <v>0</v>
      </c>
    </row>
    <row r="953" spans="1:27" s="867" customFormat="1" ht="98.45" customHeight="1">
      <c r="A953" s="927">
        <v>431</v>
      </c>
      <c r="B953" s="863" t="s">
        <v>1020</v>
      </c>
      <c r="C953" s="925">
        <f>D953+N953+P953+R953+T953+X953+Z953</f>
        <v>2538046.2462919918</v>
      </c>
      <c r="D953" s="925">
        <f>SUM(E953:J953)</f>
        <v>0</v>
      </c>
      <c r="E953" s="925">
        <v>0</v>
      </c>
      <c r="F953" s="925">
        <v>0</v>
      </c>
      <c r="G953" s="925">
        <v>0</v>
      </c>
      <c r="H953" s="925">
        <v>0</v>
      </c>
      <c r="I953" s="925">
        <v>0</v>
      </c>
      <c r="J953" s="925">
        <v>0</v>
      </c>
      <c r="K953" s="861">
        <v>0</v>
      </c>
      <c r="L953" s="925">
        <v>0</v>
      </c>
      <c r="M953" s="925">
        <v>0</v>
      </c>
      <c r="N953" s="925">
        <v>0</v>
      </c>
      <c r="O953" s="929">
        <v>340</v>
      </c>
      <c r="P953" s="925">
        <v>2458576.19</v>
      </c>
      <c r="Q953" s="925">
        <v>0</v>
      </c>
      <c r="R953" s="925">
        <v>0</v>
      </c>
      <c r="S953" s="925">
        <v>0</v>
      </c>
      <c r="T953" s="925">
        <v>0</v>
      </c>
      <c r="U953" s="925">
        <v>0</v>
      </c>
      <c r="V953" s="925">
        <v>0</v>
      </c>
      <c r="W953" s="925">
        <v>0</v>
      </c>
      <c r="X953" s="925">
        <v>0</v>
      </c>
      <c r="Y953" s="925">
        <v>0</v>
      </c>
      <c r="Z953" s="921">
        <v>79470.056291992005</v>
      </c>
      <c r="AA953" s="925">
        <v>0</v>
      </c>
    </row>
    <row r="954" spans="1:27" s="867" customFormat="1" ht="151.5" customHeight="1">
      <c r="A954" s="927">
        <v>432</v>
      </c>
      <c r="B954" s="863" t="s">
        <v>1838</v>
      </c>
      <c r="C954" s="925">
        <f t="shared" si="208"/>
        <v>1927617.46</v>
      </c>
      <c r="D954" s="925">
        <f t="shared" si="209"/>
        <v>1866635.46</v>
      </c>
      <c r="E954" s="925">
        <v>0</v>
      </c>
      <c r="F954" s="925">
        <v>1866635.46</v>
      </c>
      <c r="G954" s="925">
        <v>0</v>
      </c>
      <c r="H954" s="925">
        <v>0</v>
      </c>
      <c r="I954" s="925">
        <v>0</v>
      </c>
      <c r="J954" s="925">
        <v>0</v>
      </c>
      <c r="K954" s="861">
        <v>0</v>
      </c>
      <c r="L954" s="925">
        <v>0</v>
      </c>
      <c r="M954" s="925">
        <v>0</v>
      </c>
      <c r="N954" s="925">
        <v>0</v>
      </c>
      <c r="O954" s="929">
        <v>0</v>
      </c>
      <c r="P954" s="925">
        <v>0</v>
      </c>
      <c r="Q954" s="925">
        <v>0</v>
      </c>
      <c r="R954" s="925">
        <v>0</v>
      </c>
      <c r="S954" s="925">
        <v>0</v>
      </c>
      <c r="T954" s="925">
        <v>0</v>
      </c>
      <c r="U954" s="925">
        <v>0</v>
      </c>
      <c r="V954" s="925">
        <v>0</v>
      </c>
      <c r="W954" s="925">
        <v>0</v>
      </c>
      <c r="X954" s="925">
        <v>0</v>
      </c>
      <c r="Y954" s="925">
        <v>0</v>
      </c>
      <c r="Z954" s="921">
        <v>60982</v>
      </c>
      <c r="AA954" s="925">
        <v>0</v>
      </c>
    </row>
    <row r="955" spans="1:27" s="867" customFormat="1" ht="84.75" customHeight="1">
      <c r="A955" s="927">
        <v>433</v>
      </c>
      <c r="B955" s="863" t="s">
        <v>1035</v>
      </c>
      <c r="C955" s="925">
        <f t="shared" si="208"/>
        <v>4301546.1099999994</v>
      </c>
      <c r="D955" s="925">
        <f t="shared" si="209"/>
        <v>0</v>
      </c>
      <c r="E955" s="925">
        <v>0</v>
      </c>
      <c r="F955" s="925">
        <v>0</v>
      </c>
      <c r="G955" s="925">
        <v>0</v>
      </c>
      <c r="H955" s="925">
        <v>0</v>
      </c>
      <c r="I955" s="925">
        <v>0</v>
      </c>
      <c r="J955" s="925">
        <v>0</v>
      </c>
      <c r="K955" s="861">
        <v>0</v>
      </c>
      <c r="L955" s="925">
        <v>0</v>
      </c>
      <c r="M955" s="925">
        <v>0</v>
      </c>
      <c r="N955" s="925">
        <v>0</v>
      </c>
      <c r="O955" s="929">
        <v>621.79999999999995</v>
      </c>
      <c r="P955" s="925">
        <v>3989104.05</v>
      </c>
      <c r="Q955" s="925">
        <v>0</v>
      </c>
      <c r="R955" s="925">
        <v>0</v>
      </c>
      <c r="S955" s="925">
        <v>0</v>
      </c>
      <c r="T955" s="925">
        <v>0</v>
      </c>
      <c r="U955" s="925">
        <v>0</v>
      </c>
      <c r="V955" s="925">
        <v>0</v>
      </c>
      <c r="W955" s="925">
        <v>0</v>
      </c>
      <c r="X955" s="925">
        <v>0</v>
      </c>
      <c r="Y955" s="925">
        <v>0</v>
      </c>
      <c r="Z955" s="921">
        <v>312442.06</v>
      </c>
      <c r="AA955" s="925">
        <v>0</v>
      </c>
    </row>
    <row r="956" spans="1:27" s="867" customFormat="1" ht="105.75" customHeight="1">
      <c r="A956" s="1198" t="s">
        <v>1250</v>
      </c>
      <c r="B956" s="1199"/>
      <c r="C956" s="925">
        <f>SUM(C957:C969)</f>
        <v>38151538.240000002</v>
      </c>
      <c r="D956" s="925">
        <f t="shared" ref="D956:AA956" si="210">D957+D959+D960+D961+D962+D963+D964+D965+D966+D967+D968+D969</f>
        <v>7430762.0499999998</v>
      </c>
      <c r="E956" s="925">
        <f t="shared" si="210"/>
        <v>0</v>
      </c>
      <c r="F956" s="925">
        <f t="shared" si="210"/>
        <v>3694993.76</v>
      </c>
      <c r="G956" s="925">
        <f t="shared" si="210"/>
        <v>0</v>
      </c>
      <c r="H956" s="925">
        <f t="shared" si="210"/>
        <v>2664868.52</v>
      </c>
      <c r="I956" s="925">
        <f t="shared" si="210"/>
        <v>0</v>
      </c>
      <c r="J956" s="925">
        <f t="shared" si="210"/>
        <v>1070899.77</v>
      </c>
      <c r="K956" s="861">
        <f t="shared" si="210"/>
        <v>0</v>
      </c>
      <c r="L956" s="925">
        <f t="shared" si="210"/>
        <v>0</v>
      </c>
      <c r="M956" s="925">
        <f t="shared" si="210"/>
        <v>0</v>
      </c>
      <c r="N956" s="925">
        <f t="shared" si="210"/>
        <v>0</v>
      </c>
      <c r="O956" s="925">
        <f t="shared" si="210"/>
        <v>4735.54</v>
      </c>
      <c r="P956" s="925">
        <f t="shared" si="210"/>
        <v>17228416.489999998</v>
      </c>
      <c r="Q956" s="925">
        <f t="shared" si="210"/>
        <v>0</v>
      </c>
      <c r="R956" s="925">
        <f t="shared" si="210"/>
        <v>0</v>
      </c>
      <c r="S956" s="925">
        <f t="shared" si="210"/>
        <v>3787.69</v>
      </c>
      <c r="T956" s="925">
        <f t="shared" si="210"/>
        <v>10569435.619999999</v>
      </c>
      <c r="U956" s="925">
        <f t="shared" si="210"/>
        <v>0</v>
      </c>
      <c r="V956" s="925">
        <f t="shared" si="210"/>
        <v>0</v>
      </c>
      <c r="W956" s="925">
        <f t="shared" si="210"/>
        <v>0</v>
      </c>
      <c r="X956" s="925">
        <f t="shared" si="210"/>
        <v>0</v>
      </c>
      <c r="Y956" s="925">
        <f t="shared" si="210"/>
        <v>0</v>
      </c>
      <c r="Z956" s="925">
        <f t="shared" si="210"/>
        <v>2654358.38</v>
      </c>
      <c r="AA956" s="925">
        <f t="shared" si="210"/>
        <v>0</v>
      </c>
    </row>
    <row r="957" spans="1:27" s="867" customFormat="1" ht="99.75" customHeight="1">
      <c r="A957" s="927">
        <v>434</v>
      </c>
      <c r="B957" s="863" t="s">
        <v>1105</v>
      </c>
      <c r="C957" s="925">
        <f>D957+N957+P957+R957+T957+X957+Z957</f>
        <v>1399901.99</v>
      </c>
      <c r="D957" s="925">
        <f>SUM(E957:J957)</f>
        <v>0</v>
      </c>
      <c r="E957" s="925">
        <v>0</v>
      </c>
      <c r="F957" s="925">
        <v>0</v>
      </c>
      <c r="G957" s="925">
        <v>0</v>
      </c>
      <c r="H957" s="925">
        <v>0</v>
      </c>
      <c r="I957" s="925">
        <v>0</v>
      </c>
      <c r="J957" s="925">
        <v>0</v>
      </c>
      <c r="K957" s="861">
        <v>0</v>
      </c>
      <c r="L957" s="925">
        <v>0</v>
      </c>
      <c r="M957" s="925">
        <v>0</v>
      </c>
      <c r="N957" s="925">
        <v>0</v>
      </c>
      <c r="O957" s="925">
        <v>339.78</v>
      </c>
      <c r="P957" s="925">
        <v>1331462.71</v>
      </c>
      <c r="Q957" s="925">
        <v>0</v>
      </c>
      <c r="R957" s="925">
        <v>0</v>
      </c>
      <c r="S957" s="925">
        <v>0</v>
      </c>
      <c r="T957" s="925">
        <v>0</v>
      </c>
      <c r="U957" s="925">
        <v>0</v>
      </c>
      <c r="V957" s="925">
        <v>0</v>
      </c>
      <c r="W957" s="925">
        <v>0</v>
      </c>
      <c r="X957" s="925">
        <v>0</v>
      </c>
      <c r="Y957" s="925">
        <v>0</v>
      </c>
      <c r="Z957" s="921">
        <v>68439.28</v>
      </c>
      <c r="AA957" s="925">
        <v>0</v>
      </c>
    </row>
    <row r="958" spans="1:27" s="867" customFormat="1" ht="99.75" customHeight="1">
      <c r="A958" s="927">
        <v>435</v>
      </c>
      <c r="B958" s="863" t="s">
        <v>2098</v>
      </c>
      <c r="C958" s="925">
        <f>D958+N958+P958+R958+T958+X958+Z958</f>
        <v>268565.7</v>
      </c>
      <c r="D958" s="925">
        <f>SUM(E958:J958)</f>
        <v>249058.48</v>
      </c>
      <c r="E958" s="925">
        <v>0</v>
      </c>
      <c r="F958" s="925">
        <v>0</v>
      </c>
      <c r="G958" s="925">
        <v>0</v>
      </c>
      <c r="H958" s="925">
        <v>0</v>
      </c>
      <c r="I958" s="925">
        <v>0</v>
      </c>
      <c r="J958" s="925">
        <v>249058.48</v>
      </c>
      <c r="K958" s="861"/>
      <c r="L958" s="925"/>
      <c r="M958" s="925"/>
      <c r="N958" s="925"/>
      <c r="O958" s="925"/>
      <c r="P958" s="925"/>
      <c r="Q958" s="925"/>
      <c r="R958" s="925"/>
      <c r="S958" s="925"/>
      <c r="T958" s="925"/>
      <c r="U958" s="925"/>
      <c r="V958" s="925"/>
      <c r="W958" s="925"/>
      <c r="X958" s="925"/>
      <c r="Y958" s="925"/>
      <c r="Z958" s="921">
        <v>19507.22</v>
      </c>
      <c r="AA958" s="925">
        <v>0</v>
      </c>
    </row>
    <row r="959" spans="1:27" s="867" customFormat="1" ht="99.75" customHeight="1">
      <c r="A959" s="927">
        <v>436</v>
      </c>
      <c r="B959" s="863" t="s">
        <v>1842</v>
      </c>
      <c r="C959" s="925">
        <f t="shared" ref="C959:C965" si="211">D959+N959+P959+R959+T959+X959+Z959</f>
        <v>3984399.9699999997</v>
      </c>
      <c r="D959" s="925">
        <f t="shared" ref="D959:D965" si="212">SUM(E959:J959)</f>
        <v>3694993.76</v>
      </c>
      <c r="E959" s="925">
        <v>0</v>
      </c>
      <c r="F959" s="925">
        <v>3694993.76</v>
      </c>
      <c r="G959" s="925"/>
      <c r="H959" s="925"/>
      <c r="I959" s="925"/>
      <c r="J959" s="925"/>
      <c r="K959" s="861"/>
      <c r="L959" s="925"/>
      <c r="M959" s="925"/>
      <c r="N959" s="925"/>
      <c r="O959" s="925"/>
      <c r="P959" s="925"/>
      <c r="Q959" s="925"/>
      <c r="R959" s="925"/>
      <c r="S959" s="925"/>
      <c r="T959" s="925"/>
      <c r="U959" s="925"/>
      <c r="V959" s="925"/>
      <c r="W959" s="925"/>
      <c r="X959" s="925"/>
      <c r="Y959" s="925"/>
      <c r="Z959" s="921">
        <v>289406.21000000002</v>
      </c>
      <c r="AA959" s="925">
        <v>0</v>
      </c>
    </row>
    <row r="960" spans="1:27" s="867" customFormat="1" ht="96.75" customHeight="1">
      <c r="A960" s="927">
        <v>437</v>
      </c>
      <c r="B960" s="863" t="s">
        <v>1188</v>
      </c>
      <c r="C960" s="925">
        <f t="shared" si="211"/>
        <v>1901987.8</v>
      </c>
      <c r="D960" s="925">
        <f t="shared" si="212"/>
        <v>0</v>
      </c>
      <c r="E960" s="925">
        <v>0</v>
      </c>
      <c r="F960" s="925">
        <v>0</v>
      </c>
      <c r="G960" s="925">
        <v>0</v>
      </c>
      <c r="H960" s="925">
        <v>0</v>
      </c>
      <c r="I960" s="925">
        <v>0</v>
      </c>
      <c r="J960" s="925">
        <v>0</v>
      </c>
      <c r="K960" s="861">
        <v>0</v>
      </c>
      <c r="L960" s="925">
        <v>0</v>
      </c>
      <c r="M960" s="925">
        <v>0</v>
      </c>
      <c r="N960" s="925">
        <v>0</v>
      </c>
      <c r="O960" s="925">
        <v>457.35</v>
      </c>
      <c r="P960" s="925">
        <v>1796696.6</v>
      </c>
      <c r="Q960" s="925">
        <v>0</v>
      </c>
      <c r="R960" s="925">
        <v>0</v>
      </c>
      <c r="S960" s="925">
        <v>0</v>
      </c>
      <c r="T960" s="925">
        <v>0</v>
      </c>
      <c r="U960" s="925">
        <v>0</v>
      </c>
      <c r="V960" s="925">
        <v>0</v>
      </c>
      <c r="W960" s="925">
        <v>0</v>
      </c>
      <c r="X960" s="925">
        <v>0</v>
      </c>
      <c r="Y960" s="925">
        <v>0</v>
      </c>
      <c r="Z960" s="921">
        <v>105291.2</v>
      </c>
      <c r="AA960" s="925">
        <v>0</v>
      </c>
    </row>
    <row r="961" spans="1:27" s="867" customFormat="1" ht="96.75" customHeight="1">
      <c r="A961" s="927">
        <v>438</v>
      </c>
      <c r="B961" s="863" t="s">
        <v>1107</v>
      </c>
      <c r="C961" s="925">
        <f t="shared" si="211"/>
        <v>2521397.5699999998</v>
      </c>
      <c r="D961" s="925">
        <f t="shared" si="212"/>
        <v>2338256.29</v>
      </c>
      <c r="E961" s="925">
        <v>0</v>
      </c>
      <c r="F961" s="925">
        <v>0</v>
      </c>
      <c r="G961" s="925">
        <v>0</v>
      </c>
      <c r="H961" s="925">
        <v>1432705.52</v>
      </c>
      <c r="I961" s="925">
        <v>0</v>
      </c>
      <c r="J961" s="925">
        <v>905550.77</v>
      </c>
      <c r="K961" s="861">
        <v>0</v>
      </c>
      <c r="L961" s="925">
        <v>0</v>
      </c>
      <c r="M961" s="925">
        <v>0</v>
      </c>
      <c r="N961" s="925">
        <v>0</v>
      </c>
      <c r="O961" s="925">
        <v>0</v>
      </c>
      <c r="P961" s="925">
        <v>0</v>
      </c>
      <c r="Q961" s="925">
        <v>0</v>
      </c>
      <c r="R961" s="925">
        <v>0</v>
      </c>
      <c r="S961" s="925">
        <v>0</v>
      </c>
      <c r="T961" s="925">
        <v>0</v>
      </c>
      <c r="U961" s="925">
        <v>0</v>
      </c>
      <c r="V961" s="925">
        <v>0</v>
      </c>
      <c r="W961" s="925">
        <v>0</v>
      </c>
      <c r="X961" s="925">
        <v>0</v>
      </c>
      <c r="Y961" s="925">
        <v>0</v>
      </c>
      <c r="Z961" s="921">
        <v>183141.28</v>
      </c>
      <c r="AA961" s="925">
        <v>0</v>
      </c>
    </row>
    <row r="962" spans="1:27" s="867" customFormat="1" ht="96.75" customHeight="1">
      <c r="A962" s="927">
        <v>439</v>
      </c>
      <c r="B962" s="863" t="s">
        <v>1108</v>
      </c>
      <c r="C962" s="925">
        <f t="shared" si="211"/>
        <v>1046699.87</v>
      </c>
      <c r="D962" s="925">
        <f t="shared" si="212"/>
        <v>970673</v>
      </c>
      <c r="E962" s="925">
        <v>0</v>
      </c>
      <c r="F962" s="925">
        <v>0</v>
      </c>
      <c r="G962" s="925">
        <v>0</v>
      </c>
      <c r="H962" s="925">
        <v>970673</v>
      </c>
      <c r="I962" s="925">
        <v>0</v>
      </c>
      <c r="J962" s="925">
        <v>0</v>
      </c>
      <c r="K962" s="861">
        <v>0</v>
      </c>
      <c r="L962" s="925">
        <v>0</v>
      </c>
      <c r="M962" s="925">
        <v>0</v>
      </c>
      <c r="N962" s="925">
        <v>0</v>
      </c>
      <c r="O962" s="925">
        <v>0</v>
      </c>
      <c r="P962" s="925">
        <v>0</v>
      </c>
      <c r="Q962" s="925">
        <v>0</v>
      </c>
      <c r="R962" s="925">
        <v>0</v>
      </c>
      <c r="S962" s="925">
        <v>0</v>
      </c>
      <c r="T962" s="925">
        <v>0</v>
      </c>
      <c r="U962" s="925">
        <v>0</v>
      </c>
      <c r="V962" s="925">
        <v>0</v>
      </c>
      <c r="W962" s="925">
        <v>0</v>
      </c>
      <c r="X962" s="925">
        <v>0</v>
      </c>
      <c r="Y962" s="925">
        <v>0</v>
      </c>
      <c r="Z962" s="921">
        <v>76026.87</v>
      </c>
      <c r="AA962" s="925">
        <v>0</v>
      </c>
    </row>
    <row r="963" spans="1:27" s="867" customFormat="1" ht="96.75" customHeight="1">
      <c r="A963" s="927">
        <v>440</v>
      </c>
      <c r="B963" s="863" t="s">
        <v>1959</v>
      </c>
      <c r="C963" s="925">
        <f>D963+N963+P963+R963+T963+X963+Z963</f>
        <v>2398221.9</v>
      </c>
      <c r="D963" s="925">
        <f>SUM(E963:J963)</f>
        <v>0</v>
      </c>
      <c r="E963" s="925">
        <v>0</v>
      </c>
      <c r="F963" s="925">
        <v>0</v>
      </c>
      <c r="G963" s="925">
        <v>0</v>
      </c>
      <c r="H963" s="925">
        <v>0</v>
      </c>
      <c r="I963" s="925">
        <v>0</v>
      </c>
      <c r="J963" s="925">
        <v>0</v>
      </c>
      <c r="K963" s="861">
        <v>0</v>
      </c>
      <c r="L963" s="925">
        <v>0</v>
      </c>
      <c r="M963" s="925">
        <v>0</v>
      </c>
      <c r="N963" s="925">
        <v>0</v>
      </c>
      <c r="O963" s="925">
        <v>952.62</v>
      </c>
      <c r="P963" s="925">
        <v>2255170.2999999998</v>
      </c>
      <c r="Q963" s="925">
        <v>0</v>
      </c>
      <c r="R963" s="925">
        <v>0</v>
      </c>
      <c r="S963" s="925">
        <v>0</v>
      </c>
      <c r="T963" s="925">
        <v>0</v>
      </c>
      <c r="U963" s="925">
        <v>0</v>
      </c>
      <c r="V963" s="925">
        <v>0</v>
      </c>
      <c r="W963" s="925">
        <v>0</v>
      </c>
      <c r="X963" s="925">
        <v>0</v>
      </c>
      <c r="Y963" s="925">
        <v>0</v>
      </c>
      <c r="Z963" s="921">
        <v>143051.6</v>
      </c>
      <c r="AA963" s="925">
        <v>0</v>
      </c>
    </row>
    <row r="964" spans="1:27" s="867" customFormat="1" ht="96.75" customHeight="1">
      <c r="A964" s="927">
        <v>441</v>
      </c>
      <c r="B964" s="863" t="s">
        <v>1844</v>
      </c>
      <c r="C964" s="925">
        <f t="shared" si="211"/>
        <v>460270.38</v>
      </c>
      <c r="D964" s="925">
        <f t="shared" si="212"/>
        <v>426839</v>
      </c>
      <c r="E964" s="925"/>
      <c r="F964" s="925"/>
      <c r="G964" s="925"/>
      <c r="H964" s="925">
        <v>261490</v>
      </c>
      <c r="I964" s="925">
        <v>0</v>
      </c>
      <c r="J964" s="925">
        <v>165349</v>
      </c>
      <c r="K964" s="861">
        <v>0</v>
      </c>
      <c r="L964" s="925">
        <v>0</v>
      </c>
      <c r="M964" s="925">
        <v>0</v>
      </c>
      <c r="N964" s="925">
        <v>0</v>
      </c>
      <c r="O964" s="925">
        <v>0</v>
      </c>
      <c r="P964" s="925">
        <v>0</v>
      </c>
      <c r="Q964" s="925">
        <v>0</v>
      </c>
      <c r="R964" s="925">
        <v>0</v>
      </c>
      <c r="S964" s="925">
        <v>0</v>
      </c>
      <c r="T964" s="925">
        <v>0</v>
      </c>
      <c r="U964" s="925">
        <v>0</v>
      </c>
      <c r="V964" s="925">
        <v>0</v>
      </c>
      <c r="W964" s="925">
        <v>0</v>
      </c>
      <c r="X964" s="925">
        <v>0</v>
      </c>
      <c r="Y964" s="925">
        <v>0</v>
      </c>
      <c r="Z964" s="921">
        <v>33431.379999999997</v>
      </c>
      <c r="AA964" s="925">
        <v>0</v>
      </c>
    </row>
    <row r="965" spans="1:27" s="893" customFormat="1" ht="120" customHeight="1">
      <c r="A965" s="927">
        <v>442</v>
      </c>
      <c r="B965" s="863" t="s">
        <v>1843</v>
      </c>
      <c r="C965" s="925">
        <f t="shared" si="211"/>
        <v>2801696.49</v>
      </c>
      <c r="D965" s="925">
        <f t="shared" si="212"/>
        <v>0</v>
      </c>
      <c r="E965" s="925">
        <v>0</v>
      </c>
      <c r="F965" s="925">
        <v>0</v>
      </c>
      <c r="G965" s="925">
        <v>0</v>
      </c>
      <c r="H965" s="925">
        <v>0</v>
      </c>
      <c r="I965" s="925">
        <v>0</v>
      </c>
      <c r="J965" s="925">
        <v>0</v>
      </c>
      <c r="K965" s="861">
        <v>0</v>
      </c>
      <c r="L965" s="925">
        <v>0</v>
      </c>
      <c r="M965" s="925">
        <v>0</v>
      </c>
      <c r="N965" s="925">
        <v>0</v>
      </c>
      <c r="O965" s="925">
        <v>775.3</v>
      </c>
      <c r="P965" s="925">
        <v>2598195.75</v>
      </c>
      <c r="Q965" s="925">
        <v>0</v>
      </c>
      <c r="R965" s="925">
        <v>0</v>
      </c>
      <c r="S965" s="925">
        <v>0</v>
      </c>
      <c r="T965" s="925">
        <v>0</v>
      </c>
      <c r="U965" s="925">
        <v>0</v>
      </c>
      <c r="V965" s="925">
        <v>0</v>
      </c>
      <c r="W965" s="925">
        <v>0</v>
      </c>
      <c r="X965" s="925">
        <v>0</v>
      </c>
      <c r="Y965" s="925">
        <v>0</v>
      </c>
      <c r="Z965" s="921">
        <v>203500.74</v>
      </c>
      <c r="AA965" s="925">
        <v>0</v>
      </c>
    </row>
    <row r="966" spans="1:27" s="893" customFormat="1" ht="102.75" customHeight="1">
      <c r="A966" s="927">
        <v>443</v>
      </c>
      <c r="B966" s="863" t="s">
        <v>1845</v>
      </c>
      <c r="C966" s="925">
        <f>D966+N966+P966+R966+T966+X966+Z966</f>
        <v>4007708.24</v>
      </c>
      <c r="D966" s="925">
        <f>SUM(E966:J966)</f>
        <v>0</v>
      </c>
      <c r="E966" s="925">
        <v>0</v>
      </c>
      <c r="F966" s="925">
        <v>0</v>
      </c>
      <c r="G966" s="925">
        <v>0</v>
      </c>
      <c r="H966" s="925">
        <v>0</v>
      </c>
      <c r="I966" s="925">
        <v>0</v>
      </c>
      <c r="J966" s="925">
        <v>0</v>
      </c>
      <c r="K966" s="861">
        <v>0</v>
      </c>
      <c r="L966" s="925">
        <v>0</v>
      </c>
      <c r="M966" s="925">
        <v>0</v>
      </c>
      <c r="N966" s="925">
        <v>0</v>
      </c>
      <c r="O966" s="925">
        <v>940</v>
      </c>
      <c r="P966" s="925">
        <v>3716609.04</v>
      </c>
      <c r="Q966" s="925">
        <v>0</v>
      </c>
      <c r="R966" s="925">
        <v>0</v>
      </c>
      <c r="S966" s="925">
        <v>0</v>
      </c>
      <c r="T966" s="925">
        <v>0</v>
      </c>
      <c r="U966" s="925">
        <v>0</v>
      </c>
      <c r="V966" s="925">
        <v>0</v>
      </c>
      <c r="W966" s="925">
        <v>0</v>
      </c>
      <c r="X966" s="925">
        <v>0</v>
      </c>
      <c r="Y966" s="925">
        <v>0</v>
      </c>
      <c r="Z966" s="921">
        <v>291099.2</v>
      </c>
      <c r="AA966" s="925">
        <v>0</v>
      </c>
    </row>
    <row r="967" spans="1:27" s="893" customFormat="1" ht="113.45" customHeight="1">
      <c r="A967" s="927">
        <v>444</v>
      </c>
      <c r="B967" s="863" t="s">
        <v>1295</v>
      </c>
      <c r="C967" s="925">
        <f>D967+N967+P967+R967+T967+X967+Z967</f>
        <v>1671299.6</v>
      </c>
      <c r="D967" s="925">
        <f>SUM(E967:J967)</f>
        <v>0</v>
      </c>
      <c r="E967" s="925">
        <v>0</v>
      </c>
      <c r="F967" s="925">
        <v>0</v>
      </c>
      <c r="G967" s="925">
        <v>0</v>
      </c>
      <c r="H967" s="925">
        <v>0</v>
      </c>
      <c r="I967" s="925">
        <v>0</v>
      </c>
      <c r="J967" s="925">
        <v>0</v>
      </c>
      <c r="K967" s="861">
        <v>0</v>
      </c>
      <c r="L967" s="925">
        <v>0</v>
      </c>
      <c r="M967" s="925">
        <v>0</v>
      </c>
      <c r="N967" s="925">
        <v>0</v>
      </c>
      <c r="O967" s="925">
        <v>392</v>
      </c>
      <c r="P967" s="925">
        <v>1549905.04</v>
      </c>
      <c r="Q967" s="925">
        <v>0</v>
      </c>
      <c r="R967" s="925">
        <v>0</v>
      </c>
      <c r="S967" s="925">
        <v>0</v>
      </c>
      <c r="T967" s="925">
        <v>0</v>
      </c>
      <c r="U967" s="925">
        <v>0</v>
      </c>
      <c r="V967" s="925">
        <v>0</v>
      </c>
      <c r="W967" s="925">
        <v>0</v>
      </c>
      <c r="X967" s="925">
        <v>0</v>
      </c>
      <c r="Y967" s="925">
        <v>0</v>
      </c>
      <c r="Z967" s="921">
        <v>121394.56</v>
      </c>
      <c r="AA967" s="925">
        <v>0</v>
      </c>
    </row>
    <row r="968" spans="1:27" ht="105.6" customHeight="1">
      <c r="A968" s="927">
        <v>445</v>
      </c>
      <c r="B968" s="863" t="s">
        <v>2150</v>
      </c>
      <c r="C968" s="925">
        <f>D968+N968+P968+R968+T968+X968+Z968</f>
        <v>11397253.149999999</v>
      </c>
      <c r="D968" s="925">
        <f>SUM(E968:J968)</f>
        <v>0</v>
      </c>
      <c r="E968" s="925">
        <v>0</v>
      </c>
      <c r="F968" s="925">
        <v>0</v>
      </c>
      <c r="G968" s="925">
        <v>0</v>
      </c>
      <c r="H968" s="925">
        <v>0</v>
      </c>
      <c r="I968" s="925">
        <v>0</v>
      </c>
      <c r="J968" s="925">
        <v>0</v>
      </c>
      <c r="K968" s="861">
        <v>0</v>
      </c>
      <c r="L968" s="925">
        <v>0</v>
      </c>
      <c r="M968" s="925">
        <v>0</v>
      </c>
      <c r="N968" s="925">
        <v>0</v>
      </c>
      <c r="O968" s="925">
        <v>0</v>
      </c>
      <c r="P968" s="925">
        <v>0</v>
      </c>
      <c r="Q968" s="925">
        <v>0</v>
      </c>
      <c r="R968" s="925">
        <v>0</v>
      </c>
      <c r="S968" s="925">
        <v>3787.69</v>
      </c>
      <c r="T968" s="925">
        <v>10569435.619999999</v>
      </c>
      <c r="U968" s="925">
        <v>0</v>
      </c>
      <c r="V968" s="925">
        <v>0</v>
      </c>
      <c r="W968" s="925">
        <v>0</v>
      </c>
      <c r="X968" s="925">
        <v>0</v>
      </c>
      <c r="Y968" s="925">
        <v>0</v>
      </c>
      <c r="Z968" s="921">
        <v>827817.53</v>
      </c>
      <c r="AA968" s="925">
        <v>0</v>
      </c>
    </row>
    <row r="969" spans="1:27" ht="112.5" customHeight="1">
      <c r="A969" s="927">
        <v>446</v>
      </c>
      <c r="B969" s="863" t="s">
        <v>1130</v>
      </c>
      <c r="C969" s="925">
        <f>D969+N969+P969+R969+T969+X969+Z969</f>
        <v>4292135.58</v>
      </c>
      <c r="D969" s="925">
        <f>SUM(E969:J969)</f>
        <v>0</v>
      </c>
      <c r="E969" s="925">
        <v>0</v>
      </c>
      <c r="F969" s="925">
        <v>0</v>
      </c>
      <c r="G969" s="925">
        <v>0</v>
      </c>
      <c r="H969" s="925">
        <v>0</v>
      </c>
      <c r="I969" s="925">
        <v>0</v>
      </c>
      <c r="J969" s="925">
        <v>0</v>
      </c>
      <c r="K969" s="861">
        <v>0</v>
      </c>
      <c r="L969" s="925">
        <v>0</v>
      </c>
      <c r="M969" s="925">
        <v>0</v>
      </c>
      <c r="N969" s="925">
        <v>0</v>
      </c>
      <c r="O969" s="925">
        <v>878.49</v>
      </c>
      <c r="P969" s="925">
        <v>3980377.05</v>
      </c>
      <c r="Q969" s="925">
        <v>0</v>
      </c>
      <c r="R969" s="925">
        <v>0</v>
      </c>
      <c r="S969" s="925">
        <v>0</v>
      </c>
      <c r="T969" s="925">
        <v>0</v>
      </c>
      <c r="U969" s="925">
        <v>0</v>
      </c>
      <c r="V969" s="925">
        <v>0</v>
      </c>
      <c r="W969" s="925">
        <v>0</v>
      </c>
      <c r="X969" s="925">
        <v>0</v>
      </c>
      <c r="Y969" s="925">
        <v>0</v>
      </c>
      <c r="Z969" s="921">
        <v>311758.53000000003</v>
      </c>
      <c r="AA969" s="925">
        <v>0</v>
      </c>
    </row>
    <row r="970" spans="1:27" ht="106.5" customHeight="1">
      <c r="A970" s="1198" t="s">
        <v>1817</v>
      </c>
      <c r="B970" s="1199"/>
      <c r="C970" s="925">
        <f>C971+C972</f>
        <v>12337443.82</v>
      </c>
      <c r="D970" s="925">
        <f t="shared" ref="D970:AA970" si="213">D971+D972</f>
        <v>0</v>
      </c>
      <c r="E970" s="925">
        <f t="shared" si="213"/>
        <v>0</v>
      </c>
      <c r="F970" s="925">
        <f t="shared" si="213"/>
        <v>0</v>
      </c>
      <c r="G970" s="925">
        <f t="shared" si="213"/>
        <v>0</v>
      </c>
      <c r="H970" s="925">
        <f t="shared" si="213"/>
        <v>0</v>
      </c>
      <c r="I970" s="925">
        <f t="shared" si="213"/>
        <v>0</v>
      </c>
      <c r="J970" s="925">
        <f t="shared" si="213"/>
        <v>0</v>
      </c>
      <c r="K970" s="861">
        <f t="shared" si="213"/>
        <v>0</v>
      </c>
      <c r="L970" s="925">
        <f t="shared" si="213"/>
        <v>0</v>
      </c>
      <c r="M970" s="925">
        <f t="shared" si="213"/>
        <v>0</v>
      </c>
      <c r="N970" s="925">
        <f t="shared" si="213"/>
        <v>0</v>
      </c>
      <c r="O970" s="925">
        <f t="shared" si="213"/>
        <v>664</v>
      </c>
      <c r="P970" s="925">
        <f t="shared" si="213"/>
        <v>2625349.36</v>
      </c>
      <c r="Q970" s="925">
        <f t="shared" si="213"/>
        <v>0</v>
      </c>
      <c r="R970" s="925">
        <f t="shared" si="213"/>
        <v>0</v>
      </c>
      <c r="S970" s="925">
        <f t="shared" si="213"/>
        <v>1666.01</v>
      </c>
      <c r="T970" s="925">
        <f t="shared" si="213"/>
        <v>8815965.6400000006</v>
      </c>
      <c r="U970" s="925">
        <f t="shared" si="213"/>
        <v>0</v>
      </c>
      <c r="V970" s="925">
        <f t="shared" si="213"/>
        <v>0</v>
      </c>
      <c r="W970" s="925">
        <f t="shared" si="213"/>
        <v>0</v>
      </c>
      <c r="X970" s="925">
        <f t="shared" si="213"/>
        <v>0</v>
      </c>
      <c r="Y970" s="925">
        <f t="shared" si="213"/>
        <v>0</v>
      </c>
      <c r="Z970" s="921">
        <f t="shared" si="213"/>
        <v>896128.82000000007</v>
      </c>
      <c r="AA970" s="925">
        <f t="shared" si="213"/>
        <v>0</v>
      </c>
    </row>
    <row r="971" spans="1:27" ht="109.5" customHeight="1">
      <c r="A971" s="927">
        <v>447</v>
      </c>
      <c r="B971" s="868" t="s">
        <v>1819</v>
      </c>
      <c r="C971" s="925">
        <f>D971+N971+P971+R971+T971+X971+Z971+L971</f>
        <v>4381187.51</v>
      </c>
      <c r="D971" s="925">
        <f>SUM(E971:J971)</f>
        <v>0</v>
      </c>
      <c r="E971" s="925">
        <v>0</v>
      </c>
      <c r="F971" s="925">
        <v>0</v>
      </c>
      <c r="G971" s="925">
        <v>0</v>
      </c>
      <c r="H971" s="925">
        <v>0</v>
      </c>
      <c r="I971" s="925">
        <v>0</v>
      </c>
      <c r="J971" s="925">
        <v>0</v>
      </c>
      <c r="K971" s="861">
        <v>0</v>
      </c>
      <c r="L971" s="925">
        <v>0</v>
      </c>
      <c r="M971" s="925">
        <v>0</v>
      </c>
      <c r="N971" s="925">
        <v>0</v>
      </c>
      <c r="O971" s="925">
        <v>0</v>
      </c>
      <c r="P971" s="925">
        <v>0</v>
      </c>
      <c r="Q971" s="925">
        <v>0</v>
      </c>
      <c r="R971" s="925">
        <v>0</v>
      </c>
      <c r="S971" s="925">
        <v>847.61</v>
      </c>
      <c r="T971" s="925">
        <v>4062960</v>
      </c>
      <c r="U971" s="925">
        <v>0</v>
      </c>
      <c r="V971" s="925">
        <v>0</v>
      </c>
      <c r="W971" s="925">
        <v>0</v>
      </c>
      <c r="X971" s="925">
        <v>0</v>
      </c>
      <c r="Y971" s="925">
        <v>0</v>
      </c>
      <c r="Z971" s="921">
        <v>318227.51</v>
      </c>
      <c r="AA971" s="925">
        <v>0</v>
      </c>
    </row>
    <row r="972" spans="1:27" ht="103.5" customHeight="1">
      <c r="A972" s="927">
        <v>448</v>
      </c>
      <c r="B972" s="868" t="s">
        <v>1828</v>
      </c>
      <c r="C972" s="925">
        <f>D972+N972+P972+R972+T972+X972+Z972+L972</f>
        <v>7956256.3100000005</v>
      </c>
      <c r="D972" s="925">
        <f>SUM(E972:J972)</f>
        <v>0</v>
      </c>
      <c r="E972" s="925">
        <v>0</v>
      </c>
      <c r="F972" s="925">
        <v>0</v>
      </c>
      <c r="G972" s="925">
        <v>0</v>
      </c>
      <c r="H972" s="925">
        <v>0</v>
      </c>
      <c r="I972" s="925">
        <v>0</v>
      </c>
      <c r="J972" s="925">
        <v>0</v>
      </c>
      <c r="K972" s="861">
        <v>0</v>
      </c>
      <c r="L972" s="925">
        <v>0</v>
      </c>
      <c r="M972" s="925">
        <v>0</v>
      </c>
      <c r="N972" s="925">
        <v>0</v>
      </c>
      <c r="O972" s="925">
        <v>664</v>
      </c>
      <c r="P972" s="925">
        <v>2625349.36</v>
      </c>
      <c r="Q972" s="925">
        <v>0</v>
      </c>
      <c r="R972" s="925">
        <v>0</v>
      </c>
      <c r="S972" s="925">
        <v>818.4</v>
      </c>
      <c r="T972" s="925">
        <v>4753005.6399999997</v>
      </c>
      <c r="U972" s="925">
        <v>0</v>
      </c>
      <c r="V972" s="925">
        <v>0</v>
      </c>
      <c r="W972" s="925">
        <v>0</v>
      </c>
      <c r="X972" s="925">
        <v>0</v>
      </c>
      <c r="Y972" s="925">
        <v>0</v>
      </c>
      <c r="Z972" s="921">
        <v>577901.31000000006</v>
      </c>
      <c r="AA972" s="925">
        <v>0</v>
      </c>
    </row>
    <row r="973" spans="1:27" ht="108" customHeight="1">
      <c r="A973" s="1198" t="s">
        <v>1069</v>
      </c>
      <c r="B973" s="1199"/>
      <c r="C973" s="925">
        <f>C974+C975+C976</f>
        <v>7002836.7800000003</v>
      </c>
      <c r="D973" s="925">
        <f t="shared" ref="D973:AA973" si="214">D974+D975+D976</f>
        <v>1214913.32</v>
      </c>
      <c r="E973" s="925">
        <f t="shared" si="214"/>
        <v>0</v>
      </c>
      <c r="F973" s="925">
        <f t="shared" si="214"/>
        <v>1214913.32</v>
      </c>
      <c r="G973" s="925">
        <f t="shared" si="214"/>
        <v>0</v>
      </c>
      <c r="H973" s="925">
        <f t="shared" si="214"/>
        <v>0</v>
      </c>
      <c r="I973" s="925">
        <f t="shared" si="214"/>
        <v>0</v>
      </c>
      <c r="J973" s="925">
        <f t="shared" si="214"/>
        <v>0</v>
      </c>
      <c r="K973" s="861">
        <f t="shared" si="214"/>
        <v>0</v>
      </c>
      <c r="L973" s="925">
        <f t="shared" si="214"/>
        <v>0</v>
      </c>
      <c r="M973" s="925">
        <f t="shared" si="214"/>
        <v>0</v>
      </c>
      <c r="N973" s="925">
        <f t="shared" si="214"/>
        <v>0</v>
      </c>
      <c r="O973" s="925">
        <f t="shared" si="214"/>
        <v>979.64</v>
      </c>
      <c r="P973" s="925">
        <f t="shared" si="214"/>
        <v>5347062.75</v>
      </c>
      <c r="Q973" s="925">
        <f t="shared" si="214"/>
        <v>0</v>
      </c>
      <c r="R973" s="925">
        <f t="shared" si="214"/>
        <v>0</v>
      </c>
      <c r="S973" s="925">
        <f t="shared" si="214"/>
        <v>0</v>
      </c>
      <c r="T973" s="925">
        <f t="shared" si="214"/>
        <v>0</v>
      </c>
      <c r="U973" s="925">
        <f t="shared" si="214"/>
        <v>0</v>
      </c>
      <c r="V973" s="925">
        <f t="shared" si="214"/>
        <v>0</v>
      </c>
      <c r="W973" s="925">
        <f t="shared" si="214"/>
        <v>0</v>
      </c>
      <c r="X973" s="925">
        <f t="shared" si="214"/>
        <v>0</v>
      </c>
      <c r="Y973" s="925">
        <f t="shared" si="214"/>
        <v>0</v>
      </c>
      <c r="Z973" s="921">
        <f t="shared" si="214"/>
        <v>440860.71</v>
      </c>
      <c r="AA973" s="925">
        <f t="shared" si="214"/>
        <v>0</v>
      </c>
    </row>
    <row r="974" spans="1:27" ht="120.75" customHeight="1">
      <c r="A974" s="927">
        <v>449</v>
      </c>
      <c r="B974" s="863" t="s">
        <v>1079</v>
      </c>
      <c r="C974" s="925">
        <f>D974+N974+P974+R974+T974+X974+Z974</f>
        <v>3003203.02</v>
      </c>
      <c r="D974" s="925">
        <f>SUM(E974:J974)</f>
        <v>0</v>
      </c>
      <c r="E974" s="925">
        <v>0</v>
      </c>
      <c r="F974" s="925">
        <v>0</v>
      </c>
      <c r="G974" s="925">
        <v>0</v>
      </c>
      <c r="H974" s="925">
        <v>0</v>
      </c>
      <c r="I974" s="925">
        <v>0</v>
      </c>
      <c r="J974" s="925">
        <v>0</v>
      </c>
      <c r="K974" s="861">
        <v>0</v>
      </c>
      <c r="L974" s="925">
        <v>0</v>
      </c>
      <c r="M974" s="925">
        <v>0</v>
      </c>
      <c r="N974" s="925">
        <v>0</v>
      </c>
      <c r="O974" s="925">
        <v>629.64</v>
      </c>
      <c r="P974" s="925">
        <v>2852855.02</v>
      </c>
      <c r="Q974" s="925">
        <v>0</v>
      </c>
      <c r="R974" s="925">
        <v>0</v>
      </c>
      <c r="S974" s="925">
        <v>0</v>
      </c>
      <c r="T974" s="925">
        <v>0</v>
      </c>
      <c r="U974" s="925">
        <v>0</v>
      </c>
      <c r="V974" s="925">
        <v>0</v>
      </c>
      <c r="W974" s="925">
        <v>0</v>
      </c>
      <c r="X974" s="925">
        <v>0</v>
      </c>
      <c r="Y974" s="925">
        <v>0</v>
      </c>
      <c r="Z974" s="921">
        <v>150348</v>
      </c>
      <c r="AA974" s="925">
        <v>0</v>
      </c>
    </row>
    <row r="975" spans="1:27" ht="122.25" customHeight="1">
      <c r="A975" s="927">
        <v>450</v>
      </c>
      <c r="B975" s="863" t="s">
        <v>1131</v>
      </c>
      <c r="C975" s="925">
        <f>D975+N975+P975+R975+T975+X975+Z975</f>
        <v>2689563.73</v>
      </c>
      <c r="D975" s="925">
        <f>SUM(E975:J975)</f>
        <v>0</v>
      </c>
      <c r="E975" s="925">
        <v>0</v>
      </c>
      <c r="F975" s="925">
        <v>0</v>
      </c>
      <c r="G975" s="925">
        <v>0</v>
      </c>
      <c r="H975" s="925">
        <v>0</v>
      </c>
      <c r="I975" s="925">
        <v>0</v>
      </c>
      <c r="J975" s="925">
        <v>0</v>
      </c>
      <c r="K975" s="861">
        <v>0</v>
      </c>
      <c r="L975" s="925">
        <v>0</v>
      </c>
      <c r="M975" s="925">
        <v>0</v>
      </c>
      <c r="N975" s="925">
        <v>0</v>
      </c>
      <c r="O975" s="925">
        <v>350</v>
      </c>
      <c r="P975" s="925">
        <v>2494207.73</v>
      </c>
      <c r="Q975" s="925">
        <v>0</v>
      </c>
      <c r="R975" s="925">
        <v>0</v>
      </c>
      <c r="S975" s="925">
        <v>0</v>
      </c>
      <c r="T975" s="925">
        <v>0</v>
      </c>
      <c r="U975" s="925">
        <v>0</v>
      </c>
      <c r="V975" s="925">
        <v>0</v>
      </c>
      <c r="W975" s="925">
        <v>0</v>
      </c>
      <c r="X975" s="925">
        <v>0</v>
      </c>
      <c r="Y975" s="925">
        <v>0</v>
      </c>
      <c r="Z975" s="921">
        <v>195356</v>
      </c>
      <c r="AA975" s="925"/>
    </row>
    <row r="976" spans="1:27" ht="102" customHeight="1">
      <c r="A976" s="927">
        <v>451</v>
      </c>
      <c r="B976" s="863" t="s">
        <v>1378</v>
      </c>
      <c r="C976" s="925">
        <f>D976+N976+P976+R976+T976+X976+Z976</f>
        <v>1310070.03</v>
      </c>
      <c r="D976" s="925">
        <f>SUM(E976:J976)</f>
        <v>1214913.32</v>
      </c>
      <c r="E976" s="925">
        <v>0</v>
      </c>
      <c r="F976" s="925">
        <v>1214913.32</v>
      </c>
      <c r="G976" s="925">
        <v>0</v>
      </c>
      <c r="H976" s="925">
        <v>0</v>
      </c>
      <c r="I976" s="925">
        <v>0</v>
      </c>
      <c r="J976" s="925">
        <v>0</v>
      </c>
      <c r="K976" s="861">
        <v>0</v>
      </c>
      <c r="L976" s="925">
        <v>0</v>
      </c>
      <c r="M976" s="925">
        <v>0</v>
      </c>
      <c r="N976" s="925">
        <v>0</v>
      </c>
      <c r="O976" s="925">
        <v>0</v>
      </c>
      <c r="P976" s="925">
        <v>0</v>
      </c>
      <c r="Q976" s="925">
        <v>0</v>
      </c>
      <c r="R976" s="925">
        <v>0</v>
      </c>
      <c r="S976" s="925">
        <v>0</v>
      </c>
      <c r="T976" s="925">
        <v>0</v>
      </c>
      <c r="U976" s="925">
        <v>0</v>
      </c>
      <c r="V976" s="925">
        <v>0</v>
      </c>
      <c r="W976" s="925">
        <v>0</v>
      </c>
      <c r="X976" s="925">
        <v>0</v>
      </c>
      <c r="Y976" s="925">
        <v>0</v>
      </c>
      <c r="Z976" s="921">
        <v>95156.71</v>
      </c>
      <c r="AA976" s="925">
        <v>0</v>
      </c>
    </row>
    <row r="977" spans="1:27" ht="102" customHeight="1">
      <c r="A977" s="1198" t="s">
        <v>1794</v>
      </c>
      <c r="B977" s="1199"/>
      <c r="C977" s="925">
        <f>C978+C979</f>
        <v>3611200.94</v>
      </c>
      <c r="D977" s="925">
        <f t="shared" ref="D977:AA977" si="215">D978+D979</f>
        <v>0</v>
      </c>
      <c r="E977" s="925">
        <f t="shared" si="215"/>
        <v>0</v>
      </c>
      <c r="F977" s="925">
        <f t="shared" si="215"/>
        <v>0</v>
      </c>
      <c r="G977" s="925">
        <f t="shared" si="215"/>
        <v>0</v>
      </c>
      <c r="H977" s="925">
        <f t="shared" si="215"/>
        <v>0</v>
      </c>
      <c r="I977" s="925">
        <f t="shared" si="215"/>
        <v>0</v>
      </c>
      <c r="J977" s="925">
        <f t="shared" si="215"/>
        <v>0</v>
      </c>
      <c r="K977" s="861">
        <f t="shared" si="215"/>
        <v>0</v>
      </c>
      <c r="L977" s="925">
        <f t="shared" si="215"/>
        <v>0</v>
      </c>
      <c r="M977" s="925">
        <f t="shared" si="215"/>
        <v>0</v>
      </c>
      <c r="N977" s="925">
        <f t="shared" si="215"/>
        <v>0</v>
      </c>
      <c r="O977" s="925">
        <f t="shared" si="215"/>
        <v>847</v>
      </c>
      <c r="P977" s="925">
        <f t="shared" si="215"/>
        <v>3348901.98</v>
      </c>
      <c r="Q977" s="925">
        <f t="shared" si="215"/>
        <v>0</v>
      </c>
      <c r="R977" s="925">
        <f t="shared" si="215"/>
        <v>0</v>
      </c>
      <c r="S977" s="925">
        <f t="shared" si="215"/>
        <v>0</v>
      </c>
      <c r="T977" s="925">
        <f t="shared" si="215"/>
        <v>0</v>
      </c>
      <c r="U977" s="925">
        <f t="shared" si="215"/>
        <v>0</v>
      </c>
      <c r="V977" s="925">
        <f t="shared" si="215"/>
        <v>0</v>
      </c>
      <c r="W977" s="925">
        <f t="shared" si="215"/>
        <v>0</v>
      </c>
      <c r="X977" s="925">
        <f t="shared" si="215"/>
        <v>0</v>
      </c>
      <c r="Y977" s="925">
        <f t="shared" si="215"/>
        <v>0</v>
      </c>
      <c r="Z977" s="921">
        <f t="shared" si="215"/>
        <v>262298.96000000002</v>
      </c>
      <c r="AA977" s="925">
        <f t="shared" si="215"/>
        <v>0</v>
      </c>
    </row>
    <row r="978" spans="1:27" ht="102" customHeight="1">
      <c r="A978" s="927">
        <v>452</v>
      </c>
      <c r="B978" s="863" t="s">
        <v>1797</v>
      </c>
      <c r="C978" s="925">
        <f>D978+N978+P978+R978+T978+X978+Z978</f>
        <v>2020908.2</v>
      </c>
      <c r="D978" s="925">
        <f>SUM(E978:J978)</f>
        <v>0</v>
      </c>
      <c r="E978" s="925">
        <v>0</v>
      </c>
      <c r="F978" s="925">
        <v>0</v>
      </c>
      <c r="G978" s="925">
        <v>0</v>
      </c>
      <c r="H978" s="925">
        <v>0</v>
      </c>
      <c r="I978" s="925">
        <v>0</v>
      </c>
      <c r="J978" s="925">
        <v>0</v>
      </c>
      <c r="K978" s="861">
        <v>0</v>
      </c>
      <c r="L978" s="925">
        <v>0</v>
      </c>
      <c r="M978" s="925">
        <v>0</v>
      </c>
      <c r="N978" s="925">
        <v>0</v>
      </c>
      <c r="O978" s="925">
        <v>474</v>
      </c>
      <c r="P978" s="925">
        <v>1874119.88</v>
      </c>
      <c r="Q978" s="925">
        <v>0</v>
      </c>
      <c r="R978" s="925">
        <v>0</v>
      </c>
      <c r="S978" s="925">
        <v>0</v>
      </c>
      <c r="T978" s="925">
        <v>0</v>
      </c>
      <c r="U978" s="925">
        <v>0</v>
      </c>
      <c r="V978" s="925">
        <v>0</v>
      </c>
      <c r="W978" s="925">
        <v>0</v>
      </c>
      <c r="X978" s="925">
        <v>0</v>
      </c>
      <c r="Y978" s="925">
        <v>0</v>
      </c>
      <c r="Z978" s="921">
        <v>146788.32</v>
      </c>
      <c r="AA978" s="925">
        <v>0</v>
      </c>
    </row>
    <row r="979" spans="1:27" ht="102" customHeight="1">
      <c r="A979" s="927">
        <v>453</v>
      </c>
      <c r="B979" s="863" t="s">
        <v>1798</v>
      </c>
      <c r="C979" s="925">
        <f>D979+N979+P979+R979+T979+X979+Z979</f>
        <v>1590292.74</v>
      </c>
      <c r="D979" s="925">
        <f>SUM(E979:J979)</f>
        <v>0</v>
      </c>
      <c r="E979" s="925">
        <v>0</v>
      </c>
      <c r="F979" s="925">
        <v>0</v>
      </c>
      <c r="G979" s="925">
        <v>0</v>
      </c>
      <c r="H979" s="925">
        <v>0</v>
      </c>
      <c r="I979" s="925">
        <v>0</v>
      </c>
      <c r="J979" s="925">
        <v>0</v>
      </c>
      <c r="K979" s="861">
        <v>0</v>
      </c>
      <c r="L979" s="925">
        <v>0</v>
      </c>
      <c r="M979" s="925">
        <v>0</v>
      </c>
      <c r="N979" s="925">
        <v>0</v>
      </c>
      <c r="O979" s="925">
        <v>373</v>
      </c>
      <c r="P979" s="925">
        <v>1474782.1</v>
      </c>
      <c r="Q979" s="925">
        <v>0</v>
      </c>
      <c r="R979" s="925">
        <v>0</v>
      </c>
      <c r="S979" s="925">
        <v>0</v>
      </c>
      <c r="T979" s="925">
        <v>0</v>
      </c>
      <c r="U979" s="925">
        <v>0</v>
      </c>
      <c r="V979" s="925">
        <v>0</v>
      </c>
      <c r="W979" s="925">
        <v>0</v>
      </c>
      <c r="X979" s="925">
        <v>0</v>
      </c>
      <c r="Y979" s="925">
        <v>0</v>
      </c>
      <c r="Z979" s="921">
        <v>115510.64</v>
      </c>
      <c r="AA979" s="925">
        <v>0</v>
      </c>
    </row>
    <row r="980" spans="1:27" ht="102" customHeight="1">
      <c r="A980" s="1196" t="s">
        <v>1058</v>
      </c>
      <c r="B980" s="1197"/>
      <c r="C980" s="925">
        <f t="shared" ref="C980:T980" si="216">SUM(C981:C985)</f>
        <v>21394908.219999999</v>
      </c>
      <c r="D980" s="925">
        <f t="shared" si="216"/>
        <v>0</v>
      </c>
      <c r="E980" s="925">
        <f t="shared" si="216"/>
        <v>0</v>
      </c>
      <c r="F980" s="925">
        <f t="shared" si="216"/>
        <v>0</v>
      </c>
      <c r="G980" s="925">
        <f t="shared" si="216"/>
        <v>0</v>
      </c>
      <c r="H980" s="925">
        <f t="shared" si="216"/>
        <v>0</v>
      </c>
      <c r="I980" s="925">
        <f t="shared" si="216"/>
        <v>0</v>
      </c>
      <c r="J980" s="925">
        <f t="shared" si="216"/>
        <v>0</v>
      </c>
      <c r="K980" s="861">
        <f t="shared" si="216"/>
        <v>0</v>
      </c>
      <c r="L980" s="925">
        <f t="shared" si="216"/>
        <v>0</v>
      </c>
      <c r="M980" s="925">
        <f t="shared" si="216"/>
        <v>0</v>
      </c>
      <c r="N980" s="925">
        <f t="shared" si="216"/>
        <v>0</v>
      </c>
      <c r="O980" s="925">
        <f t="shared" si="216"/>
        <v>2842.44</v>
      </c>
      <c r="P980" s="925">
        <f t="shared" si="216"/>
        <v>20663026.710000001</v>
      </c>
      <c r="Q980" s="925">
        <f t="shared" si="216"/>
        <v>0</v>
      </c>
      <c r="R980" s="925">
        <f t="shared" si="216"/>
        <v>0</v>
      </c>
      <c r="S980" s="925">
        <f t="shared" si="216"/>
        <v>0</v>
      </c>
      <c r="T980" s="925">
        <f t="shared" si="216"/>
        <v>0</v>
      </c>
      <c r="U980" s="925">
        <v>0</v>
      </c>
      <c r="V980" s="925">
        <v>0</v>
      </c>
      <c r="W980" s="925">
        <f>SUM(W981:W985)</f>
        <v>0</v>
      </c>
      <c r="X980" s="925">
        <f>SUM(X981:X985)</f>
        <v>0</v>
      </c>
      <c r="Y980" s="925">
        <v>0</v>
      </c>
      <c r="Z980" s="921">
        <f>SUM(Z981:Z985)</f>
        <v>731881.51</v>
      </c>
      <c r="AA980" s="925">
        <f>SUM(AA981:AA985)</f>
        <v>0</v>
      </c>
    </row>
    <row r="981" spans="1:27" ht="108" customHeight="1">
      <c r="A981" s="927">
        <v>454</v>
      </c>
      <c r="B981" s="863" t="s">
        <v>1158</v>
      </c>
      <c r="C981" s="925">
        <f>P981+Z981</f>
        <v>6207927.9199999999</v>
      </c>
      <c r="D981" s="925">
        <v>0</v>
      </c>
      <c r="E981" s="925">
        <v>0</v>
      </c>
      <c r="F981" s="925">
        <v>0</v>
      </c>
      <c r="G981" s="925">
        <v>0</v>
      </c>
      <c r="H981" s="925">
        <v>0</v>
      </c>
      <c r="I981" s="925">
        <v>0</v>
      </c>
      <c r="J981" s="925">
        <v>0</v>
      </c>
      <c r="K981" s="861">
        <v>0</v>
      </c>
      <c r="L981" s="925">
        <v>0</v>
      </c>
      <c r="M981" s="925">
        <v>0</v>
      </c>
      <c r="N981" s="925">
        <v>0</v>
      </c>
      <c r="O981" s="925">
        <v>811.74</v>
      </c>
      <c r="P981" s="925">
        <v>6005252.6799999997</v>
      </c>
      <c r="Q981" s="925">
        <v>0</v>
      </c>
      <c r="R981" s="925">
        <v>0</v>
      </c>
      <c r="S981" s="925">
        <v>0</v>
      </c>
      <c r="T981" s="925">
        <v>0</v>
      </c>
      <c r="U981" s="925">
        <v>0</v>
      </c>
      <c r="V981" s="925">
        <v>0</v>
      </c>
      <c r="W981" s="925">
        <v>0</v>
      </c>
      <c r="X981" s="925">
        <v>0</v>
      </c>
      <c r="Y981" s="925">
        <v>0</v>
      </c>
      <c r="Z981" s="921">
        <v>202675.24</v>
      </c>
      <c r="AA981" s="925">
        <v>0</v>
      </c>
    </row>
    <row r="982" spans="1:27" ht="133.5" customHeight="1">
      <c r="A982" s="927">
        <v>455</v>
      </c>
      <c r="B982" s="863" t="s">
        <v>1157</v>
      </c>
      <c r="C982" s="925">
        <f>P982+Z982+D982</f>
        <v>3126371.67</v>
      </c>
      <c r="D982" s="925">
        <v>0</v>
      </c>
      <c r="E982" s="925">
        <v>0</v>
      </c>
      <c r="F982" s="925">
        <v>0</v>
      </c>
      <c r="G982" s="925">
        <v>0</v>
      </c>
      <c r="H982" s="925">
        <v>0</v>
      </c>
      <c r="I982" s="925">
        <v>0</v>
      </c>
      <c r="J982" s="925">
        <v>0</v>
      </c>
      <c r="K982" s="861">
        <v>0</v>
      </c>
      <c r="L982" s="925">
        <v>0</v>
      </c>
      <c r="M982" s="925">
        <v>0</v>
      </c>
      <c r="N982" s="925">
        <v>0</v>
      </c>
      <c r="O982" s="925">
        <v>408.8</v>
      </c>
      <c r="P982" s="925">
        <v>3024302.48</v>
      </c>
      <c r="Q982" s="925">
        <v>0</v>
      </c>
      <c r="R982" s="925">
        <v>0</v>
      </c>
      <c r="S982" s="925">
        <v>0</v>
      </c>
      <c r="T982" s="925">
        <v>0</v>
      </c>
      <c r="U982" s="925">
        <v>0</v>
      </c>
      <c r="V982" s="925">
        <v>0</v>
      </c>
      <c r="W982" s="925">
        <v>0</v>
      </c>
      <c r="X982" s="925">
        <v>0</v>
      </c>
      <c r="Y982" s="925">
        <v>0</v>
      </c>
      <c r="Z982" s="921">
        <v>102069.19</v>
      </c>
      <c r="AA982" s="925">
        <v>0</v>
      </c>
    </row>
    <row r="983" spans="1:27" ht="110.45" customHeight="1">
      <c r="A983" s="927">
        <v>456</v>
      </c>
      <c r="B983" s="863" t="s">
        <v>1156</v>
      </c>
      <c r="C983" s="925">
        <f>P983+Z983+D983</f>
        <v>6433203.5</v>
      </c>
      <c r="D983" s="925">
        <v>0</v>
      </c>
      <c r="E983" s="925">
        <v>0</v>
      </c>
      <c r="F983" s="925">
        <v>0</v>
      </c>
      <c r="G983" s="925">
        <v>0</v>
      </c>
      <c r="H983" s="925">
        <v>0</v>
      </c>
      <c r="I983" s="925">
        <v>0</v>
      </c>
      <c r="J983" s="925">
        <v>0</v>
      </c>
      <c r="K983" s="861">
        <v>0</v>
      </c>
      <c r="L983" s="925">
        <v>0</v>
      </c>
      <c r="M983" s="925">
        <v>0</v>
      </c>
      <c r="N983" s="925">
        <v>0</v>
      </c>
      <c r="O983" s="925">
        <v>697</v>
      </c>
      <c r="P983" s="925">
        <v>6227839.4199999999</v>
      </c>
      <c r="Q983" s="925">
        <v>0</v>
      </c>
      <c r="R983" s="925">
        <v>0</v>
      </c>
      <c r="S983" s="925">
        <v>0</v>
      </c>
      <c r="T983" s="925">
        <v>0</v>
      </c>
      <c r="U983" s="925">
        <v>0</v>
      </c>
      <c r="V983" s="925">
        <v>0</v>
      </c>
      <c r="W983" s="925">
        <v>0</v>
      </c>
      <c r="X983" s="925">
        <v>0</v>
      </c>
      <c r="Y983" s="925">
        <v>0</v>
      </c>
      <c r="Z983" s="921">
        <v>205364.08</v>
      </c>
      <c r="AA983" s="925">
        <v>0</v>
      </c>
    </row>
    <row r="984" spans="1:27" ht="141" customHeight="1">
      <c r="A984" s="927">
        <v>457</v>
      </c>
      <c r="B984" s="863" t="s">
        <v>1578</v>
      </c>
      <c r="C984" s="925">
        <f>P984+Z984+D984</f>
        <v>3323689.62</v>
      </c>
      <c r="D984" s="925">
        <v>0</v>
      </c>
      <c r="E984" s="925">
        <v>0</v>
      </c>
      <c r="F984" s="925">
        <v>0</v>
      </c>
      <c r="G984" s="925">
        <v>0</v>
      </c>
      <c r="H984" s="925">
        <v>0</v>
      </c>
      <c r="I984" s="925">
        <v>0</v>
      </c>
      <c r="J984" s="925">
        <v>0</v>
      </c>
      <c r="K984" s="861">
        <v>0</v>
      </c>
      <c r="L984" s="925">
        <v>0</v>
      </c>
      <c r="M984" s="925">
        <v>0</v>
      </c>
      <c r="N984" s="925">
        <v>0</v>
      </c>
      <c r="O984" s="925">
        <v>499.8</v>
      </c>
      <c r="P984" s="925">
        <v>3206423.62</v>
      </c>
      <c r="Q984" s="925">
        <v>0</v>
      </c>
      <c r="R984" s="925">
        <v>0</v>
      </c>
      <c r="S984" s="925">
        <v>0</v>
      </c>
      <c r="T984" s="925">
        <v>0</v>
      </c>
      <c r="U984" s="925">
        <v>0</v>
      </c>
      <c r="V984" s="925">
        <v>0</v>
      </c>
      <c r="W984" s="925">
        <v>0</v>
      </c>
      <c r="X984" s="925">
        <v>0</v>
      </c>
      <c r="Y984" s="925">
        <v>0</v>
      </c>
      <c r="Z984" s="921">
        <v>117266</v>
      </c>
      <c r="AA984" s="925">
        <v>0</v>
      </c>
    </row>
    <row r="985" spans="1:27" ht="127.15" customHeight="1">
      <c r="A985" s="927">
        <v>458</v>
      </c>
      <c r="B985" s="863" t="s">
        <v>1150</v>
      </c>
      <c r="C985" s="925">
        <f>P985+Z985+D985</f>
        <v>2303715.5099999998</v>
      </c>
      <c r="D985" s="925">
        <v>0</v>
      </c>
      <c r="E985" s="925">
        <v>0</v>
      </c>
      <c r="F985" s="925">
        <v>0</v>
      </c>
      <c r="G985" s="925">
        <v>0</v>
      </c>
      <c r="H985" s="925">
        <v>0</v>
      </c>
      <c r="I985" s="925">
        <v>0</v>
      </c>
      <c r="J985" s="925">
        <v>0</v>
      </c>
      <c r="K985" s="861">
        <v>0</v>
      </c>
      <c r="L985" s="925">
        <v>0</v>
      </c>
      <c r="M985" s="925">
        <v>0</v>
      </c>
      <c r="N985" s="925">
        <v>0</v>
      </c>
      <c r="O985" s="925">
        <v>425.1</v>
      </c>
      <c r="P985" s="925">
        <v>2199208.5099999998</v>
      </c>
      <c r="Q985" s="925">
        <v>0</v>
      </c>
      <c r="R985" s="925">
        <v>0</v>
      </c>
      <c r="S985" s="925">
        <v>0</v>
      </c>
      <c r="T985" s="925">
        <v>0</v>
      </c>
      <c r="U985" s="925">
        <v>0</v>
      </c>
      <c r="V985" s="925">
        <v>0</v>
      </c>
      <c r="W985" s="925">
        <v>0</v>
      </c>
      <c r="X985" s="925">
        <v>0</v>
      </c>
      <c r="Y985" s="925">
        <v>0</v>
      </c>
      <c r="Z985" s="921">
        <v>104507</v>
      </c>
      <c r="AA985" s="925">
        <v>0</v>
      </c>
    </row>
    <row r="986" spans="1:27" ht="127.15" customHeight="1">
      <c r="A986" s="1198" t="s">
        <v>1068</v>
      </c>
      <c r="B986" s="1199"/>
      <c r="C986" s="925">
        <f>C987+C988</f>
        <v>4481758.41</v>
      </c>
      <c r="D986" s="925">
        <f t="shared" ref="D986:AA986" si="217">D987+D988</f>
        <v>2266580</v>
      </c>
      <c r="E986" s="925">
        <f t="shared" si="217"/>
        <v>0</v>
      </c>
      <c r="F986" s="925">
        <f t="shared" si="217"/>
        <v>2266580</v>
      </c>
      <c r="G986" s="925">
        <f t="shared" si="217"/>
        <v>0</v>
      </c>
      <c r="H986" s="925">
        <f t="shared" si="217"/>
        <v>0</v>
      </c>
      <c r="I986" s="925">
        <f t="shared" si="217"/>
        <v>0</v>
      </c>
      <c r="J986" s="925">
        <f t="shared" si="217"/>
        <v>0</v>
      </c>
      <c r="K986" s="861">
        <f t="shared" si="217"/>
        <v>0</v>
      </c>
      <c r="L986" s="925">
        <f t="shared" si="217"/>
        <v>0</v>
      </c>
      <c r="M986" s="925">
        <f t="shared" si="217"/>
        <v>0</v>
      </c>
      <c r="N986" s="925">
        <f t="shared" si="217"/>
        <v>0</v>
      </c>
      <c r="O986" s="925">
        <f t="shared" si="217"/>
        <v>446.7</v>
      </c>
      <c r="P986" s="925">
        <f t="shared" si="217"/>
        <v>1916876.41</v>
      </c>
      <c r="Q986" s="925">
        <f t="shared" si="217"/>
        <v>0</v>
      </c>
      <c r="R986" s="925">
        <f t="shared" si="217"/>
        <v>0</v>
      </c>
      <c r="S986" s="925">
        <f t="shared" si="217"/>
        <v>0</v>
      </c>
      <c r="T986" s="925">
        <f t="shared" si="217"/>
        <v>0</v>
      </c>
      <c r="U986" s="925">
        <f t="shared" si="217"/>
        <v>0</v>
      </c>
      <c r="V986" s="925">
        <f t="shared" si="217"/>
        <v>0</v>
      </c>
      <c r="W986" s="925">
        <f t="shared" si="217"/>
        <v>0</v>
      </c>
      <c r="X986" s="925">
        <f t="shared" si="217"/>
        <v>0</v>
      </c>
      <c r="Y986" s="925">
        <f t="shared" si="217"/>
        <v>0</v>
      </c>
      <c r="Z986" s="921">
        <f t="shared" si="217"/>
        <v>298302</v>
      </c>
      <c r="AA986" s="925">
        <f t="shared" si="217"/>
        <v>0</v>
      </c>
    </row>
    <row r="987" spans="1:27" ht="135" customHeight="1">
      <c r="A987" s="927">
        <v>459</v>
      </c>
      <c r="B987" s="863" t="s">
        <v>1279</v>
      </c>
      <c r="C987" s="925">
        <f>P987+Z987+D987</f>
        <v>2037651.41</v>
      </c>
      <c r="D987" s="925">
        <f>SUM(E987:J987)</f>
        <v>0</v>
      </c>
      <c r="E987" s="925">
        <v>0</v>
      </c>
      <c r="F987" s="925">
        <v>0</v>
      </c>
      <c r="G987" s="925">
        <v>0</v>
      </c>
      <c r="H987" s="925">
        <v>0</v>
      </c>
      <c r="I987" s="925">
        <v>0</v>
      </c>
      <c r="J987" s="925">
        <v>0</v>
      </c>
      <c r="K987" s="861">
        <v>0</v>
      </c>
      <c r="L987" s="925">
        <v>0</v>
      </c>
      <c r="M987" s="925">
        <v>0</v>
      </c>
      <c r="N987" s="925">
        <v>0</v>
      </c>
      <c r="O987" s="925">
        <v>446.7</v>
      </c>
      <c r="P987" s="925">
        <v>1916876.41</v>
      </c>
      <c r="Q987" s="925">
        <v>0</v>
      </c>
      <c r="R987" s="925">
        <v>0</v>
      </c>
      <c r="S987" s="925">
        <v>0</v>
      </c>
      <c r="T987" s="925">
        <v>0</v>
      </c>
      <c r="U987" s="925">
        <v>0</v>
      </c>
      <c r="V987" s="925">
        <v>0</v>
      </c>
      <c r="W987" s="925">
        <v>0</v>
      </c>
      <c r="X987" s="925">
        <v>0</v>
      </c>
      <c r="Y987" s="925">
        <v>0</v>
      </c>
      <c r="Z987" s="921">
        <v>120775</v>
      </c>
      <c r="AA987" s="925">
        <v>0</v>
      </c>
    </row>
    <row r="988" spans="1:27" ht="102" customHeight="1">
      <c r="A988" s="927">
        <v>460</v>
      </c>
      <c r="B988" s="863" t="s">
        <v>1253</v>
      </c>
      <c r="C988" s="925">
        <f>P988+Z988+D988</f>
        <v>2444107</v>
      </c>
      <c r="D988" s="925">
        <f>SUM(E988:J988)</f>
        <v>2266580</v>
      </c>
      <c r="E988" s="925">
        <v>0</v>
      </c>
      <c r="F988" s="925">
        <v>2266580</v>
      </c>
      <c r="G988" s="925">
        <v>0</v>
      </c>
      <c r="H988" s="925">
        <v>0</v>
      </c>
      <c r="I988" s="925">
        <v>0</v>
      </c>
      <c r="J988" s="925">
        <v>0</v>
      </c>
      <c r="K988" s="861">
        <v>0</v>
      </c>
      <c r="L988" s="925">
        <v>0</v>
      </c>
      <c r="M988" s="925">
        <v>0</v>
      </c>
      <c r="N988" s="925">
        <v>0</v>
      </c>
      <c r="O988" s="925">
        <v>0</v>
      </c>
      <c r="P988" s="925">
        <v>0</v>
      </c>
      <c r="Q988" s="925">
        <v>0</v>
      </c>
      <c r="R988" s="925">
        <v>0</v>
      </c>
      <c r="S988" s="925">
        <v>0</v>
      </c>
      <c r="T988" s="925">
        <v>0</v>
      </c>
      <c r="U988" s="925">
        <v>0</v>
      </c>
      <c r="V988" s="925">
        <v>0</v>
      </c>
      <c r="W988" s="925">
        <v>0</v>
      </c>
      <c r="X988" s="925">
        <v>0</v>
      </c>
      <c r="Y988" s="925">
        <v>0</v>
      </c>
      <c r="Z988" s="921">
        <v>177527</v>
      </c>
      <c r="AA988" s="925">
        <v>0</v>
      </c>
    </row>
    <row r="989" spans="1:27" ht="106.5" customHeight="1">
      <c r="A989" s="1198" t="s">
        <v>1176</v>
      </c>
      <c r="B989" s="1199"/>
      <c r="C989" s="925">
        <f>C990+C991</f>
        <v>4992786.540000001</v>
      </c>
      <c r="D989" s="925">
        <f t="shared" ref="D989:AA989" si="218">D990+D991</f>
        <v>0</v>
      </c>
      <c r="E989" s="925">
        <f t="shared" si="218"/>
        <v>0</v>
      </c>
      <c r="F989" s="925">
        <f t="shared" si="218"/>
        <v>0</v>
      </c>
      <c r="G989" s="925">
        <f t="shared" si="218"/>
        <v>0</v>
      </c>
      <c r="H989" s="925">
        <f t="shared" si="218"/>
        <v>0</v>
      </c>
      <c r="I989" s="925">
        <f t="shared" si="218"/>
        <v>0</v>
      </c>
      <c r="J989" s="925">
        <f t="shared" si="218"/>
        <v>0</v>
      </c>
      <c r="K989" s="861">
        <f t="shared" si="218"/>
        <v>0</v>
      </c>
      <c r="L989" s="925">
        <f t="shared" si="218"/>
        <v>0</v>
      </c>
      <c r="M989" s="925">
        <f t="shared" si="218"/>
        <v>0</v>
      </c>
      <c r="N989" s="925">
        <f t="shared" si="218"/>
        <v>0</v>
      </c>
      <c r="O989" s="925">
        <f t="shared" si="218"/>
        <v>945.52</v>
      </c>
      <c r="P989" s="925">
        <f t="shared" si="218"/>
        <v>4630136.34</v>
      </c>
      <c r="Q989" s="925">
        <f t="shared" si="218"/>
        <v>0</v>
      </c>
      <c r="R989" s="925">
        <f t="shared" si="218"/>
        <v>0</v>
      </c>
      <c r="S989" s="925">
        <f t="shared" si="218"/>
        <v>0</v>
      </c>
      <c r="T989" s="925">
        <f t="shared" si="218"/>
        <v>0</v>
      </c>
      <c r="U989" s="925">
        <f t="shared" si="218"/>
        <v>0</v>
      </c>
      <c r="V989" s="925">
        <f t="shared" si="218"/>
        <v>0</v>
      </c>
      <c r="W989" s="925">
        <f t="shared" si="218"/>
        <v>0</v>
      </c>
      <c r="X989" s="925">
        <f t="shared" si="218"/>
        <v>0</v>
      </c>
      <c r="Y989" s="925">
        <f t="shared" si="218"/>
        <v>0</v>
      </c>
      <c r="Z989" s="921">
        <f t="shared" si="218"/>
        <v>362650.2</v>
      </c>
      <c r="AA989" s="925">
        <f t="shared" si="218"/>
        <v>0</v>
      </c>
    </row>
    <row r="990" spans="1:27" ht="103.5" customHeight="1">
      <c r="A990" s="927">
        <v>461</v>
      </c>
      <c r="B990" s="863" t="s">
        <v>1080</v>
      </c>
      <c r="C990" s="925">
        <f>D990+N990+P990+R990+T990+X990+Z990</f>
        <v>2881052.5300000003</v>
      </c>
      <c r="D990" s="925">
        <f>SUM(E990:J990)</f>
        <v>0</v>
      </c>
      <c r="E990" s="925">
        <v>0</v>
      </c>
      <c r="F990" s="925">
        <v>0</v>
      </c>
      <c r="G990" s="925">
        <v>0</v>
      </c>
      <c r="H990" s="925">
        <v>0</v>
      </c>
      <c r="I990" s="925">
        <v>0</v>
      </c>
      <c r="J990" s="925">
        <v>0</v>
      </c>
      <c r="K990" s="861">
        <v>0</v>
      </c>
      <c r="L990" s="925">
        <v>0</v>
      </c>
      <c r="M990" s="925">
        <v>0</v>
      </c>
      <c r="N990" s="925">
        <v>0</v>
      </c>
      <c r="O990" s="925">
        <v>361.15</v>
      </c>
      <c r="P990" s="925">
        <v>2671787.77</v>
      </c>
      <c r="Q990" s="925">
        <v>0</v>
      </c>
      <c r="R990" s="925">
        <v>0</v>
      </c>
      <c r="S990" s="925">
        <v>0</v>
      </c>
      <c r="T990" s="925">
        <v>0</v>
      </c>
      <c r="U990" s="925">
        <v>0</v>
      </c>
      <c r="V990" s="925">
        <v>0</v>
      </c>
      <c r="W990" s="925">
        <v>0</v>
      </c>
      <c r="X990" s="925">
        <v>0</v>
      </c>
      <c r="Y990" s="925">
        <v>0</v>
      </c>
      <c r="Z990" s="921">
        <v>209264.76</v>
      </c>
      <c r="AA990" s="925">
        <v>0</v>
      </c>
    </row>
    <row r="991" spans="1:27" ht="109.5" customHeight="1">
      <c r="A991" s="927">
        <v>462</v>
      </c>
      <c r="B991" s="863" t="s">
        <v>1155</v>
      </c>
      <c r="C991" s="925">
        <f>D991+N991+P991+R991+T991+X991+Z991</f>
        <v>2111734.0100000002</v>
      </c>
      <c r="D991" s="925">
        <f>SUM(E991:J991)</f>
        <v>0</v>
      </c>
      <c r="E991" s="925">
        <v>0</v>
      </c>
      <c r="F991" s="925">
        <v>0</v>
      </c>
      <c r="G991" s="925">
        <v>0</v>
      </c>
      <c r="H991" s="925">
        <v>0</v>
      </c>
      <c r="I991" s="925">
        <v>0</v>
      </c>
      <c r="J991" s="925">
        <v>0</v>
      </c>
      <c r="K991" s="861">
        <v>0</v>
      </c>
      <c r="L991" s="925">
        <v>0</v>
      </c>
      <c r="M991" s="925">
        <v>0</v>
      </c>
      <c r="N991" s="925">
        <v>0</v>
      </c>
      <c r="O991" s="925">
        <v>584.37</v>
      </c>
      <c r="P991" s="925">
        <v>1958348.57</v>
      </c>
      <c r="Q991" s="925">
        <v>0</v>
      </c>
      <c r="R991" s="925">
        <v>0</v>
      </c>
      <c r="S991" s="925">
        <v>0</v>
      </c>
      <c r="T991" s="925">
        <v>0</v>
      </c>
      <c r="U991" s="925">
        <v>0</v>
      </c>
      <c r="V991" s="925">
        <v>0</v>
      </c>
      <c r="W991" s="925">
        <v>0</v>
      </c>
      <c r="X991" s="925">
        <v>0</v>
      </c>
      <c r="Y991" s="925">
        <v>0</v>
      </c>
      <c r="Z991" s="921">
        <v>153385.44</v>
      </c>
      <c r="AA991" s="925">
        <v>0</v>
      </c>
    </row>
    <row r="992" spans="1:27" ht="103.5" customHeight="1">
      <c r="A992" s="1198" t="s">
        <v>1187</v>
      </c>
      <c r="B992" s="1199"/>
      <c r="C992" s="925">
        <f>SUM(C993:C1005)</f>
        <v>35375596.019999996</v>
      </c>
      <c r="D992" s="925">
        <f t="shared" ref="D992:AA992" si="219">SUM(D993:D1005)</f>
        <v>944906</v>
      </c>
      <c r="E992" s="925">
        <f t="shared" si="219"/>
        <v>0</v>
      </c>
      <c r="F992" s="925">
        <f t="shared" si="219"/>
        <v>0</v>
      </c>
      <c r="G992" s="925">
        <f t="shared" si="219"/>
        <v>0</v>
      </c>
      <c r="H992" s="925">
        <f t="shared" si="219"/>
        <v>0</v>
      </c>
      <c r="I992" s="925">
        <f t="shared" si="219"/>
        <v>0</v>
      </c>
      <c r="J992" s="925">
        <f t="shared" si="219"/>
        <v>944906</v>
      </c>
      <c r="K992" s="861">
        <f t="shared" si="219"/>
        <v>0</v>
      </c>
      <c r="L992" s="925">
        <f t="shared" si="219"/>
        <v>0</v>
      </c>
      <c r="M992" s="925">
        <f t="shared" si="219"/>
        <v>0</v>
      </c>
      <c r="N992" s="925">
        <f t="shared" si="219"/>
        <v>0</v>
      </c>
      <c r="O992" s="925">
        <f t="shared" si="219"/>
        <v>5098.9799999999996</v>
      </c>
      <c r="P992" s="925">
        <f t="shared" si="219"/>
        <v>21074787.82</v>
      </c>
      <c r="Q992" s="925">
        <f t="shared" si="219"/>
        <v>893.4</v>
      </c>
      <c r="R992" s="925">
        <f t="shared" si="219"/>
        <v>1207262</v>
      </c>
      <c r="S992" s="925">
        <f t="shared" si="219"/>
        <v>2300</v>
      </c>
      <c r="T992" s="925">
        <f t="shared" si="219"/>
        <v>9714751.3399999999</v>
      </c>
      <c r="U992" s="925">
        <f t="shared" si="219"/>
        <v>0</v>
      </c>
      <c r="V992" s="925">
        <f t="shared" si="219"/>
        <v>0</v>
      </c>
      <c r="W992" s="925">
        <f t="shared" si="219"/>
        <v>0</v>
      </c>
      <c r="X992" s="925">
        <f t="shared" si="219"/>
        <v>0</v>
      </c>
      <c r="Y992" s="925">
        <f t="shared" si="219"/>
        <v>0</v>
      </c>
      <c r="Z992" s="921">
        <f t="shared" si="219"/>
        <v>2433888.86</v>
      </c>
      <c r="AA992" s="925">
        <f t="shared" si="219"/>
        <v>0</v>
      </c>
    </row>
    <row r="993" spans="1:27" ht="89.25" customHeight="1">
      <c r="A993" s="927">
        <v>463</v>
      </c>
      <c r="B993" s="863" t="s">
        <v>1246</v>
      </c>
      <c r="C993" s="925">
        <f t="shared" ref="C993:C1005" si="220">D993+N993+P993+R993+T993+X993+Z993</f>
        <v>3257328.82</v>
      </c>
      <c r="D993" s="925">
        <f t="shared" ref="D993:D1005" si="221">SUM(E993:J993)</f>
        <v>0</v>
      </c>
      <c r="E993" s="925">
        <v>0</v>
      </c>
      <c r="F993" s="925">
        <v>0</v>
      </c>
      <c r="G993" s="925">
        <v>0</v>
      </c>
      <c r="H993" s="925">
        <v>0</v>
      </c>
      <c r="I993" s="925">
        <v>0</v>
      </c>
      <c r="J993" s="925">
        <v>0</v>
      </c>
      <c r="K993" s="861">
        <v>0</v>
      </c>
      <c r="L993" s="925">
        <v>0</v>
      </c>
      <c r="M993" s="925">
        <v>0</v>
      </c>
      <c r="N993" s="925">
        <v>0</v>
      </c>
      <c r="O993" s="925">
        <v>764</v>
      </c>
      <c r="P993" s="925">
        <v>3020733.3</v>
      </c>
      <c r="Q993" s="925">
        <v>0</v>
      </c>
      <c r="R993" s="925">
        <v>0</v>
      </c>
      <c r="S993" s="925">
        <v>0</v>
      </c>
      <c r="T993" s="925">
        <v>0</v>
      </c>
      <c r="U993" s="925">
        <v>0</v>
      </c>
      <c r="V993" s="925">
        <v>0</v>
      </c>
      <c r="W993" s="925">
        <v>0</v>
      </c>
      <c r="X993" s="925">
        <v>0</v>
      </c>
      <c r="Y993" s="925">
        <v>0</v>
      </c>
      <c r="Z993" s="921">
        <v>236595.52</v>
      </c>
      <c r="AA993" s="925">
        <v>0</v>
      </c>
    </row>
    <row r="994" spans="1:27" ht="103.5" customHeight="1">
      <c r="A994" s="927">
        <v>464</v>
      </c>
      <c r="B994" s="863" t="s">
        <v>1247</v>
      </c>
      <c r="C994" s="925">
        <f t="shared" si="220"/>
        <v>1206575.99</v>
      </c>
      <c r="D994" s="925">
        <f t="shared" si="221"/>
        <v>0</v>
      </c>
      <c r="E994" s="925">
        <v>0</v>
      </c>
      <c r="F994" s="925">
        <v>0</v>
      </c>
      <c r="G994" s="925">
        <v>0</v>
      </c>
      <c r="H994" s="925">
        <v>0</v>
      </c>
      <c r="I994" s="925">
        <v>0</v>
      </c>
      <c r="J994" s="925">
        <v>0</v>
      </c>
      <c r="K994" s="861">
        <v>0</v>
      </c>
      <c r="L994" s="925">
        <v>0</v>
      </c>
      <c r="M994" s="925">
        <v>0</v>
      </c>
      <c r="N994" s="925">
        <v>0</v>
      </c>
      <c r="O994" s="925">
        <v>283</v>
      </c>
      <c r="P994" s="925">
        <v>1118936.55</v>
      </c>
      <c r="Q994" s="925">
        <v>0</v>
      </c>
      <c r="R994" s="925">
        <v>0</v>
      </c>
      <c r="S994" s="925">
        <v>0</v>
      </c>
      <c r="T994" s="925">
        <v>0</v>
      </c>
      <c r="U994" s="925">
        <v>0</v>
      </c>
      <c r="V994" s="925">
        <v>0</v>
      </c>
      <c r="W994" s="925">
        <v>0</v>
      </c>
      <c r="X994" s="925">
        <v>0</v>
      </c>
      <c r="Y994" s="925">
        <v>0</v>
      </c>
      <c r="Z994" s="921">
        <v>87639.44</v>
      </c>
      <c r="AA994" s="925">
        <v>0</v>
      </c>
    </row>
    <row r="995" spans="1:27" ht="89.25" customHeight="1">
      <c r="A995" s="927">
        <v>465</v>
      </c>
      <c r="B995" s="863" t="s">
        <v>1246</v>
      </c>
      <c r="C995" s="925">
        <f t="shared" si="220"/>
        <v>2226132.06</v>
      </c>
      <c r="D995" s="925">
        <f t="shared" si="221"/>
        <v>0</v>
      </c>
      <c r="E995" s="925">
        <v>0</v>
      </c>
      <c r="F995" s="925">
        <v>0</v>
      </c>
      <c r="G995" s="925">
        <v>0</v>
      </c>
      <c r="H995" s="925">
        <v>0</v>
      </c>
      <c r="I995" s="925">
        <v>0</v>
      </c>
      <c r="J995" s="925">
        <v>0</v>
      </c>
      <c r="K995" s="861">
        <v>0</v>
      </c>
      <c r="L995" s="925">
        <v>0</v>
      </c>
      <c r="M995" s="925">
        <v>0</v>
      </c>
      <c r="N995" s="925">
        <v>0</v>
      </c>
      <c r="O995" s="925">
        <v>0</v>
      </c>
      <c r="P995" s="925">
        <v>0</v>
      </c>
      <c r="Q995" s="925">
        <v>0</v>
      </c>
      <c r="R995" s="925">
        <v>0</v>
      </c>
      <c r="S995" s="925">
        <v>704</v>
      </c>
      <c r="T995" s="925">
        <v>2064437.34</v>
      </c>
      <c r="U995" s="925">
        <v>0</v>
      </c>
      <c r="V995" s="925">
        <v>0</v>
      </c>
      <c r="W995" s="925">
        <v>0</v>
      </c>
      <c r="X995" s="925">
        <v>0</v>
      </c>
      <c r="Y995" s="925">
        <v>0</v>
      </c>
      <c r="Z995" s="921">
        <v>161694.72</v>
      </c>
      <c r="AA995" s="925">
        <v>0</v>
      </c>
    </row>
    <row r="996" spans="1:27" ht="112.5" customHeight="1">
      <c r="A996" s="927">
        <v>466</v>
      </c>
      <c r="B996" s="863" t="s">
        <v>1408</v>
      </c>
      <c r="C996" s="925">
        <f t="shared" si="220"/>
        <v>2520600.35</v>
      </c>
      <c r="D996" s="925">
        <f t="shared" si="221"/>
        <v>0</v>
      </c>
      <c r="E996" s="925">
        <v>0</v>
      </c>
      <c r="F996" s="925">
        <v>0</v>
      </c>
      <c r="G996" s="925">
        <v>0</v>
      </c>
      <c r="H996" s="925">
        <v>0</v>
      </c>
      <c r="I996" s="925">
        <v>0</v>
      </c>
      <c r="J996" s="925">
        <v>0</v>
      </c>
      <c r="K996" s="861">
        <v>0</v>
      </c>
      <c r="L996" s="925">
        <v>0</v>
      </c>
      <c r="M996" s="925">
        <v>0</v>
      </c>
      <c r="N996" s="925">
        <v>0</v>
      </c>
      <c r="O996" s="925">
        <v>621.38</v>
      </c>
      <c r="P996" s="925">
        <v>2337517.35</v>
      </c>
      <c r="Q996" s="925">
        <v>0</v>
      </c>
      <c r="R996" s="925">
        <v>0</v>
      </c>
      <c r="S996" s="925">
        <v>0</v>
      </c>
      <c r="T996" s="925">
        <v>0</v>
      </c>
      <c r="U996" s="925">
        <v>0</v>
      </c>
      <c r="V996" s="925">
        <v>0</v>
      </c>
      <c r="W996" s="925">
        <v>0</v>
      </c>
      <c r="X996" s="925">
        <v>0</v>
      </c>
      <c r="Y996" s="925">
        <v>0</v>
      </c>
      <c r="Z996" s="921">
        <v>183083</v>
      </c>
      <c r="AA996" s="925">
        <v>0</v>
      </c>
    </row>
    <row r="997" spans="1:27" ht="100.5" customHeight="1">
      <c r="A997" s="927">
        <v>467</v>
      </c>
      <c r="B997" s="863" t="s">
        <v>1409</v>
      </c>
      <c r="C997" s="925">
        <f t="shared" si="220"/>
        <v>3921488.08</v>
      </c>
      <c r="D997" s="925">
        <f t="shared" si="221"/>
        <v>0</v>
      </c>
      <c r="E997" s="925">
        <v>0</v>
      </c>
      <c r="F997" s="925">
        <v>0</v>
      </c>
      <c r="G997" s="925">
        <v>0</v>
      </c>
      <c r="H997" s="925">
        <v>0</v>
      </c>
      <c r="I997" s="925">
        <v>0</v>
      </c>
      <c r="J997" s="925">
        <v>0</v>
      </c>
      <c r="K997" s="861">
        <v>0</v>
      </c>
      <c r="L997" s="925">
        <v>0</v>
      </c>
      <c r="M997" s="925">
        <v>0</v>
      </c>
      <c r="N997" s="925">
        <v>0</v>
      </c>
      <c r="O997" s="925">
        <v>588</v>
      </c>
      <c r="P997" s="925">
        <v>3772263.08</v>
      </c>
      <c r="Q997" s="925">
        <v>0</v>
      </c>
      <c r="R997" s="925">
        <v>0</v>
      </c>
      <c r="S997" s="925">
        <v>0</v>
      </c>
      <c r="T997" s="925">
        <v>0</v>
      </c>
      <c r="U997" s="925">
        <v>0</v>
      </c>
      <c r="V997" s="925">
        <v>0</v>
      </c>
      <c r="W997" s="925">
        <v>0</v>
      </c>
      <c r="X997" s="925">
        <v>0</v>
      </c>
      <c r="Y997" s="925">
        <v>0</v>
      </c>
      <c r="Z997" s="921">
        <v>149225</v>
      </c>
      <c r="AA997" s="925">
        <v>0</v>
      </c>
    </row>
    <row r="998" spans="1:27" ht="68.25" customHeight="1">
      <c r="A998" s="927">
        <v>468</v>
      </c>
      <c r="B998" s="863" t="s">
        <v>1251</v>
      </c>
      <c r="C998" s="925">
        <f t="shared" si="220"/>
        <v>1499379</v>
      </c>
      <c r="D998" s="925">
        <f t="shared" si="221"/>
        <v>0</v>
      </c>
      <c r="E998" s="925">
        <v>0</v>
      </c>
      <c r="F998" s="925">
        <v>0</v>
      </c>
      <c r="G998" s="925">
        <v>0</v>
      </c>
      <c r="H998" s="925">
        <v>0</v>
      </c>
      <c r="I998" s="925">
        <v>0</v>
      </c>
      <c r="J998" s="925">
        <v>0</v>
      </c>
      <c r="K998" s="861">
        <v>0</v>
      </c>
      <c r="L998" s="925">
        <v>0</v>
      </c>
      <c r="M998" s="925">
        <v>0</v>
      </c>
      <c r="N998" s="925">
        <v>0</v>
      </c>
      <c r="O998" s="925">
        <v>441.6</v>
      </c>
      <c r="P998" s="925">
        <v>1390472</v>
      </c>
      <c r="Q998" s="925">
        <v>0</v>
      </c>
      <c r="R998" s="925">
        <v>0</v>
      </c>
      <c r="S998" s="925">
        <v>0</v>
      </c>
      <c r="T998" s="925">
        <v>0</v>
      </c>
      <c r="U998" s="925">
        <v>0</v>
      </c>
      <c r="V998" s="925">
        <v>0</v>
      </c>
      <c r="W998" s="925">
        <v>0</v>
      </c>
      <c r="X998" s="925">
        <v>0</v>
      </c>
      <c r="Y998" s="925">
        <v>0</v>
      </c>
      <c r="Z998" s="921">
        <v>108907</v>
      </c>
      <c r="AA998" s="925">
        <v>0</v>
      </c>
    </row>
    <row r="999" spans="1:27" ht="80.25" customHeight="1">
      <c r="A999" s="927">
        <v>469</v>
      </c>
      <c r="B999" s="863" t="s">
        <v>1410</v>
      </c>
      <c r="C999" s="925">
        <f t="shared" si="220"/>
        <v>2451843.83</v>
      </c>
      <c r="D999" s="925">
        <f t="shared" si="221"/>
        <v>0</v>
      </c>
      <c r="E999" s="925">
        <v>0</v>
      </c>
      <c r="F999" s="925">
        <v>0</v>
      </c>
      <c r="G999" s="925">
        <v>0</v>
      </c>
      <c r="H999" s="925">
        <v>0</v>
      </c>
      <c r="I999" s="925">
        <v>0</v>
      </c>
      <c r="J999" s="925">
        <v>0</v>
      </c>
      <c r="K999" s="861">
        <v>0</v>
      </c>
      <c r="L999" s="925">
        <v>0</v>
      </c>
      <c r="M999" s="925">
        <v>0</v>
      </c>
      <c r="N999" s="925">
        <v>0</v>
      </c>
      <c r="O999" s="925">
        <v>580</v>
      </c>
      <c r="P999" s="925">
        <v>2273754.5699999998</v>
      </c>
      <c r="Q999" s="925">
        <v>0</v>
      </c>
      <c r="R999" s="925">
        <v>0</v>
      </c>
      <c r="S999" s="925">
        <v>0</v>
      </c>
      <c r="T999" s="925">
        <v>0</v>
      </c>
      <c r="U999" s="925">
        <v>0</v>
      </c>
      <c r="V999" s="925">
        <v>0</v>
      </c>
      <c r="W999" s="925">
        <v>0</v>
      </c>
      <c r="X999" s="925">
        <v>0</v>
      </c>
      <c r="Y999" s="925">
        <v>0</v>
      </c>
      <c r="Z999" s="921">
        <v>178089.26</v>
      </c>
      <c r="AA999" s="925">
        <v>0</v>
      </c>
    </row>
    <row r="1000" spans="1:27" ht="103.5" customHeight="1">
      <c r="A1000" s="927">
        <v>470</v>
      </c>
      <c r="B1000" s="863" t="s">
        <v>1411</v>
      </c>
      <c r="C1000" s="925">
        <f t="shared" si="220"/>
        <v>1774387.33</v>
      </c>
      <c r="D1000" s="925">
        <f t="shared" si="221"/>
        <v>0</v>
      </c>
      <c r="E1000" s="925">
        <v>0</v>
      </c>
      <c r="F1000" s="925">
        <v>0</v>
      </c>
      <c r="G1000" s="925">
        <v>0</v>
      </c>
      <c r="H1000" s="925">
        <v>0</v>
      </c>
      <c r="I1000" s="925">
        <v>0</v>
      </c>
      <c r="J1000" s="925">
        <v>0</v>
      </c>
      <c r="K1000" s="861">
        <v>0</v>
      </c>
      <c r="L1000" s="925">
        <v>0</v>
      </c>
      <c r="M1000" s="925">
        <v>0</v>
      </c>
      <c r="N1000" s="925">
        <v>0</v>
      </c>
      <c r="O1000" s="925">
        <v>426</v>
      </c>
      <c r="P1000" s="925">
        <v>1645505.01</v>
      </c>
      <c r="Q1000" s="925">
        <v>0</v>
      </c>
      <c r="R1000" s="925">
        <v>0</v>
      </c>
      <c r="S1000" s="925">
        <v>0</v>
      </c>
      <c r="T1000" s="925">
        <v>0</v>
      </c>
      <c r="U1000" s="925">
        <v>0</v>
      </c>
      <c r="V1000" s="925">
        <v>0</v>
      </c>
      <c r="W1000" s="925">
        <v>0</v>
      </c>
      <c r="X1000" s="925">
        <v>0</v>
      </c>
      <c r="Y1000" s="925">
        <v>0</v>
      </c>
      <c r="Z1000" s="921">
        <v>128882.32</v>
      </c>
      <c r="AA1000" s="925">
        <v>0</v>
      </c>
    </row>
    <row r="1001" spans="1:27" ht="100.5" customHeight="1">
      <c r="A1001" s="927">
        <v>471</v>
      </c>
      <c r="B1001" s="863" t="s">
        <v>1846</v>
      </c>
      <c r="C1001" s="925">
        <f t="shared" si="220"/>
        <v>5947609.5599999996</v>
      </c>
      <c r="D1001" s="925">
        <f t="shared" si="221"/>
        <v>0</v>
      </c>
      <c r="E1001" s="925">
        <v>0</v>
      </c>
      <c r="F1001" s="925">
        <v>0</v>
      </c>
      <c r="G1001" s="925">
        <v>0</v>
      </c>
      <c r="H1001" s="925">
        <v>0</v>
      </c>
      <c r="I1001" s="925">
        <v>0</v>
      </c>
      <c r="J1001" s="925">
        <v>0</v>
      </c>
      <c r="K1001" s="861">
        <v>0</v>
      </c>
      <c r="L1001" s="925">
        <v>0</v>
      </c>
      <c r="M1001" s="925">
        <v>0</v>
      </c>
      <c r="N1001" s="925">
        <v>0</v>
      </c>
      <c r="O1001" s="925">
        <v>1395</v>
      </c>
      <c r="P1001" s="925">
        <v>5515605.96</v>
      </c>
      <c r="Q1001" s="925">
        <v>0</v>
      </c>
      <c r="R1001" s="925">
        <v>0</v>
      </c>
      <c r="S1001" s="925">
        <v>0</v>
      </c>
      <c r="T1001" s="925">
        <v>0</v>
      </c>
      <c r="U1001" s="925">
        <v>0</v>
      </c>
      <c r="V1001" s="925">
        <v>0</v>
      </c>
      <c r="W1001" s="925">
        <v>0</v>
      </c>
      <c r="X1001" s="925">
        <v>0</v>
      </c>
      <c r="Y1001" s="925">
        <v>0</v>
      </c>
      <c r="Z1001" s="921">
        <v>432003.6</v>
      </c>
      <c r="AA1001" s="925">
        <v>0</v>
      </c>
    </row>
    <row r="1002" spans="1:27" ht="107.25" customHeight="1">
      <c r="A1002" s="927">
        <v>472</v>
      </c>
      <c r="B1002" s="863" t="s">
        <v>1847</v>
      </c>
      <c r="C1002" s="925">
        <f t="shared" si="220"/>
        <v>4124758</v>
      </c>
      <c r="D1002" s="925">
        <f t="shared" si="221"/>
        <v>0</v>
      </c>
      <c r="E1002" s="925">
        <v>0</v>
      </c>
      <c r="F1002" s="925">
        <v>0</v>
      </c>
      <c r="G1002" s="925">
        <v>0</v>
      </c>
      <c r="H1002" s="925">
        <v>0</v>
      </c>
      <c r="I1002" s="925">
        <v>0</v>
      </c>
      <c r="J1002" s="925">
        <v>0</v>
      </c>
      <c r="K1002" s="861">
        <v>0</v>
      </c>
      <c r="L1002" s="925">
        <v>0</v>
      </c>
      <c r="M1002" s="925">
        <v>0</v>
      </c>
      <c r="N1002" s="925">
        <v>0</v>
      </c>
      <c r="O1002" s="925">
        <v>0</v>
      </c>
      <c r="P1002" s="925">
        <v>0</v>
      </c>
      <c r="Q1002" s="925">
        <v>0</v>
      </c>
      <c r="R1002" s="925">
        <v>0</v>
      </c>
      <c r="S1002" s="925">
        <v>798</v>
      </c>
      <c r="T1002" s="925">
        <v>3825157</v>
      </c>
      <c r="U1002" s="925">
        <v>0</v>
      </c>
      <c r="V1002" s="925">
        <v>0</v>
      </c>
      <c r="W1002" s="925">
        <v>0</v>
      </c>
      <c r="X1002" s="925">
        <v>0</v>
      </c>
      <c r="Y1002" s="925">
        <v>0</v>
      </c>
      <c r="Z1002" s="921">
        <v>299601</v>
      </c>
      <c r="AA1002" s="925">
        <v>0</v>
      </c>
    </row>
    <row r="1003" spans="1:27" ht="101.25" customHeight="1">
      <c r="A1003" s="927">
        <v>473</v>
      </c>
      <c r="B1003" s="863" t="s">
        <v>1848</v>
      </c>
      <c r="C1003" s="925">
        <f t="shared" si="220"/>
        <v>4124758</v>
      </c>
      <c r="D1003" s="925">
        <f t="shared" si="221"/>
        <v>0</v>
      </c>
      <c r="E1003" s="925">
        <v>0</v>
      </c>
      <c r="F1003" s="925">
        <v>0</v>
      </c>
      <c r="G1003" s="925">
        <v>0</v>
      </c>
      <c r="H1003" s="925">
        <v>0</v>
      </c>
      <c r="I1003" s="925">
        <v>0</v>
      </c>
      <c r="J1003" s="925">
        <v>0</v>
      </c>
      <c r="K1003" s="861">
        <v>0</v>
      </c>
      <c r="L1003" s="925">
        <v>0</v>
      </c>
      <c r="M1003" s="925">
        <v>0</v>
      </c>
      <c r="N1003" s="925">
        <v>0</v>
      </c>
      <c r="O1003" s="925">
        <v>0</v>
      </c>
      <c r="P1003" s="925">
        <v>0</v>
      </c>
      <c r="Q1003" s="925">
        <v>0</v>
      </c>
      <c r="R1003" s="925">
        <v>0</v>
      </c>
      <c r="S1003" s="925">
        <v>798</v>
      </c>
      <c r="T1003" s="925">
        <v>3825157</v>
      </c>
      <c r="U1003" s="925">
        <v>0</v>
      </c>
      <c r="V1003" s="925">
        <v>0</v>
      </c>
      <c r="W1003" s="925">
        <v>0</v>
      </c>
      <c r="X1003" s="925">
        <v>0</v>
      </c>
      <c r="Y1003" s="925">
        <v>0</v>
      </c>
      <c r="Z1003" s="921">
        <v>299601</v>
      </c>
      <c r="AA1003" s="925">
        <v>0</v>
      </c>
    </row>
    <row r="1004" spans="1:27" ht="68.25" customHeight="1">
      <c r="A1004" s="927">
        <v>474</v>
      </c>
      <c r="B1004" s="863" t="s">
        <v>1813</v>
      </c>
      <c r="C1004" s="925">
        <f t="shared" si="220"/>
        <v>1157140</v>
      </c>
      <c r="D1004" s="925">
        <f t="shared" si="221"/>
        <v>469460</v>
      </c>
      <c r="E1004" s="925">
        <v>0</v>
      </c>
      <c r="F1004" s="925">
        <v>0</v>
      </c>
      <c r="G1004" s="925">
        <v>0</v>
      </c>
      <c r="H1004" s="925">
        <v>0</v>
      </c>
      <c r="I1004" s="925">
        <v>0</v>
      </c>
      <c r="J1004" s="925">
        <v>469460</v>
      </c>
      <c r="K1004" s="861">
        <v>0</v>
      </c>
      <c r="L1004" s="925">
        <v>0</v>
      </c>
      <c r="M1004" s="925">
        <v>0</v>
      </c>
      <c r="N1004" s="925">
        <v>0</v>
      </c>
      <c r="O1004" s="925">
        <v>0</v>
      </c>
      <c r="P1004" s="925">
        <v>0</v>
      </c>
      <c r="Q1004" s="925">
        <v>446.7</v>
      </c>
      <c r="R1004" s="925">
        <v>603631</v>
      </c>
      <c r="S1004" s="925">
        <v>0</v>
      </c>
      <c r="T1004" s="925">
        <v>0</v>
      </c>
      <c r="U1004" s="925">
        <v>0</v>
      </c>
      <c r="V1004" s="925">
        <v>0</v>
      </c>
      <c r="W1004" s="925">
        <v>0</v>
      </c>
      <c r="X1004" s="925">
        <v>0</v>
      </c>
      <c r="Y1004" s="925">
        <v>0</v>
      </c>
      <c r="Z1004" s="921">
        <v>84049</v>
      </c>
      <c r="AA1004" s="925">
        <v>0</v>
      </c>
    </row>
    <row r="1005" spans="1:27" ht="74.25" customHeight="1">
      <c r="A1005" s="927">
        <v>475</v>
      </c>
      <c r="B1005" s="863" t="s">
        <v>1814</v>
      </c>
      <c r="C1005" s="925">
        <f t="shared" si="220"/>
        <v>1163595</v>
      </c>
      <c r="D1005" s="925">
        <f t="shared" si="221"/>
        <v>475446</v>
      </c>
      <c r="E1005" s="925">
        <v>0</v>
      </c>
      <c r="F1005" s="925">
        <v>0</v>
      </c>
      <c r="G1005" s="925">
        <v>0</v>
      </c>
      <c r="H1005" s="925">
        <v>0</v>
      </c>
      <c r="I1005" s="925">
        <v>0</v>
      </c>
      <c r="J1005" s="925">
        <v>475446</v>
      </c>
      <c r="K1005" s="861">
        <v>0</v>
      </c>
      <c r="L1005" s="925">
        <v>0</v>
      </c>
      <c r="M1005" s="925">
        <v>0</v>
      </c>
      <c r="N1005" s="925">
        <v>0</v>
      </c>
      <c r="O1005" s="925">
        <v>0</v>
      </c>
      <c r="P1005" s="925">
        <v>0</v>
      </c>
      <c r="Q1005" s="925">
        <v>446.7</v>
      </c>
      <c r="R1005" s="925">
        <v>603631</v>
      </c>
      <c r="S1005" s="925">
        <v>0</v>
      </c>
      <c r="T1005" s="925">
        <v>0</v>
      </c>
      <c r="U1005" s="925">
        <v>0</v>
      </c>
      <c r="V1005" s="925">
        <v>0</v>
      </c>
      <c r="W1005" s="925">
        <v>0</v>
      </c>
      <c r="X1005" s="925">
        <v>0</v>
      </c>
      <c r="Y1005" s="925">
        <v>0</v>
      </c>
      <c r="Z1005" s="921">
        <v>84518</v>
      </c>
      <c r="AA1005" s="925">
        <v>0</v>
      </c>
    </row>
    <row r="1006" spans="1:27" ht="90.75" customHeight="1">
      <c r="A1006" s="1198" t="s">
        <v>1975</v>
      </c>
      <c r="B1006" s="1199"/>
      <c r="C1006" s="925">
        <f>SUM(C1007:C1009)</f>
        <v>3395440.0700000003</v>
      </c>
      <c r="D1006" s="925">
        <f t="shared" ref="D1006:AA1006" si="222">SUM(D1007:D1009)</f>
        <v>446583.86</v>
      </c>
      <c r="E1006" s="925">
        <f t="shared" si="222"/>
        <v>0</v>
      </c>
      <c r="F1006" s="925">
        <f t="shared" si="222"/>
        <v>0</v>
      </c>
      <c r="G1006" s="925">
        <f t="shared" si="222"/>
        <v>0</v>
      </c>
      <c r="H1006" s="925">
        <f t="shared" si="222"/>
        <v>0</v>
      </c>
      <c r="I1006" s="925">
        <f t="shared" si="222"/>
        <v>0</v>
      </c>
      <c r="J1006" s="925">
        <f t="shared" si="222"/>
        <v>446583.86</v>
      </c>
      <c r="K1006" s="861">
        <f t="shared" si="222"/>
        <v>0</v>
      </c>
      <c r="L1006" s="925">
        <f t="shared" si="222"/>
        <v>0</v>
      </c>
      <c r="M1006" s="925">
        <f t="shared" si="222"/>
        <v>0</v>
      </c>
      <c r="N1006" s="925">
        <f t="shared" si="222"/>
        <v>0</v>
      </c>
      <c r="O1006" s="925">
        <f t="shared" si="222"/>
        <v>740.6</v>
      </c>
      <c r="P1006" s="925">
        <f t="shared" si="222"/>
        <v>2702229.0300000003</v>
      </c>
      <c r="Q1006" s="925">
        <f t="shared" si="222"/>
        <v>0</v>
      </c>
      <c r="R1006" s="925">
        <f t="shared" si="222"/>
        <v>0</v>
      </c>
      <c r="S1006" s="925">
        <f t="shared" si="222"/>
        <v>0</v>
      </c>
      <c r="T1006" s="925">
        <f t="shared" si="222"/>
        <v>0</v>
      </c>
      <c r="U1006" s="925">
        <f t="shared" si="222"/>
        <v>0</v>
      </c>
      <c r="V1006" s="925">
        <f t="shared" si="222"/>
        <v>0</v>
      </c>
      <c r="W1006" s="925">
        <f t="shared" si="222"/>
        <v>0</v>
      </c>
      <c r="X1006" s="925">
        <f t="shared" si="222"/>
        <v>0</v>
      </c>
      <c r="Y1006" s="925">
        <f t="shared" si="222"/>
        <v>0</v>
      </c>
      <c r="Z1006" s="921">
        <f t="shared" si="222"/>
        <v>246627.18</v>
      </c>
      <c r="AA1006" s="925">
        <f t="shared" si="222"/>
        <v>0</v>
      </c>
    </row>
    <row r="1007" spans="1:27" ht="106.5" customHeight="1">
      <c r="A1007" s="927">
        <v>476</v>
      </c>
      <c r="B1007" s="863" t="s">
        <v>1849</v>
      </c>
      <c r="C1007" s="925">
        <f>D1007+N1007+P1007+R1007+T1007+X1007+Z1007</f>
        <v>1558743</v>
      </c>
      <c r="D1007" s="925">
        <f>SUM(E1007:J1007)</f>
        <v>0</v>
      </c>
      <c r="E1007" s="925">
        <v>0</v>
      </c>
      <c r="F1007" s="925">
        <v>0</v>
      </c>
      <c r="G1007" s="925">
        <v>0</v>
      </c>
      <c r="H1007" s="925">
        <v>0</v>
      </c>
      <c r="I1007" s="925">
        <v>0</v>
      </c>
      <c r="J1007" s="925">
        <v>0</v>
      </c>
      <c r="K1007" s="861">
        <v>0</v>
      </c>
      <c r="L1007" s="925">
        <v>0</v>
      </c>
      <c r="M1007" s="925">
        <v>0</v>
      </c>
      <c r="N1007" s="925">
        <v>0</v>
      </c>
      <c r="O1007" s="925">
        <v>365.6</v>
      </c>
      <c r="P1007" s="925">
        <v>1445524</v>
      </c>
      <c r="Q1007" s="925">
        <v>0</v>
      </c>
      <c r="R1007" s="925">
        <v>0</v>
      </c>
      <c r="S1007" s="925">
        <v>0</v>
      </c>
      <c r="T1007" s="925">
        <v>0</v>
      </c>
      <c r="U1007" s="925">
        <v>0</v>
      </c>
      <c r="V1007" s="925">
        <v>0</v>
      </c>
      <c r="W1007" s="925">
        <v>0</v>
      </c>
      <c r="X1007" s="925">
        <v>0</v>
      </c>
      <c r="Y1007" s="925">
        <v>0</v>
      </c>
      <c r="Z1007" s="921">
        <v>113219</v>
      </c>
      <c r="AA1007" s="925">
        <v>0</v>
      </c>
    </row>
    <row r="1008" spans="1:27" ht="106.5" customHeight="1">
      <c r="A1008" s="927">
        <v>477</v>
      </c>
      <c r="B1008" s="863" t="s">
        <v>1850</v>
      </c>
      <c r="C1008" s="925">
        <f>D1008+N1008+P1008+R1008+T1008+X1008+Z1008</f>
        <v>1355135.03</v>
      </c>
      <c r="D1008" s="925">
        <f>SUM(E1008:J1008)</f>
        <v>0</v>
      </c>
      <c r="E1008" s="925">
        <v>0</v>
      </c>
      <c r="F1008" s="925">
        <v>0</v>
      </c>
      <c r="G1008" s="925">
        <v>0</v>
      </c>
      <c r="H1008" s="925">
        <v>0</v>
      </c>
      <c r="I1008" s="925">
        <v>0</v>
      </c>
      <c r="J1008" s="925">
        <v>0</v>
      </c>
      <c r="K1008" s="861">
        <v>0</v>
      </c>
      <c r="L1008" s="925">
        <v>0</v>
      </c>
      <c r="M1008" s="925">
        <v>0</v>
      </c>
      <c r="N1008" s="925">
        <v>0</v>
      </c>
      <c r="O1008" s="925">
        <v>375</v>
      </c>
      <c r="P1008" s="925">
        <v>1256705.03</v>
      </c>
      <c r="Q1008" s="925">
        <v>0</v>
      </c>
      <c r="R1008" s="925">
        <v>0</v>
      </c>
      <c r="S1008" s="925">
        <v>0</v>
      </c>
      <c r="T1008" s="925">
        <v>0</v>
      </c>
      <c r="U1008" s="925">
        <v>0</v>
      </c>
      <c r="V1008" s="925">
        <v>0</v>
      </c>
      <c r="W1008" s="925">
        <v>0</v>
      </c>
      <c r="X1008" s="925">
        <v>0</v>
      </c>
      <c r="Y1008" s="925">
        <v>0</v>
      </c>
      <c r="Z1008" s="921">
        <v>98430</v>
      </c>
      <c r="AA1008" s="925">
        <v>0</v>
      </c>
    </row>
    <row r="1009" spans="1:27" ht="106.5" customHeight="1">
      <c r="A1009" s="927">
        <v>478</v>
      </c>
      <c r="B1009" s="863" t="s">
        <v>642</v>
      </c>
      <c r="C1009" s="925">
        <f>D1009+N1009+P1009+R1009+T1009+X1009+Z1009</f>
        <v>481562.04</v>
      </c>
      <c r="D1009" s="925">
        <f>SUM(E1009:J1009)</f>
        <v>446583.86</v>
      </c>
      <c r="E1009" s="925">
        <v>0</v>
      </c>
      <c r="F1009" s="925">
        <v>0</v>
      </c>
      <c r="G1009" s="925">
        <v>0</v>
      </c>
      <c r="H1009" s="925">
        <v>0</v>
      </c>
      <c r="I1009" s="925">
        <v>0</v>
      </c>
      <c r="J1009" s="925">
        <v>446583.86</v>
      </c>
      <c r="K1009" s="861">
        <v>0</v>
      </c>
      <c r="L1009" s="925">
        <v>0</v>
      </c>
      <c r="M1009" s="925">
        <v>0</v>
      </c>
      <c r="N1009" s="925">
        <v>0</v>
      </c>
      <c r="O1009" s="925">
        <v>0</v>
      </c>
      <c r="P1009" s="925">
        <v>0</v>
      </c>
      <c r="Q1009" s="925">
        <v>0</v>
      </c>
      <c r="R1009" s="925">
        <v>0</v>
      </c>
      <c r="S1009" s="925">
        <v>0</v>
      </c>
      <c r="T1009" s="925">
        <v>0</v>
      </c>
      <c r="U1009" s="925">
        <v>0</v>
      </c>
      <c r="V1009" s="925">
        <v>0</v>
      </c>
      <c r="W1009" s="925">
        <v>0</v>
      </c>
      <c r="X1009" s="925">
        <v>0</v>
      </c>
      <c r="Y1009" s="925">
        <v>0</v>
      </c>
      <c r="Z1009" s="921">
        <v>34978.18</v>
      </c>
      <c r="AA1009" s="925">
        <v>0</v>
      </c>
    </row>
    <row r="1010" spans="1:27" ht="88.5" customHeight="1">
      <c r="A1010" s="1198" t="s">
        <v>207</v>
      </c>
      <c r="B1010" s="1199"/>
      <c r="C1010" s="925">
        <f>SUM(C1011:C1017)</f>
        <v>37279404.839999996</v>
      </c>
      <c r="D1010" s="925">
        <f t="shared" ref="D1010:AA1010" si="223">SUM(D1011:D1017)</f>
        <v>0</v>
      </c>
      <c r="E1010" s="925">
        <f t="shared" si="223"/>
        <v>0</v>
      </c>
      <c r="F1010" s="925">
        <f t="shared" si="223"/>
        <v>0</v>
      </c>
      <c r="G1010" s="925">
        <f t="shared" si="223"/>
        <v>0</v>
      </c>
      <c r="H1010" s="925">
        <f t="shared" si="223"/>
        <v>0</v>
      </c>
      <c r="I1010" s="925">
        <f t="shared" si="223"/>
        <v>0</v>
      </c>
      <c r="J1010" s="925">
        <f t="shared" si="223"/>
        <v>0</v>
      </c>
      <c r="K1010" s="861">
        <f t="shared" si="223"/>
        <v>0</v>
      </c>
      <c r="L1010" s="925">
        <f t="shared" si="223"/>
        <v>0</v>
      </c>
      <c r="M1010" s="925">
        <f t="shared" si="223"/>
        <v>6</v>
      </c>
      <c r="N1010" s="925">
        <f t="shared" si="223"/>
        <v>16079622.370000001</v>
      </c>
      <c r="O1010" s="925">
        <f t="shared" si="223"/>
        <v>5006.1000000000004</v>
      </c>
      <c r="P1010" s="925">
        <f t="shared" si="223"/>
        <v>18491999.289999999</v>
      </c>
      <c r="Q1010" s="925">
        <f t="shared" si="223"/>
        <v>0</v>
      </c>
      <c r="R1010" s="925">
        <f t="shared" si="223"/>
        <v>0</v>
      </c>
      <c r="S1010" s="925">
        <f t="shared" si="223"/>
        <v>0</v>
      </c>
      <c r="T1010" s="925">
        <f t="shared" si="223"/>
        <v>0</v>
      </c>
      <c r="U1010" s="925">
        <f t="shared" si="223"/>
        <v>0</v>
      </c>
      <c r="V1010" s="925">
        <f t="shared" si="223"/>
        <v>0</v>
      </c>
      <c r="W1010" s="925">
        <f t="shared" si="223"/>
        <v>0</v>
      </c>
      <c r="X1010" s="925">
        <f t="shared" si="223"/>
        <v>0</v>
      </c>
      <c r="Y1010" s="925">
        <f t="shared" si="223"/>
        <v>0</v>
      </c>
      <c r="Z1010" s="921">
        <f t="shared" si="223"/>
        <v>2707783.18</v>
      </c>
      <c r="AA1010" s="925">
        <f t="shared" si="223"/>
        <v>0</v>
      </c>
    </row>
    <row r="1011" spans="1:27" ht="115.5" customHeight="1">
      <c r="A1011" s="927">
        <v>479</v>
      </c>
      <c r="B1011" s="863" t="s">
        <v>1109</v>
      </c>
      <c r="C1011" s="925">
        <f>D1011+N1011+P1011+R1011+T1011+X1011+Z1011</f>
        <v>8669520.3100000005</v>
      </c>
      <c r="D1011" s="925">
        <f>SUM(E1011:J1011)</f>
        <v>0</v>
      </c>
      <c r="E1011" s="925">
        <v>0</v>
      </c>
      <c r="F1011" s="925">
        <v>0</v>
      </c>
      <c r="G1011" s="925">
        <v>0</v>
      </c>
      <c r="H1011" s="925">
        <v>0</v>
      </c>
      <c r="I1011" s="925">
        <v>0</v>
      </c>
      <c r="J1011" s="925">
        <v>0</v>
      </c>
      <c r="K1011" s="861">
        <v>0</v>
      </c>
      <c r="L1011" s="925">
        <v>0</v>
      </c>
      <c r="M1011" s="925">
        <v>3</v>
      </c>
      <c r="N1011" s="925">
        <v>8039811.1900000004</v>
      </c>
      <c r="O1011" s="925">
        <v>0</v>
      </c>
      <c r="P1011" s="925">
        <v>0</v>
      </c>
      <c r="Q1011" s="925">
        <v>0</v>
      </c>
      <c r="R1011" s="925">
        <v>0</v>
      </c>
      <c r="S1011" s="925">
        <v>0</v>
      </c>
      <c r="T1011" s="925">
        <v>0</v>
      </c>
      <c r="U1011" s="925">
        <v>0</v>
      </c>
      <c r="V1011" s="925">
        <v>0</v>
      </c>
      <c r="W1011" s="925">
        <v>0</v>
      </c>
      <c r="X1011" s="925">
        <v>0</v>
      </c>
      <c r="Y1011" s="925">
        <v>0</v>
      </c>
      <c r="Z1011" s="921">
        <v>629709.12</v>
      </c>
      <c r="AA1011" s="925">
        <v>0</v>
      </c>
    </row>
    <row r="1012" spans="1:27" ht="115.5" customHeight="1">
      <c r="A1012" s="927">
        <v>480</v>
      </c>
      <c r="B1012" s="863" t="s">
        <v>1851</v>
      </c>
      <c r="C1012" s="925">
        <f t="shared" ref="C1012:C1017" si="224">D1012+N1012+P1012+R1012+T1012+X1012+Z1012</f>
        <v>2889840.1</v>
      </c>
      <c r="D1012" s="925">
        <f t="shared" ref="D1012:D1017" si="225">SUM(E1012:J1012)</f>
        <v>0</v>
      </c>
      <c r="E1012" s="925">
        <v>0</v>
      </c>
      <c r="F1012" s="925">
        <v>0</v>
      </c>
      <c r="G1012" s="925">
        <v>0</v>
      </c>
      <c r="H1012" s="925">
        <v>0</v>
      </c>
      <c r="I1012" s="925">
        <v>0</v>
      </c>
      <c r="J1012" s="925">
        <v>0</v>
      </c>
      <c r="K1012" s="861">
        <v>0</v>
      </c>
      <c r="L1012" s="925">
        <v>0</v>
      </c>
      <c r="M1012" s="925">
        <v>1</v>
      </c>
      <c r="N1012" s="925">
        <v>2679937.06</v>
      </c>
      <c r="O1012" s="925">
        <v>0</v>
      </c>
      <c r="P1012" s="925">
        <v>0</v>
      </c>
      <c r="Q1012" s="925">
        <v>0</v>
      </c>
      <c r="R1012" s="925">
        <v>0</v>
      </c>
      <c r="S1012" s="925">
        <v>0</v>
      </c>
      <c r="T1012" s="925">
        <v>0</v>
      </c>
      <c r="U1012" s="925">
        <v>0</v>
      </c>
      <c r="V1012" s="925">
        <v>0</v>
      </c>
      <c r="W1012" s="925">
        <v>0</v>
      </c>
      <c r="X1012" s="925">
        <v>0</v>
      </c>
      <c r="Y1012" s="925">
        <v>0</v>
      </c>
      <c r="Z1012" s="921">
        <v>209903.04</v>
      </c>
      <c r="AA1012" s="925">
        <v>0</v>
      </c>
    </row>
    <row r="1013" spans="1:27" ht="109.5" customHeight="1">
      <c r="A1013" s="927">
        <v>481</v>
      </c>
      <c r="B1013" s="863" t="s">
        <v>1852</v>
      </c>
      <c r="C1013" s="925">
        <f t="shared" si="224"/>
        <v>2889840.1</v>
      </c>
      <c r="D1013" s="925">
        <f t="shared" si="225"/>
        <v>0</v>
      </c>
      <c r="E1013" s="925">
        <v>0</v>
      </c>
      <c r="F1013" s="925">
        <v>0</v>
      </c>
      <c r="G1013" s="925">
        <v>0</v>
      </c>
      <c r="H1013" s="925">
        <v>0</v>
      </c>
      <c r="I1013" s="925">
        <v>0</v>
      </c>
      <c r="J1013" s="925">
        <v>0</v>
      </c>
      <c r="K1013" s="861">
        <v>0</v>
      </c>
      <c r="L1013" s="925">
        <v>0</v>
      </c>
      <c r="M1013" s="925">
        <v>1</v>
      </c>
      <c r="N1013" s="925">
        <v>2679937.06</v>
      </c>
      <c r="O1013" s="925">
        <v>0</v>
      </c>
      <c r="P1013" s="925">
        <v>0</v>
      </c>
      <c r="Q1013" s="925">
        <v>0</v>
      </c>
      <c r="R1013" s="925">
        <v>0</v>
      </c>
      <c r="S1013" s="925">
        <v>0</v>
      </c>
      <c r="T1013" s="925">
        <v>0</v>
      </c>
      <c r="U1013" s="925">
        <v>0</v>
      </c>
      <c r="V1013" s="925">
        <v>0</v>
      </c>
      <c r="W1013" s="925">
        <v>0</v>
      </c>
      <c r="X1013" s="925">
        <v>0</v>
      </c>
      <c r="Y1013" s="925">
        <v>0</v>
      </c>
      <c r="Z1013" s="921">
        <v>209903.04</v>
      </c>
      <c r="AA1013" s="925">
        <v>0</v>
      </c>
    </row>
    <row r="1014" spans="1:27" ht="65.25" customHeight="1">
      <c r="A1014" s="927">
        <v>482</v>
      </c>
      <c r="B1014" s="863" t="s">
        <v>517</v>
      </c>
      <c r="C1014" s="925">
        <f t="shared" si="224"/>
        <v>2889840.1</v>
      </c>
      <c r="D1014" s="925">
        <f t="shared" si="225"/>
        <v>0</v>
      </c>
      <c r="E1014" s="925">
        <v>0</v>
      </c>
      <c r="F1014" s="925">
        <v>0</v>
      </c>
      <c r="G1014" s="925">
        <v>0</v>
      </c>
      <c r="H1014" s="925">
        <v>0</v>
      </c>
      <c r="I1014" s="925">
        <v>0</v>
      </c>
      <c r="J1014" s="925">
        <v>0</v>
      </c>
      <c r="K1014" s="861">
        <v>0</v>
      </c>
      <c r="L1014" s="925">
        <v>0</v>
      </c>
      <c r="M1014" s="925">
        <v>1</v>
      </c>
      <c r="N1014" s="925">
        <v>2679937.06</v>
      </c>
      <c r="O1014" s="925">
        <v>0</v>
      </c>
      <c r="P1014" s="925">
        <v>0</v>
      </c>
      <c r="Q1014" s="925">
        <v>0</v>
      </c>
      <c r="R1014" s="925">
        <v>0</v>
      </c>
      <c r="S1014" s="925">
        <v>0</v>
      </c>
      <c r="T1014" s="925">
        <v>0</v>
      </c>
      <c r="U1014" s="925">
        <v>0</v>
      </c>
      <c r="V1014" s="925">
        <v>0</v>
      </c>
      <c r="W1014" s="925">
        <v>0</v>
      </c>
      <c r="X1014" s="925">
        <v>0</v>
      </c>
      <c r="Y1014" s="925">
        <v>0</v>
      </c>
      <c r="Z1014" s="921">
        <v>209903.04</v>
      </c>
      <c r="AA1014" s="925">
        <v>0</v>
      </c>
    </row>
    <row r="1015" spans="1:27" ht="106.5" customHeight="1">
      <c r="A1015" s="927">
        <v>483</v>
      </c>
      <c r="B1015" s="863" t="s">
        <v>1170</v>
      </c>
      <c r="C1015" s="925">
        <f t="shared" si="224"/>
        <v>4747568.4000000004</v>
      </c>
      <c r="D1015" s="925">
        <f t="shared" si="225"/>
        <v>0</v>
      </c>
      <c r="E1015" s="925">
        <v>0</v>
      </c>
      <c r="F1015" s="925">
        <v>0</v>
      </c>
      <c r="G1015" s="925">
        <v>0</v>
      </c>
      <c r="H1015" s="925">
        <v>0</v>
      </c>
      <c r="I1015" s="925">
        <v>0</v>
      </c>
      <c r="J1015" s="925">
        <v>0</v>
      </c>
      <c r="K1015" s="861">
        <v>0</v>
      </c>
      <c r="L1015" s="925">
        <v>0</v>
      </c>
      <c r="M1015" s="925">
        <v>0</v>
      </c>
      <c r="N1015" s="925">
        <v>0</v>
      </c>
      <c r="O1015" s="925">
        <v>924.6</v>
      </c>
      <c r="P1015" s="925">
        <v>4402729.58</v>
      </c>
      <c r="Q1015" s="925">
        <v>0</v>
      </c>
      <c r="R1015" s="925">
        <v>0</v>
      </c>
      <c r="S1015" s="925">
        <v>0</v>
      </c>
      <c r="T1015" s="925">
        <v>0</v>
      </c>
      <c r="U1015" s="925">
        <v>0</v>
      </c>
      <c r="V1015" s="925">
        <v>0</v>
      </c>
      <c r="W1015" s="925">
        <v>0</v>
      </c>
      <c r="X1015" s="925">
        <v>0</v>
      </c>
      <c r="Y1015" s="925">
        <v>0</v>
      </c>
      <c r="Z1015" s="921">
        <v>344838.82</v>
      </c>
      <c r="AA1015" s="925">
        <v>0</v>
      </c>
    </row>
    <row r="1016" spans="1:27" ht="83.25" customHeight="1">
      <c r="A1016" s="927">
        <v>484</v>
      </c>
      <c r="B1016" s="863" t="s">
        <v>1171</v>
      </c>
      <c r="C1016" s="925">
        <f t="shared" si="224"/>
        <v>12282943.84</v>
      </c>
      <c r="D1016" s="925">
        <f t="shared" si="225"/>
        <v>0</v>
      </c>
      <c r="E1016" s="925">
        <v>0</v>
      </c>
      <c r="F1016" s="925">
        <v>0</v>
      </c>
      <c r="G1016" s="925">
        <v>0</v>
      </c>
      <c r="H1016" s="925">
        <v>0</v>
      </c>
      <c r="I1016" s="925">
        <v>0</v>
      </c>
      <c r="J1016" s="925">
        <v>0</v>
      </c>
      <c r="K1016" s="861">
        <v>0</v>
      </c>
      <c r="L1016" s="925">
        <v>0</v>
      </c>
      <c r="M1016" s="925">
        <v>0</v>
      </c>
      <c r="N1016" s="925">
        <v>0</v>
      </c>
      <c r="O1016" s="925">
        <v>3399</v>
      </c>
      <c r="P1016" s="925">
        <v>11390774.32</v>
      </c>
      <c r="Q1016" s="925">
        <v>0</v>
      </c>
      <c r="R1016" s="925">
        <v>0</v>
      </c>
      <c r="S1016" s="925">
        <v>0</v>
      </c>
      <c r="T1016" s="925">
        <v>0</v>
      </c>
      <c r="U1016" s="925">
        <v>0</v>
      </c>
      <c r="V1016" s="925">
        <v>0</v>
      </c>
      <c r="W1016" s="925">
        <v>0</v>
      </c>
      <c r="X1016" s="925">
        <v>0</v>
      </c>
      <c r="Y1016" s="925">
        <v>0</v>
      </c>
      <c r="Z1016" s="921">
        <v>892169.52</v>
      </c>
      <c r="AA1016" s="925">
        <v>0</v>
      </c>
    </row>
    <row r="1017" spans="1:27" ht="71.25" customHeight="1">
      <c r="A1017" s="927">
        <v>485</v>
      </c>
      <c r="B1017" s="863" t="s">
        <v>1172</v>
      </c>
      <c r="C1017" s="925">
        <f t="shared" si="224"/>
        <v>2909851.99</v>
      </c>
      <c r="D1017" s="925">
        <f t="shared" si="225"/>
        <v>0</v>
      </c>
      <c r="E1017" s="925">
        <v>0</v>
      </c>
      <c r="F1017" s="925">
        <v>0</v>
      </c>
      <c r="G1017" s="925">
        <v>0</v>
      </c>
      <c r="H1017" s="925">
        <v>0</v>
      </c>
      <c r="I1017" s="925">
        <v>0</v>
      </c>
      <c r="J1017" s="925">
        <v>0</v>
      </c>
      <c r="K1017" s="861">
        <v>0</v>
      </c>
      <c r="L1017" s="925">
        <v>0</v>
      </c>
      <c r="M1017" s="925">
        <v>0</v>
      </c>
      <c r="N1017" s="925">
        <v>0</v>
      </c>
      <c r="O1017" s="925">
        <v>682.5</v>
      </c>
      <c r="P1017" s="925">
        <v>2698495.39</v>
      </c>
      <c r="Q1017" s="925">
        <v>0</v>
      </c>
      <c r="R1017" s="925">
        <v>0</v>
      </c>
      <c r="S1017" s="925">
        <v>0</v>
      </c>
      <c r="T1017" s="925">
        <v>0</v>
      </c>
      <c r="U1017" s="925">
        <v>0</v>
      </c>
      <c r="V1017" s="925">
        <v>0</v>
      </c>
      <c r="W1017" s="925">
        <v>0</v>
      </c>
      <c r="X1017" s="925">
        <v>0</v>
      </c>
      <c r="Y1017" s="925">
        <v>0</v>
      </c>
      <c r="Z1017" s="921">
        <v>211356.6</v>
      </c>
      <c r="AA1017" s="925">
        <v>0</v>
      </c>
    </row>
    <row r="1018" spans="1:27" ht="110.25" customHeight="1">
      <c r="A1018" s="1198" t="s">
        <v>2056</v>
      </c>
      <c r="B1018" s="1199"/>
      <c r="C1018" s="925">
        <f>SUM(C1019:C1023)</f>
        <v>8147343.54</v>
      </c>
      <c r="D1018" s="925">
        <f t="shared" ref="D1018:AA1018" si="226">SUM(D1019:D1023)</f>
        <v>946094.92999999993</v>
      </c>
      <c r="E1018" s="925">
        <f t="shared" si="226"/>
        <v>946094.92999999993</v>
      </c>
      <c r="F1018" s="925">
        <f t="shared" si="226"/>
        <v>0</v>
      </c>
      <c r="G1018" s="925">
        <f t="shared" si="226"/>
        <v>0</v>
      </c>
      <c r="H1018" s="925">
        <f t="shared" si="226"/>
        <v>0</v>
      </c>
      <c r="I1018" s="925">
        <f t="shared" si="226"/>
        <v>0</v>
      </c>
      <c r="J1018" s="925">
        <f t="shared" si="226"/>
        <v>0</v>
      </c>
      <c r="K1018" s="861">
        <f t="shared" si="226"/>
        <v>0</v>
      </c>
      <c r="L1018" s="925">
        <f t="shared" si="226"/>
        <v>0</v>
      </c>
      <c r="M1018" s="925">
        <f t="shared" si="226"/>
        <v>0</v>
      </c>
      <c r="N1018" s="925">
        <f t="shared" si="226"/>
        <v>0</v>
      </c>
      <c r="O1018" s="925">
        <f t="shared" si="226"/>
        <v>1404</v>
      </c>
      <c r="P1018" s="925">
        <f t="shared" si="226"/>
        <v>6640841.3300000001</v>
      </c>
      <c r="Q1018" s="925">
        <f t="shared" si="226"/>
        <v>0</v>
      </c>
      <c r="R1018" s="925">
        <f t="shared" si="226"/>
        <v>0</v>
      </c>
      <c r="S1018" s="925">
        <f t="shared" si="226"/>
        <v>0</v>
      </c>
      <c r="T1018" s="925">
        <f t="shared" si="226"/>
        <v>0</v>
      </c>
      <c r="U1018" s="925">
        <f t="shared" si="226"/>
        <v>0</v>
      </c>
      <c r="V1018" s="925">
        <f t="shared" si="226"/>
        <v>0</v>
      </c>
      <c r="W1018" s="925">
        <f t="shared" si="226"/>
        <v>0</v>
      </c>
      <c r="X1018" s="925">
        <f t="shared" si="226"/>
        <v>0</v>
      </c>
      <c r="Y1018" s="925">
        <f t="shared" si="226"/>
        <v>0</v>
      </c>
      <c r="Z1018" s="921">
        <f t="shared" si="226"/>
        <v>560407.28</v>
      </c>
      <c r="AA1018" s="925">
        <f t="shared" si="226"/>
        <v>0</v>
      </c>
    </row>
    <row r="1019" spans="1:27" ht="121.5" customHeight="1">
      <c r="A1019" s="927">
        <v>486</v>
      </c>
      <c r="B1019" s="863" t="s">
        <v>1224</v>
      </c>
      <c r="C1019" s="925">
        <f>P1019+Z1019</f>
        <v>2616565.59</v>
      </c>
      <c r="D1019" s="925">
        <v>0</v>
      </c>
      <c r="E1019" s="925">
        <v>0</v>
      </c>
      <c r="F1019" s="925">
        <v>0</v>
      </c>
      <c r="G1019" s="925">
        <v>0</v>
      </c>
      <c r="H1019" s="925">
        <v>0</v>
      </c>
      <c r="I1019" s="925">
        <v>0</v>
      </c>
      <c r="J1019" s="925">
        <v>0</v>
      </c>
      <c r="K1019" s="861">
        <v>0</v>
      </c>
      <c r="L1019" s="925">
        <v>0</v>
      </c>
      <c r="M1019" s="925">
        <v>0</v>
      </c>
      <c r="N1019" s="925">
        <v>0</v>
      </c>
      <c r="O1019" s="925">
        <v>597.20000000000005</v>
      </c>
      <c r="P1019" s="925">
        <v>2457885.56</v>
      </c>
      <c r="Q1019" s="925">
        <v>0</v>
      </c>
      <c r="R1019" s="925">
        <v>0</v>
      </c>
      <c r="S1019" s="925">
        <v>0</v>
      </c>
      <c r="T1019" s="925">
        <v>0</v>
      </c>
      <c r="U1019" s="925">
        <v>0</v>
      </c>
      <c r="V1019" s="925">
        <v>0</v>
      </c>
      <c r="W1019" s="925">
        <v>0</v>
      </c>
      <c r="X1019" s="925">
        <v>0</v>
      </c>
      <c r="Y1019" s="925">
        <v>0</v>
      </c>
      <c r="Z1019" s="921">
        <v>158680.03</v>
      </c>
      <c r="AA1019" s="925">
        <v>0</v>
      </c>
    </row>
    <row r="1020" spans="1:27" ht="112.5" customHeight="1">
      <c r="A1020" s="927">
        <v>487</v>
      </c>
      <c r="B1020" s="863" t="s">
        <v>1225</v>
      </c>
      <c r="C1020" s="925">
        <f>P1020+Z1020</f>
        <v>1719903</v>
      </c>
      <c r="D1020" s="925">
        <v>0</v>
      </c>
      <c r="E1020" s="925">
        <v>0</v>
      </c>
      <c r="F1020" s="925">
        <v>0</v>
      </c>
      <c r="G1020" s="925">
        <v>0</v>
      </c>
      <c r="H1020" s="925">
        <v>0</v>
      </c>
      <c r="I1020" s="925">
        <v>0</v>
      </c>
      <c r="J1020" s="925">
        <v>0</v>
      </c>
      <c r="K1020" s="861">
        <v>0</v>
      </c>
      <c r="L1020" s="925">
        <v>0</v>
      </c>
      <c r="M1020" s="925">
        <v>0</v>
      </c>
      <c r="N1020" s="925">
        <v>0</v>
      </c>
      <c r="O1020" s="925">
        <v>403.4</v>
      </c>
      <c r="P1020" s="925">
        <v>1594978</v>
      </c>
      <c r="Q1020" s="925">
        <v>0</v>
      </c>
      <c r="R1020" s="925">
        <v>0</v>
      </c>
      <c r="S1020" s="925">
        <v>0</v>
      </c>
      <c r="T1020" s="925">
        <v>0</v>
      </c>
      <c r="U1020" s="925">
        <v>0</v>
      </c>
      <c r="V1020" s="925">
        <v>0</v>
      </c>
      <c r="W1020" s="925">
        <v>0</v>
      </c>
      <c r="X1020" s="925">
        <v>0</v>
      </c>
      <c r="Y1020" s="925">
        <v>0</v>
      </c>
      <c r="Z1020" s="921">
        <v>124925</v>
      </c>
      <c r="AA1020" s="925">
        <v>0</v>
      </c>
    </row>
    <row r="1021" spans="1:27" ht="94.5" customHeight="1">
      <c r="A1021" s="927">
        <v>488</v>
      </c>
      <c r="B1021" s="863" t="s">
        <v>1232</v>
      </c>
      <c r="C1021" s="925">
        <f>P1021+Z1021</f>
        <v>2790678.2</v>
      </c>
      <c r="D1021" s="925">
        <v>0</v>
      </c>
      <c r="E1021" s="925">
        <v>0</v>
      </c>
      <c r="F1021" s="925">
        <v>0</v>
      </c>
      <c r="G1021" s="925">
        <v>0</v>
      </c>
      <c r="H1021" s="925">
        <v>0</v>
      </c>
      <c r="I1021" s="925">
        <v>0</v>
      </c>
      <c r="J1021" s="925">
        <v>0</v>
      </c>
      <c r="K1021" s="861">
        <v>0</v>
      </c>
      <c r="L1021" s="925">
        <v>0</v>
      </c>
      <c r="M1021" s="925">
        <v>0</v>
      </c>
      <c r="N1021" s="925">
        <v>0</v>
      </c>
      <c r="O1021" s="925">
        <v>403.4</v>
      </c>
      <c r="P1021" s="925">
        <v>2587977.77</v>
      </c>
      <c r="Q1021" s="925">
        <v>0</v>
      </c>
      <c r="R1021" s="925">
        <v>0</v>
      </c>
      <c r="S1021" s="925">
        <v>0</v>
      </c>
      <c r="T1021" s="925">
        <v>0</v>
      </c>
      <c r="U1021" s="925">
        <v>0</v>
      </c>
      <c r="V1021" s="925">
        <v>0</v>
      </c>
      <c r="W1021" s="925">
        <v>0</v>
      </c>
      <c r="X1021" s="925">
        <v>0</v>
      </c>
      <c r="Y1021" s="925">
        <v>0</v>
      </c>
      <c r="Z1021" s="921">
        <v>202700.43</v>
      </c>
      <c r="AA1021" s="925">
        <v>0</v>
      </c>
    </row>
    <row r="1022" spans="1:27" ht="80.25" customHeight="1">
      <c r="A1022" s="927">
        <v>489</v>
      </c>
      <c r="B1022" s="863" t="s">
        <v>1048</v>
      </c>
      <c r="C1022" s="925">
        <f>D1022+N1022+P1022+R1022+T1022+X1022+Z1022</f>
        <v>488724.88</v>
      </c>
      <c r="D1022" s="925">
        <f>SUM(E1022:J1022)</f>
        <v>453226.43</v>
      </c>
      <c r="E1022" s="925">
        <v>453226.43</v>
      </c>
      <c r="F1022" s="925">
        <v>0</v>
      </c>
      <c r="G1022" s="925">
        <v>0</v>
      </c>
      <c r="H1022" s="925">
        <v>0</v>
      </c>
      <c r="I1022" s="925">
        <v>0</v>
      </c>
      <c r="J1022" s="925">
        <v>0</v>
      </c>
      <c r="K1022" s="861">
        <v>0</v>
      </c>
      <c r="L1022" s="925">
        <v>0</v>
      </c>
      <c r="M1022" s="925">
        <v>0</v>
      </c>
      <c r="N1022" s="925">
        <v>0</v>
      </c>
      <c r="O1022" s="925">
        <v>0</v>
      </c>
      <c r="P1022" s="925">
        <v>0</v>
      </c>
      <c r="Q1022" s="925">
        <v>0</v>
      </c>
      <c r="R1022" s="925">
        <v>0</v>
      </c>
      <c r="S1022" s="925">
        <v>0</v>
      </c>
      <c r="T1022" s="925">
        <v>0</v>
      </c>
      <c r="U1022" s="925">
        <v>0</v>
      </c>
      <c r="V1022" s="925">
        <v>0</v>
      </c>
      <c r="W1022" s="925">
        <v>0</v>
      </c>
      <c r="X1022" s="925">
        <v>0</v>
      </c>
      <c r="Y1022" s="925">
        <v>0</v>
      </c>
      <c r="Z1022" s="921">
        <v>35498.449999999997</v>
      </c>
      <c r="AA1022" s="925">
        <v>0</v>
      </c>
    </row>
    <row r="1023" spans="1:27" ht="89.25" customHeight="1">
      <c r="A1023" s="927">
        <v>490</v>
      </c>
      <c r="B1023" s="863" t="s">
        <v>1050</v>
      </c>
      <c r="C1023" s="925">
        <f>D1023+N1023+P1023+R1023+T1023+X1023+Z1023</f>
        <v>531471.87</v>
      </c>
      <c r="D1023" s="925">
        <f>SUM(E1023:J1023)</f>
        <v>492868.5</v>
      </c>
      <c r="E1023" s="925">
        <v>492868.5</v>
      </c>
      <c r="F1023" s="925">
        <v>0</v>
      </c>
      <c r="G1023" s="925">
        <v>0</v>
      </c>
      <c r="H1023" s="925">
        <v>0</v>
      </c>
      <c r="I1023" s="925">
        <v>0</v>
      </c>
      <c r="J1023" s="925">
        <v>0</v>
      </c>
      <c r="K1023" s="861">
        <v>0</v>
      </c>
      <c r="L1023" s="925">
        <v>0</v>
      </c>
      <c r="M1023" s="925">
        <v>0</v>
      </c>
      <c r="N1023" s="925">
        <v>0</v>
      </c>
      <c r="O1023" s="925">
        <v>0</v>
      </c>
      <c r="P1023" s="925">
        <v>0</v>
      </c>
      <c r="Q1023" s="925">
        <v>0</v>
      </c>
      <c r="R1023" s="925">
        <v>0</v>
      </c>
      <c r="S1023" s="925">
        <v>0</v>
      </c>
      <c r="T1023" s="925">
        <v>0</v>
      </c>
      <c r="U1023" s="925">
        <v>0</v>
      </c>
      <c r="V1023" s="925">
        <v>0</v>
      </c>
      <c r="W1023" s="925">
        <v>0</v>
      </c>
      <c r="X1023" s="925">
        <v>0</v>
      </c>
      <c r="Y1023" s="925">
        <v>0</v>
      </c>
      <c r="Z1023" s="921">
        <v>38603.370000000003</v>
      </c>
      <c r="AA1023" s="925">
        <v>0</v>
      </c>
    </row>
    <row r="1024" spans="1:27">
      <c r="A1024" s="1212" t="s">
        <v>1140</v>
      </c>
      <c r="B1024" s="1212"/>
      <c r="C1024" s="1212"/>
      <c r="D1024" s="1212"/>
      <c r="E1024" s="1212"/>
      <c r="F1024" s="1212"/>
      <c r="G1024" s="1212"/>
      <c r="H1024" s="1212"/>
      <c r="I1024" s="1212"/>
      <c r="J1024" s="1212"/>
      <c r="K1024" s="1212"/>
      <c r="L1024" s="1212"/>
      <c r="M1024" s="1212"/>
      <c r="N1024" s="1212"/>
      <c r="O1024" s="1212"/>
      <c r="P1024" s="1212"/>
      <c r="Q1024" s="1212"/>
      <c r="R1024" s="1212"/>
      <c r="S1024" s="1212"/>
      <c r="T1024" s="1212"/>
      <c r="U1024" s="1212"/>
      <c r="V1024" s="1212"/>
      <c r="W1024" s="1212"/>
      <c r="X1024" s="1212"/>
      <c r="Y1024" s="1212"/>
      <c r="Z1024" s="1212"/>
      <c r="AA1024" s="1212"/>
    </row>
    <row r="1025" spans="1:27">
      <c r="A1025" s="1212" t="s">
        <v>1141</v>
      </c>
      <c r="B1025" s="1212"/>
      <c r="C1025" s="1212"/>
      <c r="D1025" s="1212"/>
      <c r="E1025" s="1212"/>
      <c r="F1025" s="1212"/>
      <c r="G1025" s="1212"/>
      <c r="H1025" s="1212"/>
      <c r="I1025" s="1212"/>
      <c r="J1025" s="1212"/>
      <c r="K1025" s="1212"/>
      <c r="L1025" s="1212"/>
      <c r="M1025" s="1212"/>
      <c r="N1025" s="1212"/>
      <c r="O1025" s="1212"/>
      <c r="P1025" s="1212"/>
      <c r="Q1025" s="1212"/>
      <c r="R1025" s="1212"/>
      <c r="S1025" s="1212"/>
      <c r="T1025" s="1212"/>
      <c r="U1025" s="1212"/>
      <c r="V1025" s="1212"/>
      <c r="W1025" s="1212"/>
      <c r="X1025" s="1212"/>
      <c r="Y1025" s="1212"/>
      <c r="Z1025" s="1212"/>
      <c r="AA1025" s="1212"/>
    </row>
    <row r="1026" spans="1:27">
      <c r="A1026" s="1212" t="s">
        <v>1142</v>
      </c>
      <c r="B1026" s="1212"/>
      <c r="C1026" s="1212"/>
      <c r="D1026" s="1212"/>
      <c r="E1026" s="1212"/>
      <c r="F1026" s="1212"/>
      <c r="G1026" s="1212"/>
      <c r="H1026" s="1212"/>
      <c r="I1026" s="1212"/>
      <c r="J1026" s="1212"/>
      <c r="K1026" s="1212"/>
      <c r="L1026" s="1212"/>
      <c r="M1026" s="1212"/>
      <c r="N1026" s="1212"/>
      <c r="O1026" s="1212"/>
      <c r="P1026" s="1212"/>
      <c r="Q1026" s="1212"/>
      <c r="R1026" s="1212"/>
      <c r="S1026" s="1212"/>
      <c r="T1026" s="1212"/>
      <c r="U1026" s="1212"/>
      <c r="V1026" s="1212"/>
      <c r="W1026" s="1212"/>
      <c r="X1026" s="1212"/>
      <c r="Y1026" s="1212"/>
      <c r="Z1026" s="1212"/>
      <c r="AA1026" s="1212"/>
    </row>
    <row r="1027" spans="1:27">
      <c r="A1027" s="1214" t="s">
        <v>2035</v>
      </c>
      <c r="B1027" s="1214"/>
      <c r="C1027" s="1214"/>
      <c r="D1027" s="1214"/>
      <c r="E1027" s="1214"/>
      <c r="F1027" s="1214"/>
      <c r="G1027" s="1214"/>
      <c r="H1027" s="1214"/>
      <c r="I1027" s="1214"/>
      <c r="J1027" s="1214"/>
      <c r="K1027" s="1214"/>
      <c r="L1027" s="1214"/>
      <c r="M1027" s="1214"/>
      <c r="N1027" s="1214"/>
      <c r="O1027" s="1214"/>
      <c r="P1027" s="1214"/>
      <c r="Q1027" s="1214"/>
      <c r="R1027" s="1214"/>
      <c r="S1027" s="1214"/>
      <c r="T1027" s="1214"/>
      <c r="U1027" s="1214"/>
      <c r="V1027" s="1214"/>
      <c r="W1027" s="1214"/>
      <c r="X1027" s="1214"/>
      <c r="Y1027" s="1214"/>
      <c r="Z1027" s="1214"/>
      <c r="AA1027" s="1214"/>
    </row>
    <row r="1028" spans="1:27">
      <c r="A1028" s="1215" t="s">
        <v>1138</v>
      </c>
      <c r="B1028" s="1215"/>
      <c r="C1028" s="1215"/>
      <c r="D1028" s="1215"/>
      <c r="E1028" s="1215"/>
      <c r="F1028" s="1215"/>
      <c r="G1028" s="1215"/>
      <c r="H1028" s="1215"/>
      <c r="I1028" s="1215"/>
      <c r="J1028" s="1215"/>
      <c r="K1028" s="1215"/>
      <c r="L1028" s="1215"/>
      <c r="M1028" s="1215"/>
      <c r="N1028" s="1215"/>
      <c r="O1028" s="1215"/>
      <c r="P1028" s="1215"/>
      <c r="Q1028" s="1215"/>
      <c r="R1028" s="1215"/>
      <c r="S1028" s="1215"/>
      <c r="T1028" s="1215"/>
      <c r="U1028" s="1215"/>
      <c r="V1028" s="1215"/>
      <c r="W1028" s="1215"/>
      <c r="X1028" s="1215"/>
      <c r="Y1028" s="1215"/>
      <c r="Z1028" s="1215"/>
      <c r="AA1028" s="1215"/>
    </row>
    <row r="1029" spans="1:27">
      <c r="A1029" s="1215"/>
      <c r="B1029" s="1215"/>
      <c r="C1029" s="1215"/>
      <c r="D1029" s="1215"/>
      <c r="E1029" s="1215"/>
      <c r="F1029" s="1215"/>
      <c r="G1029" s="1215"/>
      <c r="H1029" s="1215"/>
      <c r="I1029" s="1215"/>
      <c r="J1029" s="1215"/>
      <c r="K1029" s="1215"/>
      <c r="L1029" s="1215"/>
      <c r="M1029" s="1215"/>
      <c r="N1029" s="1215"/>
      <c r="O1029" s="1215"/>
      <c r="P1029" s="1215"/>
      <c r="Q1029" s="1215"/>
      <c r="R1029" s="1215"/>
      <c r="S1029" s="1215"/>
      <c r="T1029" s="1215"/>
      <c r="U1029" s="1215"/>
      <c r="V1029" s="1215"/>
      <c r="W1029" s="1215"/>
      <c r="X1029" s="1215"/>
      <c r="Y1029" s="1215"/>
      <c r="Z1029" s="1215"/>
      <c r="AA1029" s="1215"/>
    </row>
    <row r="1030" spans="1:27">
      <c r="A1030" s="1213"/>
      <c r="B1030" s="1213"/>
      <c r="C1030" s="1213"/>
      <c r="D1030" s="1213"/>
      <c r="E1030" s="1213"/>
      <c r="F1030" s="1213"/>
      <c r="G1030" s="1213"/>
      <c r="H1030" s="1213"/>
      <c r="I1030" s="1213"/>
      <c r="J1030" s="1213"/>
      <c r="K1030" s="1213"/>
      <c r="L1030" s="1213"/>
      <c r="M1030" s="1213"/>
      <c r="N1030" s="1213"/>
      <c r="O1030" s="1213"/>
      <c r="P1030" s="1213"/>
      <c r="Q1030" s="1213"/>
      <c r="R1030" s="1213"/>
      <c r="S1030" s="1213"/>
      <c r="T1030" s="1213"/>
      <c r="U1030" s="1213"/>
      <c r="V1030" s="1213"/>
      <c r="W1030" s="1213"/>
      <c r="X1030" s="1213"/>
      <c r="Y1030" s="1213"/>
      <c r="Z1030" s="1213"/>
      <c r="AA1030" s="1213"/>
    </row>
    <row r="1031" spans="1:27">
      <c r="A1031" s="1213"/>
      <c r="B1031" s="1213"/>
      <c r="C1031" s="1213"/>
      <c r="D1031" s="1213"/>
      <c r="E1031" s="1213"/>
      <c r="F1031" s="1213"/>
      <c r="G1031" s="1213"/>
      <c r="H1031" s="1213"/>
      <c r="I1031" s="1213"/>
      <c r="J1031" s="1213"/>
      <c r="K1031" s="1213"/>
      <c r="L1031" s="1213"/>
      <c r="M1031" s="1213"/>
      <c r="N1031" s="1213"/>
      <c r="O1031" s="1213"/>
      <c r="P1031" s="1213"/>
      <c r="Q1031" s="1213"/>
      <c r="R1031" s="1213"/>
      <c r="S1031" s="1213"/>
      <c r="T1031" s="1213"/>
      <c r="U1031" s="1213"/>
      <c r="V1031" s="1213"/>
      <c r="W1031" s="1213"/>
      <c r="X1031" s="1213"/>
      <c r="Y1031" s="1213"/>
      <c r="Z1031" s="1213"/>
      <c r="AA1031" s="1213"/>
    </row>
    <row r="1032" spans="1:27">
      <c r="A1032" s="1213"/>
      <c r="B1032" s="1213"/>
      <c r="C1032" s="1213"/>
      <c r="D1032" s="1213"/>
      <c r="E1032" s="1213"/>
      <c r="F1032" s="1213"/>
      <c r="G1032" s="1213"/>
      <c r="H1032" s="1213"/>
      <c r="I1032" s="1213"/>
      <c r="J1032" s="1213"/>
      <c r="K1032" s="1213"/>
      <c r="L1032" s="1213"/>
      <c r="M1032" s="1213"/>
      <c r="N1032" s="1213"/>
      <c r="O1032" s="1213"/>
      <c r="P1032" s="1213"/>
      <c r="Q1032" s="1213"/>
      <c r="R1032" s="1213"/>
      <c r="S1032" s="1213"/>
      <c r="T1032" s="1213"/>
      <c r="U1032" s="1213"/>
      <c r="V1032" s="1213"/>
      <c r="W1032" s="1213"/>
      <c r="X1032" s="1213"/>
      <c r="Y1032" s="1213"/>
      <c r="Z1032" s="1213"/>
      <c r="AA1032" s="1213"/>
    </row>
    <row r="1033" spans="1:27">
      <c r="AA1033" s="895"/>
    </row>
    <row r="1034" spans="1:27">
      <c r="AA1034" s="895"/>
    </row>
    <row r="1035" spans="1:27">
      <c r="AA1035" s="895"/>
    </row>
    <row r="1036" spans="1:27">
      <c r="AA1036" s="895"/>
    </row>
    <row r="1037" spans="1:27">
      <c r="AA1037" s="895"/>
    </row>
    <row r="1038" spans="1:27">
      <c r="AA1038" s="895"/>
    </row>
    <row r="1039" spans="1:27">
      <c r="AA1039" s="895"/>
    </row>
    <row r="1040" spans="1:27">
      <c r="AA1040" s="895"/>
    </row>
    <row r="1041" spans="27:27">
      <c r="AA1041" s="895"/>
    </row>
    <row r="1042" spans="27:27">
      <c r="AA1042" s="895"/>
    </row>
    <row r="1043" spans="27:27">
      <c r="AA1043" s="895"/>
    </row>
    <row r="1044" spans="27:27">
      <c r="AA1044" s="895"/>
    </row>
    <row r="1045" spans="27:27">
      <c r="AA1045" s="895"/>
    </row>
    <row r="1046" spans="27:27">
      <c r="AA1046" s="895"/>
    </row>
    <row r="1047" spans="27:27">
      <c r="AA1047" s="895"/>
    </row>
    <row r="1048" spans="27:27">
      <c r="AA1048" s="895"/>
    </row>
    <row r="1049" spans="27:27">
      <c r="AA1049" s="895"/>
    </row>
    <row r="1050" spans="27:27">
      <c r="AA1050" s="895"/>
    </row>
    <row r="1051" spans="27:27">
      <c r="AA1051" s="895"/>
    </row>
    <row r="1052" spans="27:27">
      <c r="AA1052" s="895"/>
    </row>
    <row r="1053" spans="27:27">
      <c r="AA1053" s="895"/>
    </row>
    <row r="1054" spans="27:27">
      <c r="AA1054" s="895"/>
    </row>
    <row r="1055" spans="27:27">
      <c r="AA1055" s="895"/>
    </row>
    <row r="1056" spans="27:27">
      <c r="AA1056" s="895"/>
    </row>
    <row r="1057" spans="27:27">
      <c r="AA1057" s="895"/>
    </row>
    <row r="1058" spans="27:27">
      <c r="AA1058" s="895"/>
    </row>
    <row r="1059" spans="27:27">
      <c r="AA1059" s="895"/>
    </row>
    <row r="1060" spans="27:27">
      <c r="AA1060" s="895"/>
    </row>
    <row r="1061" spans="27:27">
      <c r="AA1061" s="895"/>
    </row>
    <row r="1062" spans="27:27">
      <c r="AA1062" s="895"/>
    </row>
    <row r="1063" spans="27:27">
      <c r="AA1063" s="895"/>
    </row>
    <row r="1064" spans="27:27">
      <c r="AA1064" s="895"/>
    </row>
    <row r="1065" spans="27:27">
      <c r="AA1065" s="895"/>
    </row>
    <row r="1066" spans="27:27">
      <c r="AA1066" s="895"/>
    </row>
    <row r="1067" spans="27:27">
      <c r="AA1067" s="895"/>
    </row>
    <row r="1068" spans="27:27">
      <c r="AA1068" s="895"/>
    </row>
    <row r="1069" spans="27:27">
      <c r="AA1069" s="895"/>
    </row>
    <row r="1070" spans="27:27">
      <c r="AA1070" s="895"/>
    </row>
    <row r="1071" spans="27:27">
      <c r="AA1071" s="895"/>
    </row>
    <row r="1072" spans="27:27">
      <c r="AA1072" s="895"/>
    </row>
    <row r="1073" spans="27:27">
      <c r="AA1073" s="895"/>
    </row>
    <row r="1074" spans="27:27">
      <c r="AA1074" s="895"/>
    </row>
    <row r="1075" spans="27:27">
      <c r="AA1075" s="895"/>
    </row>
    <row r="1076" spans="27:27">
      <c r="AA1076" s="895"/>
    </row>
    <row r="1077" spans="27:27">
      <c r="AA1077" s="895"/>
    </row>
    <row r="1078" spans="27:27">
      <c r="AA1078" s="895"/>
    </row>
    <row r="1079" spans="27:27">
      <c r="AA1079" s="895"/>
    </row>
    <row r="1080" spans="27:27">
      <c r="AA1080" s="895"/>
    </row>
    <row r="1081" spans="27:27">
      <c r="AA1081" s="895"/>
    </row>
    <row r="1082" spans="27:27">
      <c r="AA1082" s="895"/>
    </row>
    <row r="1083" spans="27:27">
      <c r="AA1083" s="895"/>
    </row>
    <row r="1084" spans="27:27">
      <c r="AA1084" s="895"/>
    </row>
    <row r="1085" spans="27:27">
      <c r="AA1085" s="895"/>
    </row>
    <row r="1086" spans="27:27">
      <c r="AA1086" s="895"/>
    </row>
    <row r="1087" spans="27:27">
      <c r="AA1087" s="895"/>
    </row>
    <row r="1088" spans="27:27">
      <c r="AA1088" s="895"/>
    </row>
    <row r="1089" spans="27:27">
      <c r="AA1089" s="895"/>
    </row>
    <row r="1090" spans="27:27">
      <c r="AA1090" s="895"/>
    </row>
    <row r="1091" spans="27:27">
      <c r="AA1091" s="895"/>
    </row>
    <row r="1092" spans="27:27">
      <c r="AA1092" s="895"/>
    </row>
    <row r="1093" spans="27:27">
      <c r="AA1093" s="895"/>
    </row>
    <row r="1094" spans="27:27">
      <c r="AA1094" s="895"/>
    </row>
    <row r="1095" spans="27:27">
      <c r="AA1095" s="895"/>
    </row>
    <row r="1096" spans="27:27">
      <c r="AA1096" s="895"/>
    </row>
    <row r="1097" spans="27:27">
      <c r="AA1097" s="895"/>
    </row>
    <row r="1098" spans="27:27">
      <c r="AA1098" s="895"/>
    </row>
    <row r="1099" spans="27:27">
      <c r="AA1099" s="895"/>
    </row>
    <row r="1100" spans="27:27">
      <c r="AA1100" s="895"/>
    </row>
    <row r="1101" spans="27:27">
      <c r="AA1101" s="895"/>
    </row>
    <row r="1102" spans="27:27">
      <c r="AA1102" s="895"/>
    </row>
    <row r="1103" spans="27:27">
      <c r="AA1103" s="895"/>
    </row>
    <row r="1104" spans="27:27">
      <c r="AA1104" s="895"/>
    </row>
    <row r="1105" spans="27:27">
      <c r="AA1105" s="895"/>
    </row>
    <row r="1106" spans="27:27">
      <c r="AA1106" s="895"/>
    </row>
    <row r="1107" spans="27:27">
      <c r="AA1107" s="895"/>
    </row>
    <row r="1108" spans="27:27">
      <c r="AA1108" s="895"/>
    </row>
    <row r="1109" spans="27:27">
      <c r="AA1109" s="895"/>
    </row>
    <row r="1110" spans="27:27">
      <c r="AA1110" s="895"/>
    </row>
    <row r="1111" spans="27:27">
      <c r="AA1111" s="895"/>
    </row>
    <row r="1112" spans="27:27">
      <c r="AA1112" s="895"/>
    </row>
    <row r="1113" spans="27:27">
      <c r="AA1113" s="895"/>
    </row>
    <row r="1114" spans="27:27">
      <c r="AA1114" s="895"/>
    </row>
    <row r="1115" spans="27:27">
      <c r="AA1115" s="895"/>
    </row>
    <row r="1116" spans="27:27">
      <c r="AA1116" s="895"/>
    </row>
    <row r="1117" spans="27:27">
      <c r="AA1117" s="895"/>
    </row>
    <row r="1118" spans="27:27">
      <c r="AA1118" s="895"/>
    </row>
    <row r="1119" spans="27:27">
      <c r="AA1119" s="895"/>
    </row>
    <row r="1120" spans="27:27">
      <c r="AA1120" s="895"/>
    </row>
    <row r="1121" spans="27:27">
      <c r="AA1121" s="895"/>
    </row>
    <row r="1122" spans="27:27">
      <c r="AA1122" s="895"/>
    </row>
    <row r="1123" spans="27:27">
      <c r="AA1123" s="895"/>
    </row>
    <row r="1124" spans="27:27">
      <c r="AA1124" s="895"/>
    </row>
    <row r="1125" spans="27:27">
      <c r="AA1125" s="895"/>
    </row>
    <row r="1126" spans="27:27">
      <c r="AA1126" s="895"/>
    </row>
    <row r="1127" spans="27:27">
      <c r="AA1127" s="895"/>
    </row>
    <row r="1128" spans="27:27">
      <c r="AA1128" s="895"/>
    </row>
    <row r="1129" spans="27:27">
      <c r="AA1129" s="895"/>
    </row>
    <row r="1130" spans="27:27">
      <c r="AA1130" s="895"/>
    </row>
    <row r="1131" spans="27:27">
      <c r="AA1131" s="895"/>
    </row>
    <row r="1132" spans="27:27">
      <c r="AA1132" s="895"/>
    </row>
    <row r="1133" spans="27:27">
      <c r="AA1133" s="895"/>
    </row>
    <row r="1134" spans="27:27">
      <c r="AA1134" s="895"/>
    </row>
    <row r="1135" spans="27:27">
      <c r="AA1135" s="895"/>
    </row>
    <row r="1136" spans="27:27">
      <c r="AA1136" s="895"/>
    </row>
    <row r="1137" spans="27:27">
      <c r="AA1137" s="895"/>
    </row>
    <row r="1138" spans="27:27">
      <c r="AA1138" s="895"/>
    </row>
    <row r="1139" spans="27:27">
      <c r="AA1139" s="895"/>
    </row>
    <row r="1140" spans="27:27">
      <c r="AA1140" s="895"/>
    </row>
    <row r="1141" spans="27:27">
      <c r="AA1141" s="895"/>
    </row>
    <row r="1142" spans="27:27">
      <c r="AA1142" s="895"/>
    </row>
    <row r="1143" spans="27:27">
      <c r="AA1143" s="895"/>
    </row>
    <row r="1144" spans="27:27">
      <c r="AA1144" s="895"/>
    </row>
    <row r="1145" spans="27:27">
      <c r="AA1145" s="895"/>
    </row>
    <row r="1146" spans="27:27">
      <c r="AA1146" s="895"/>
    </row>
    <row r="1147" spans="27:27">
      <c r="AA1147" s="895"/>
    </row>
    <row r="1148" spans="27:27">
      <c r="AA1148" s="895"/>
    </row>
    <row r="1149" spans="27:27">
      <c r="AA1149" s="895"/>
    </row>
    <row r="1150" spans="27:27">
      <c r="AA1150" s="895"/>
    </row>
    <row r="1151" spans="27:27">
      <c r="AA1151" s="895"/>
    </row>
    <row r="1152" spans="27:27">
      <c r="AA1152" s="895"/>
    </row>
    <row r="1153" spans="27:27">
      <c r="AA1153" s="895"/>
    </row>
    <row r="1154" spans="27:27">
      <c r="AA1154" s="895"/>
    </row>
    <row r="1155" spans="27:27">
      <c r="AA1155" s="895"/>
    </row>
    <row r="1156" spans="27:27">
      <c r="AA1156" s="895"/>
    </row>
    <row r="1157" spans="27:27">
      <c r="AA1157" s="895"/>
    </row>
    <row r="1158" spans="27:27">
      <c r="AA1158" s="895"/>
    </row>
    <row r="1159" spans="27:27">
      <c r="AA1159" s="895"/>
    </row>
    <row r="1160" spans="27:27">
      <c r="AA1160" s="895"/>
    </row>
    <row r="1161" spans="27:27">
      <c r="AA1161" s="895"/>
    </row>
    <row r="1162" spans="27:27">
      <c r="AA1162" s="895"/>
    </row>
    <row r="1163" spans="27:27">
      <c r="AA1163" s="895"/>
    </row>
    <row r="1164" spans="27:27">
      <c r="AA1164" s="895"/>
    </row>
    <row r="1165" spans="27:27">
      <c r="AA1165" s="895"/>
    </row>
    <row r="1166" spans="27:27">
      <c r="AA1166" s="895"/>
    </row>
    <row r="1167" spans="27:27">
      <c r="AA1167" s="895"/>
    </row>
    <row r="1168" spans="27:27">
      <c r="AA1168" s="895"/>
    </row>
    <row r="1169" spans="27:27">
      <c r="AA1169" s="895"/>
    </row>
    <row r="1170" spans="27:27">
      <c r="AA1170" s="895"/>
    </row>
    <row r="1171" spans="27:27">
      <c r="AA1171" s="895"/>
    </row>
    <row r="1172" spans="27:27">
      <c r="AA1172" s="895"/>
    </row>
    <row r="1173" spans="27:27">
      <c r="AA1173" s="895"/>
    </row>
    <row r="1174" spans="27:27">
      <c r="AA1174" s="895"/>
    </row>
    <row r="1175" spans="27:27">
      <c r="AA1175" s="895"/>
    </row>
    <row r="1176" spans="27:27">
      <c r="AA1176" s="895"/>
    </row>
    <row r="1177" spans="27:27">
      <c r="AA1177" s="895"/>
    </row>
    <row r="1178" spans="27:27">
      <c r="AA1178" s="895"/>
    </row>
    <row r="1179" spans="27:27">
      <c r="AA1179" s="895"/>
    </row>
    <row r="1180" spans="27:27">
      <c r="AA1180" s="895"/>
    </row>
    <row r="1181" spans="27:27">
      <c r="AA1181" s="895"/>
    </row>
    <row r="1182" spans="27:27">
      <c r="AA1182" s="895"/>
    </row>
    <row r="1183" spans="27:27">
      <c r="AA1183" s="895"/>
    </row>
    <row r="1184" spans="27:27">
      <c r="AA1184" s="895"/>
    </row>
    <row r="1185" spans="27:27">
      <c r="AA1185" s="895"/>
    </row>
    <row r="1186" spans="27:27">
      <c r="AA1186" s="895"/>
    </row>
    <row r="1187" spans="27:27">
      <c r="AA1187" s="895"/>
    </row>
    <row r="1188" spans="27:27">
      <c r="AA1188" s="895"/>
    </row>
    <row r="1189" spans="27:27">
      <c r="AA1189" s="895"/>
    </row>
    <row r="1190" spans="27:27">
      <c r="AA1190" s="895"/>
    </row>
    <row r="1191" spans="27:27">
      <c r="AA1191" s="895"/>
    </row>
    <row r="1192" spans="27:27">
      <c r="AA1192" s="895"/>
    </row>
    <row r="1193" spans="27:27">
      <c r="AA1193" s="895"/>
    </row>
    <row r="1194" spans="27:27">
      <c r="AA1194" s="895"/>
    </row>
    <row r="1195" spans="27:27">
      <c r="AA1195" s="895"/>
    </row>
    <row r="1196" spans="27:27">
      <c r="AA1196" s="895"/>
    </row>
    <row r="1197" spans="27:27">
      <c r="AA1197" s="895"/>
    </row>
    <row r="1198" spans="27:27">
      <c r="AA1198" s="895"/>
    </row>
    <row r="1199" spans="27:27">
      <c r="AA1199" s="895"/>
    </row>
    <row r="1200" spans="27:27">
      <c r="AA1200" s="895"/>
    </row>
    <row r="1201" spans="27:27">
      <c r="AA1201" s="895"/>
    </row>
    <row r="1202" spans="27:27">
      <c r="AA1202" s="895"/>
    </row>
    <row r="1203" spans="27:27">
      <c r="AA1203" s="895"/>
    </row>
    <row r="1204" spans="27:27">
      <c r="AA1204" s="895"/>
    </row>
    <row r="1205" spans="27:27">
      <c r="AA1205" s="895"/>
    </row>
    <row r="1206" spans="27:27">
      <c r="AA1206" s="895"/>
    </row>
    <row r="1207" spans="27:27">
      <c r="AA1207" s="895"/>
    </row>
    <row r="1208" spans="27:27">
      <c r="AA1208" s="895"/>
    </row>
    <row r="1209" spans="27:27">
      <c r="AA1209" s="895"/>
    </row>
    <row r="1210" spans="27:27">
      <c r="AA1210" s="895"/>
    </row>
    <row r="1211" spans="27:27">
      <c r="AA1211" s="895"/>
    </row>
    <row r="1212" spans="27:27">
      <c r="AA1212" s="895"/>
    </row>
    <row r="1213" spans="27:27">
      <c r="AA1213" s="895"/>
    </row>
    <row r="1214" spans="27:27">
      <c r="AA1214" s="895"/>
    </row>
    <row r="1215" spans="27:27">
      <c r="AA1215" s="895"/>
    </row>
    <row r="1216" spans="27:27">
      <c r="AA1216" s="895"/>
    </row>
    <row r="1217" spans="27:27">
      <c r="AA1217" s="895"/>
    </row>
    <row r="1218" spans="27:27">
      <c r="AA1218" s="895"/>
    </row>
    <row r="1219" spans="27:27">
      <c r="AA1219" s="895"/>
    </row>
    <row r="1220" spans="27:27">
      <c r="AA1220" s="895"/>
    </row>
    <row r="1221" spans="27:27">
      <c r="AA1221" s="895"/>
    </row>
    <row r="1222" spans="27:27">
      <c r="AA1222" s="895"/>
    </row>
    <row r="1223" spans="27:27">
      <c r="AA1223" s="895"/>
    </row>
    <row r="1224" spans="27:27">
      <c r="AA1224" s="895"/>
    </row>
    <row r="1225" spans="27:27">
      <c r="AA1225" s="895"/>
    </row>
    <row r="1226" spans="27:27">
      <c r="AA1226" s="895"/>
    </row>
    <row r="1227" spans="27:27">
      <c r="AA1227" s="895"/>
    </row>
    <row r="1228" spans="27:27">
      <c r="AA1228" s="895"/>
    </row>
    <row r="1229" spans="27:27">
      <c r="AA1229" s="895"/>
    </row>
    <row r="1230" spans="27:27">
      <c r="AA1230" s="895"/>
    </row>
    <row r="1231" spans="27:27">
      <c r="AA1231" s="895"/>
    </row>
    <row r="1232" spans="27:27">
      <c r="AA1232" s="895"/>
    </row>
    <row r="1233" spans="27:27">
      <c r="AA1233" s="895"/>
    </row>
    <row r="1234" spans="27:27">
      <c r="AA1234" s="895"/>
    </row>
    <row r="1235" spans="27:27">
      <c r="AA1235" s="895"/>
    </row>
    <row r="1236" spans="27:27">
      <c r="AA1236" s="895"/>
    </row>
    <row r="1237" spans="27:27">
      <c r="AA1237" s="895"/>
    </row>
    <row r="1238" spans="27:27">
      <c r="AA1238" s="895"/>
    </row>
    <row r="1239" spans="27:27">
      <c r="AA1239" s="895"/>
    </row>
    <row r="1240" spans="27:27">
      <c r="AA1240" s="895"/>
    </row>
    <row r="1241" spans="27:27">
      <c r="AA1241" s="895"/>
    </row>
    <row r="1242" spans="27:27">
      <c r="AA1242" s="895"/>
    </row>
    <row r="1243" spans="27:27">
      <c r="AA1243" s="895"/>
    </row>
    <row r="1244" spans="27:27">
      <c r="AA1244" s="895"/>
    </row>
    <row r="1245" spans="27:27">
      <c r="AA1245" s="895"/>
    </row>
    <row r="1246" spans="27:27">
      <c r="AA1246" s="895"/>
    </row>
    <row r="1247" spans="27:27">
      <c r="AA1247" s="895"/>
    </row>
    <row r="1248" spans="27:27">
      <c r="AA1248" s="895"/>
    </row>
    <row r="1249" spans="27:27">
      <c r="AA1249" s="895"/>
    </row>
    <row r="1250" spans="27:27">
      <c r="AA1250" s="895"/>
    </row>
    <row r="1251" spans="27:27">
      <c r="AA1251" s="895"/>
    </row>
    <row r="1252" spans="27:27">
      <c r="AA1252" s="895"/>
    </row>
    <row r="1253" spans="27:27">
      <c r="AA1253" s="895"/>
    </row>
    <row r="1254" spans="27:27">
      <c r="AA1254" s="895"/>
    </row>
    <row r="1255" spans="27:27">
      <c r="AA1255" s="895"/>
    </row>
    <row r="1256" spans="27:27">
      <c r="AA1256" s="895"/>
    </row>
    <row r="1257" spans="27:27">
      <c r="AA1257" s="895"/>
    </row>
    <row r="1258" spans="27:27">
      <c r="AA1258" s="895"/>
    </row>
    <row r="1259" spans="27:27">
      <c r="AA1259" s="895"/>
    </row>
    <row r="1260" spans="27:27">
      <c r="AA1260" s="895"/>
    </row>
    <row r="1261" spans="27:27">
      <c r="AA1261" s="895"/>
    </row>
    <row r="1262" spans="27:27">
      <c r="AA1262" s="895"/>
    </row>
    <row r="1263" spans="27:27">
      <c r="AA1263" s="895"/>
    </row>
    <row r="1264" spans="27:27">
      <c r="AA1264" s="895"/>
    </row>
    <row r="1265" spans="27:27">
      <c r="AA1265" s="895"/>
    </row>
    <row r="1266" spans="27:27">
      <c r="AA1266" s="895"/>
    </row>
    <row r="1267" spans="27:27">
      <c r="AA1267" s="895"/>
    </row>
    <row r="1268" spans="27:27">
      <c r="AA1268" s="895"/>
    </row>
    <row r="1269" spans="27:27">
      <c r="AA1269" s="895"/>
    </row>
    <row r="1270" spans="27:27">
      <c r="AA1270" s="895"/>
    </row>
    <row r="1271" spans="27:27">
      <c r="AA1271" s="895"/>
    </row>
    <row r="1272" spans="27:27">
      <c r="AA1272" s="895"/>
    </row>
    <row r="1273" spans="27:27">
      <c r="AA1273" s="895"/>
    </row>
    <row r="1274" spans="27:27">
      <c r="AA1274" s="895"/>
    </row>
    <row r="1275" spans="27:27">
      <c r="AA1275" s="895"/>
    </row>
    <row r="1276" spans="27:27">
      <c r="AA1276" s="895"/>
    </row>
    <row r="1277" spans="27:27">
      <c r="AA1277" s="895"/>
    </row>
    <row r="1278" spans="27:27">
      <c r="AA1278" s="895"/>
    </row>
    <row r="1279" spans="27:27">
      <c r="AA1279" s="895"/>
    </row>
    <row r="1280" spans="27:27">
      <c r="AA1280" s="895"/>
    </row>
    <row r="1281" spans="27:27">
      <c r="AA1281" s="895"/>
    </row>
    <row r="1282" spans="27:27">
      <c r="AA1282" s="895"/>
    </row>
    <row r="1283" spans="27:27">
      <c r="AA1283" s="895"/>
    </row>
    <row r="1284" spans="27:27">
      <c r="AA1284" s="895"/>
    </row>
    <row r="1285" spans="27:27">
      <c r="AA1285" s="895"/>
    </row>
    <row r="1286" spans="27:27">
      <c r="AA1286" s="895"/>
    </row>
    <row r="1287" spans="27:27">
      <c r="AA1287" s="895"/>
    </row>
    <row r="1288" spans="27:27">
      <c r="AA1288" s="895"/>
    </row>
    <row r="1289" spans="27:27">
      <c r="AA1289" s="895"/>
    </row>
    <row r="1290" spans="27:27">
      <c r="AA1290" s="895"/>
    </row>
    <row r="1291" spans="27:27">
      <c r="AA1291" s="895"/>
    </row>
    <row r="1292" spans="27:27">
      <c r="AA1292" s="895"/>
    </row>
    <row r="1293" spans="27:27">
      <c r="AA1293" s="895"/>
    </row>
    <row r="1294" spans="27:27">
      <c r="AA1294" s="895"/>
    </row>
    <row r="1295" spans="27:27">
      <c r="AA1295" s="895"/>
    </row>
    <row r="1296" spans="27:27">
      <c r="AA1296" s="895"/>
    </row>
    <row r="1297" spans="27:27">
      <c r="AA1297" s="895"/>
    </row>
    <row r="1298" spans="27:27">
      <c r="AA1298" s="895"/>
    </row>
    <row r="1299" spans="27:27">
      <c r="AA1299" s="895"/>
    </row>
    <row r="1300" spans="27:27">
      <c r="AA1300" s="895"/>
    </row>
    <row r="1301" spans="27:27">
      <c r="AA1301" s="895"/>
    </row>
    <row r="1302" spans="27:27">
      <c r="AA1302" s="895"/>
    </row>
    <row r="1303" spans="27:27">
      <c r="AA1303" s="895"/>
    </row>
    <row r="1304" spans="27:27">
      <c r="AA1304" s="895"/>
    </row>
    <row r="1305" spans="27:27">
      <c r="AA1305" s="895"/>
    </row>
    <row r="1306" spans="27:27">
      <c r="AA1306" s="895"/>
    </row>
    <row r="1307" spans="27:27">
      <c r="AA1307" s="895"/>
    </row>
    <row r="1308" spans="27:27">
      <c r="AA1308" s="895"/>
    </row>
    <row r="1309" spans="27:27">
      <c r="AA1309" s="895"/>
    </row>
    <row r="1310" spans="27:27">
      <c r="AA1310" s="895"/>
    </row>
    <row r="1311" spans="27:27">
      <c r="AA1311" s="895"/>
    </row>
    <row r="1312" spans="27:27">
      <c r="AA1312" s="895"/>
    </row>
    <row r="1313" spans="27:27">
      <c r="AA1313" s="895"/>
    </row>
    <row r="1314" spans="27:27">
      <c r="AA1314" s="895"/>
    </row>
    <row r="1315" spans="27:27">
      <c r="AA1315" s="895"/>
    </row>
    <row r="1316" spans="27:27">
      <c r="AA1316" s="895"/>
    </row>
    <row r="1317" spans="27:27">
      <c r="AA1317" s="895"/>
    </row>
    <row r="1318" spans="27:27">
      <c r="AA1318" s="895"/>
    </row>
    <row r="1319" spans="27:27">
      <c r="AA1319" s="895"/>
    </row>
    <row r="1320" spans="27:27">
      <c r="AA1320" s="895"/>
    </row>
    <row r="1321" spans="27:27">
      <c r="AA1321" s="895"/>
    </row>
    <row r="1322" spans="27:27">
      <c r="AA1322" s="895"/>
    </row>
    <row r="1323" spans="27:27">
      <c r="AA1323" s="895"/>
    </row>
    <row r="1324" spans="27:27">
      <c r="AA1324" s="895"/>
    </row>
    <row r="1325" spans="27:27">
      <c r="AA1325" s="895"/>
    </row>
    <row r="1326" spans="27:27">
      <c r="AA1326" s="895"/>
    </row>
    <row r="1327" spans="27:27">
      <c r="AA1327" s="895"/>
    </row>
    <row r="1328" spans="27:27">
      <c r="AA1328" s="895"/>
    </row>
    <row r="1329" spans="27:27">
      <c r="AA1329" s="895"/>
    </row>
    <row r="1330" spans="27:27">
      <c r="AA1330" s="895"/>
    </row>
    <row r="1331" spans="27:27">
      <c r="AA1331" s="895"/>
    </row>
    <row r="1332" spans="27:27">
      <c r="AA1332" s="895"/>
    </row>
    <row r="1333" spans="27:27">
      <c r="AA1333" s="895"/>
    </row>
    <row r="1334" spans="27:27">
      <c r="AA1334" s="895"/>
    </row>
    <row r="1335" spans="27:27">
      <c r="AA1335" s="895"/>
    </row>
    <row r="1336" spans="27:27">
      <c r="AA1336" s="895"/>
    </row>
    <row r="1337" spans="27:27">
      <c r="AA1337" s="895"/>
    </row>
    <row r="1338" spans="27:27">
      <c r="AA1338" s="895"/>
    </row>
    <row r="1339" spans="27:27">
      <c r="AA1339" s="895"/>
    </row>
    <row r="1340" spans="27:27">
      <c r="AA1340" s="895"/>
    </row>
    <row r="1341" spans="27:27">
      <c r="AA1341" s="895"/>
    </row>
    <row r="1342" spans="27:27">
      <c r="AA1342" s="895"/>
    </row>
    <row r="1343" spans="27:27">
      <c r="AA1343" s="895"/>
    </row>
    <row r="1344" spans="27:27">
      <c r="AA1344" s="895"/>
    </row>
    <row r="1345" spans="27:27">
      <c r="AA1345" s="895"/>
    </row>
    <row r="1346" spans="27:27">
      <c r="AA1346" s="895"/>
    </row>
    <row r="1347" spans="27:27">
      <c r="AA1347" s="895"/>
    </row>
    <row r="1348" spans="27:27">
      <c r="AA1348" s="895"/>
    </row>
    <row r="1349" spans="27:27">
      <c r="AA1349" s="895"/>
    </row>
    <row r="1350" spans="27:27">
      <c r="AA1350" s="895"/>
    </row>
    <row r="1351" spans="27:27">
      <c r="AA1351" s="895"/>
    </row>
    <row r="1352" spans="27:27">
      <c r="AA1352" s="895"/>
    </row>
    <row r="1353" spans="27:27">
      <c r="AA1353" s="895"/>
    </row>
    <row r="1354" spans="27:27">
      <c r="AA1354" s="895"/>
    </row>
    <row r="1355" spans="27:27">
      <c r="AA1355" s="895"/>
    </row>
    <row r="1356" spans="27:27">
      <c r="AA1356" s="895"/>
    </row>
    <row r="1357" spans="27:27">
      <c r="AA1357" s="895"/>
    </row>
    <row r="1358" spans="27:27">
      <c r="AA1358" s="895"/>
    </row>
    <row r="1359" spans="27:27">
      <c r="AA1359" s="895"/>
    </row>
    <row r="1360" spans="27:27">
      <c r="AA1360" s="895"/>
    </row>
    <row r="1361" spans="27:27">
      <c r="AA1361" s="895"/>
    </row>
    <row r="1362" spans="27:27">
      <c r="AA1362" s="895"/>
    </row>
    <row r="1363" spans="27:27">
      <c r="AA1363" s="895"/>
    </row>
    <row r="1364" spans="27:27">
      <c r="AA1364" s="895"/>
    </row>
    <row r="1365" spans="27:27">
      <c r="AA1365" s="895"/>
    </row>
    <row r="1366" spans="27:27">
      <c r="AA1366" s="895"/>
    </row>
    <row r="1367" spans="27:27">
      <c r="AA1367" s="895"/>
    </row>
    <row r="1368" spans="27:27">
      <c r="AA1368" s="895"/>
    </row>
    <row r="1369" spans="27:27">
      <c r="AA1369" s="895"/>
    </row>
    <row r="1370" spans="27:27">
      <c r="AA1370" s="895"/>
    </row>
    <row r="1371" spans="27:27">
      <c r="AA1371" s="895"/>
    </row>
    <row r="1372" spans="27:27">
      <c r="AA1372" s="895"/>
    </row>
    <row r="1373" spans="27:27">
      <c r="AA1373" s="895"/>
    </row>
    <row r="1374" spans="27:27">
      <c r="AA1374" s="895"/>
    </row>
    <row r="1375" spans="27:27">
      <c r="AA1375" s="895"/>
    </row>
    <row r="1376" spans="27:27">
      <c r="AA1376" s="895"/>
    </row>
    <row r="1377" spans="27:27">
      <c r="AA1377" s="895"/>
    </row>
    <row r="1378" spans="27:27">
      <c r="AA1378" s="895"/>
    </row>
    <row r="1379" spans="27:27">
      <c r="AA1379" s="895"/>
    </row>
    <row r="1380" spans="27:27">
      <c r="AA1380" s="895"/>
    </row>
    <row r="1381" spans="27:27">
      <c r="AA1381" s="895"/>
    </row>
    <row r="1382" spans="27:27">
      <c r="AA1382" s="895"/>
    </row>
    <row r="1383" spans="27:27">
      <c r="AA1383" s="895"/>
    </row>
    <row r="1384" spans="27:27">
      <c r="AA1384" s="895"/>
    </row>
    <row r="1385" spans="27:27">
      <c r="AA1385" s="895"/>
    </row>
    <row r="1386" spans="27:27">
      <c r="AA1386" s="895"/>
    </row>
    <row r="1387" spans="27:27">
      <c r="AA1387" s="895"/>
    </row>
    <row r="1388" spans="27:27">
      <c r="AA1388" s="895"/>
    </row>
    <row r="1389" spans="27:27">
      <c r="AA1389" s="895"/>
    </row>
    <row r="1390" spans="27:27">
      <c r="AA1390" s="895"/>
    </row>
    <row r="1391" spans="27:27">
      <c r="AA1391" s="895"/>
    </row>
    <row r="1392" spans="27:27">
      <c r="AA1392" s="895"/>
    </row>
    <row r="1393" spans="27:27">
      <c r="AA1393" s="895"/>
    </row>
    <row r="1394" spans="27:27">
      <c r="AA1394" s="895"/>
    </row>
    <row r="1395" spans="27:27">
      <c r="AA1395" s="895"/>
    </row>
    <row r="1396" spans="27:27">
      <c r="AA1396" s="895"/>
    </row>
    <row r="1397" spans="27:27">
      <c r="AA1397" s="895"/>
    </row>
    <row r="1398" spans="27:27">
      <c r="AA1398" s="895"/>
    </row>
    <row r="1399" spans="27:27">
      <c r="AA1399" s="895"/>
    </row>
    <row r="1400" spans="27:27">
      <c r="AA1400" s="895"/>
    </row>
    <row r="1401" spans="27:27">
      <c r="AA1401" s="895"/>
    </row>
    <row r="1402" spans="27:27">
      <c r="AA1402" s="895"/>
    </row>
    <row r="1403" spans="27:27">
      <c r="AA1403" s="895"/>
    </row>
    <row r="1404" spans="27:27">
      <c r="AA1404" s="895"/>
    </row>
    <row r="1405" spans="27:27">
      <c r="AA1405" s="895"/>
    </row>
    <row r="1406" spans="27:27">
      <c r="AA1406" s="895"/>
    </row>
    <row r="1407" spans="27:27">
      <c r="AA1407" s="895"/>
    </row>
    <row r="1408" spans="27:27">
      <c r="AA1408" s="895"/>
    </row>
    <row r="1409" spans="27:27">
      <c r="AA1409" s="895"/>
    </row>
    <row r="1410" spans="27:27">
      <c r="AA1410" s="895"/>
    </row>
    <row r="1411" spans="27:27">
      <c r="AA1411" s="895"/>
    </row>
    <row r="1412" spans="27:27">
      <c r="AA1412" s="895"/>
    </row>
    <row r="1413" spans="27:27">
      <c r="AA1413" s="895"/>
    </row>
    <row r="1414" spans="27:27">
      <c r="AA1414" s="895"/>
    </row>
    <row r="1415" spans="27:27">
      <c r="AA1415" s="895"/>
    </row>
    <row r="1416" spans="27:27">
      <c r="AA1416" s="895"/>
    </row>
    <row r="1417" spans="27:27">
      <c r="AA1417" s="895"/>
    </row>
    <row r="1418" spans="27:27">
      <c r="AA1418" s="895"/>
    </row>
    <row r="1419" spans="27:27">
      <c r="AA1419" s="895"/>
    </row>
    <row r="1420" spans="27:27">
      <c r="AA1420" s="895"/>
    </row>
    <row r="1421" spans="27:27">
      <c r="AA1421" s="895"/>
    </row>
    <row r="1422" spans="27:27">
      <c r="AA1422" s="895"/>
    </row>
    <row r="1423" spans="27:27">
      <c r="AA1423" s="895"/>
    </row>
    <row r="1424" spans="27:27">
      <c r="AA1424" s="895"/>
    </row>
    <row r="1425" spans="27:27">
      <c r="AA1425" s="895"/>
    </row>
    <row r="1426" spans="27:27">
      <c r="AA1426" s="895"/>
    </row>
    <row r="1427" spans="27:27">
      <c r="AA1427" s="895"/>
    </row>
    <row r="1428" spans="27:27">
      <c r="AA1428" s="895"/>
    </row>
    <row r="1429" spans="27:27">
      <c r="AA1429" s="895"/>
    </row>
    <row r="1430" spans="27:27">
      <c r="AA1430" s="895"/>
    </row>
    <row r="1431" spans="27:27">
      <c r="AA1431" s="895"/>
    </row>
    <row r="1432" spans="27:27">
      <c r="AA1432" s="895"/>
    </row>
    <row r="1433" spans="27:27">
      <c r="AA1433" s="895"/>
    </row>
    <row r="1434" spans="27:27">
      <c r="AA1434" s="895"/>
    </row>
    <row r="1435" spans="27:27">
      <c r="AA1435" s="895"/>
    </row>
    <row r="1436" spans="27:27">
      <c r="AA1436" s="895"/>
    </row>
    <row r="1437" spans="27:27">
      <c r="AA1437" s="895"/>
    </row>
    <row r="1438" spans="27:27">
      <c r="AA1438" s="895"/>
    </row>
    <row r="1439" spans="27:27">
      <c r="AA1439" s="895"/>
    </row>
    <row r="1440" spans="27:27">
      <c r="AA1440" s="895"/>
    </row>
    <row r="1441" spans="27:27">
      <c r="AA1441" s="895"/>
    </row>
    <row r="1442" spans="27:27">
      <c r="AA1442" s="895"/>
    </row>
    <row r="1443" spans="27:27">
      <c r="AA1443" s="895"/>
    </row>
    <row r="1444" spans="27:27">
      <c r="AA1444" s="895"/>
    </row>
    <row r="1445" spans="27:27">
      <c r="AA1445" s="895"/>
    </row>
    <row r="1446" spans="27:27">
      <c r="AA1446" s="895"/>
    </row>
    <row r="1447" spans="27:27">
      <c r="AA1447" s="895"/>
    </row>
    <row r="1448" spans="27:27">
      <c r="AA1448" s="895"/>
    </row>
    <row r="1449" spans="27:27">
      <c r="AA1449" s="895"/>
    </row>
    <row r="1450" spans="27:27">
      <c r="AA1450" s="895"/>
    </row>
    <row r="1451" spans="27:27">
      <c r="AA1451" s="895"/>
    </row>
    <row r="1452" spans="27:27">
      <c r="AA1452" s="895"/>
    </row>
    <row r="1453" spans="27:27">
      <c r="AA1453" s="895"/>
    </row>
    <row r="1454" spans="27:27">
      <c r="AA1454" s="895"/>
    </row>
    <row r="1455" spans="27:27">
      <c r="AA1455" s="895"/>
    </row>
    <row r="1456" spans="27:27">
      <c r="AA1456" s="895"/>
    </row>
    <row r="1457" spans="27:27">
      <c r="AA1457" s="895"/>
    </row>
    <row r="1458" spans="27:27">
      <c r="AA1458" s="895"/>
    </row>
    <row r="1459" spans="27:27">
      <c r="AA1459" s="895"/>
    </row>
    <row r="1460" spans="27:27">
      <c r="AA1460" s="895"/>
    </row>
    <row r="1461" spans="27:27">
      <c r="AA1461" s="895"/>
    </row>
    <row r="1462" spans="27:27">
      <c r="AA1462" s="895"/>
    </row>
    <row r="1463" spans="27:27">
      <c r="AA1463" s="895"/>
    </row>
    <row r="1464" spans="27:27">
      <c r="AA1464" s="895"/>
    </row>
    <row r="1465" spans="27:27">
      <c r="AA1465" s="895"/>
    </row>
    <row r="1466" spans="27:27">
      <c r="AA1466" s="895"/>
    </row>
    <row r="1467" spans="27:27">
      <c r="AA1467" s="895"/>
    </row>
    <row r="1468" spans="27:27">
      <c r="AA1468" s="895"/>
    </row>
    <row r="1469" spans="27:27">
      <c r="AA1469" s="895"/>
    </row>
    <row r="1470" spans="27:27">
      <c r="AA1470" s="895"/>
    </row>
    <row r="1471" spans="27:27">
      <c r="AA1471" s="895"/>
    </row>
    <row r="1472" spans="27:27">
      <c r="AA1472" s="895"/>
    </row>
    <row r="1473" spans="27:27">
      <c r="AA1473" s="895"/>
    </row>
    <row r="1474" spans="27:27">
      <c r="AA1474" s="895"/>
    </row>
    <row r="1475" spans="27:27">
      <c r="AA1475" s="895"/>
    </row>
    <row r="1476" spans="27:27">
      <c r="AA1476" s="895"/>
    </row>
    <row r="1477" spans="27:27">
      <c r="AA1477" s="895"/>
    </row>
    <row r="1478" spans="27:27">
      <c r="AA1478" s="895"/>
    </row>
    <row r="1479" spans="27:27">
      <c r="AA1479" s="895"/>
    </row>
    <row r="1480" spans="27:27">
      <c r="AA1480" s="895"/>
    </row>
    <row r="1481" spans="27:27">
      <c r="AA1481" s="895"/>
    </row>
    <row r="1482" spans="27:27">
      <c r="AA1482" s="895"/>
    </row>
    <row r="1483" spans="27:27">
      <c r="AA1483" s="895"/>
    </row>
    <row r="1484" spans="27:27">
      <c r="AA1484" s="895"/>
    </row>
    <row r="1485" spans="27:27">
      <c r="AA1485" s="895"/>
    </row>
    <row r="1486" spans="27:27">
      <c r="AA1486" s="895"/>
    </row>
    <row r="1487" spans="27:27">
      <c r="AA1487" s="895"/>
    </row>
    <row r="1488" spans="27:27">
      <c r="AA1488" s="895"/>
    </row>
    <row r="1489" spans="27:27">
      <c r="AA1489" s="895"/>
    </row>
    <row r="1490" spans="27:27">
      <c r="AA1490" s="895"/>
    </row>
    <row r="1491" spans="27:27">
      <c r="AA1491" s="895"/>
    </row>
    <row r="1492" spans="27:27">
      <c r="AA1492" s="895"/>
    </row>
    <row r="1493" spans="27:27">
      <c r="AA1493" s="895"/>
    </row>
    <row r="1494" spans="27:27">
      <c r="AA1494" s="895"/>
    </row>
    <row r="1495" spans="27:27">
      <c r="AA1495" s="895"/>
    </row>
    <row r="1496" spans="27:27">
      <c r="AA1496" s="895"/>
    </row>
    <row r="1497" spans="27:27">
      <c r="AA1497" s="895"/>
    </row>
    <row r="1498" spans="27:27">
      <c r="AA1498" s="895"/>
    </row>
    <row r="1499" spans="27:27">
      <c r="AA1499" s="895"/>
    </row>
    <row r="1500" spans="27:27">
      <c r="AA1500" s="895"/>
    </row>
    <row r="1501" spans="27:27">
      <c r="AA1501" s="895"/>
    </row>
    <row r="1502" spans="27:27">
      <c r="AA1502" s="895"/>
    </row>
    <row r="1503" spans="27:27">
      <c r="AA1503" s="895"/>
    </row>
    <row r="1504" spans="27:27">
      <c r="AA1504" s="895"/>
    </row>
    <row r="1505" spans="27:27">
      <c r="AA1505" s="895"/>
    </row>
    <row r="1506" spans="27:27">
      <c r="AA1506" s="895"/>
    </row>
    <row r="1507" spans="27:27">
      <c r="AA1507" s="895"/>
    </row>
    <row r="1508" spans="27:27">
      <c r="AA1508" s="895"/>
    </row>
    <row r="1509" spans="27:27">
      <c r="AA1509" s="895"/>
    </row>
    <row r="1510" spans="27:27">
      <c r="AA1510" s="895"/>
    </row>
    <row r="1511" spans="27:27">
      <c r="AA1511" s="895"/>
    </row>
    <row r="1512" spans="27:27">
      <c r="AA1512" s="895"/>
    </row>
    <row r="1513" spans="27:27">
      <c r="AA1513" s="895"/>
    </row>
    <row r="1514" spans="27:27">
      <c r="AA1514" s="895"/>
    </row>
    <row r="1515" spans="27:27">
      <c r="AA1515" s="895"/>
    </row>
    <row r="1516" spans="27:27">
      <c r="AA1516" s="895"/>
    </row>
    <row r="1517" spans="27:27">
      <c r="AA1517" s="895"/>
    </row>
    <row r="1518" spans="27:27">
      <c r="AA1518" s="895"/>
    </row>
    <row r="1519" spans="27:27">
      <c r="AA1519" s="895"/>
    </row>
    <row r="1520" spans="27:27">
      <c r="AA1520" s="895"/>
    </row>
    <row r="1521" spans="27:27">
      <c r="AA1521" s="895"/>
    </row>
    <row r="1522" spans="27:27">
      <c r="AA1522" s="895"/>
    </row>
    <row r="1523" spans="27:27">
      <c r="AA1523" s="895"/>
    </row>
    <row r="1524" spans="27:27">
      <c r="AA1524" s="895"/>
    </row>
    <row r="1525" spans="27:27">
      <c r="AA1525" s="895"/>
    </row>
    <row r="1526" spans="27:27">
      <c r="AA1526" s="895"/>
    </row>
    <row r="1527" spans="27:27">
      <c r="AA1527" s="895"/>
    </row>
    <row r="1528" spans="27:27">
      <c r="AA1528" s="895"/>
    </row>
    <row r="1529" spans="27:27">
      <c r="AA1529" s="895"/>
    </row>
    <row r="1530" spans="27:27">
      <c r="AA1530" s="895"/>
    </row>
    <row r="1531" spans="27:27">
      <c r="AA1531" s="895"/>
    </row>
    <row r="1532" spans="27:27">
      <c r="AA1532" s="895"/>
    </row>
    <row r="1533" spans="27:27">
      <c r="AA1533" s="895"/>
    </row>
    <row r="1534" spans="27:27">
      <c r="AA1534" s="895"/>
    </row>
    <row r="1535" spans="27:27">
      <c r="AA1535" s="895"/>
    </row>
    <row r="1536" spans="27:27">
      <c r="AA1536" s="895"/>
    </row>
    <row r="1537" spans="27:27">
      <c r="AA1537" s="895"/>
    </row>
    <row r="1538" spans="27:27">
      <c r="AA1538" s="895"/>
    </row>
    <row r="1539" spans="27:27">
      <c r="AA1539" s="895"/>
    </row>
    <row r="1540" spans="27:27">
      <c r="AA1540" s="895"/>
    </row>
    <row r="1541" spans="27:27">
      <c r="AA1541" s="895"/>
    </row>
    <row r="1542" spans="27:27">
      <c r="AA1542" s="895"/>
    </row>
    <row r="1543" spans="27:27">
      <c r="AA1543" s="895"/>
    </row>
    <row r="1544" spans="27:27">
      <c r="AA1544" s="895"/>
    </row>
    <row r="1545" spans="27:27">
      <c r="AA1545" s="895"/>
    </row>
    <row r="1546" spans="27:27">
      <c r="AA1546" s="895"/>
    </row>
    <row r="1547" spans="27:27">
      <c r="AA1547" s="895"/>
    </row>
    <row r="1548" spans="27:27">
      <c r="AA1548" s="895"/>
    </row>
    <row r="1549" spans="27:27">
      <c r="AA1549" s="895"/>
    </row>
    <row r="1550" spans="27:27">
      <c r="AA1550" s="895"/>
    </row>
    <row r="1551" spans="27:27">
      <c r="AA1551" s="895"/>
    </row>
    <row r="1552" spans="27:27">
      <c r="AA1552" s="895"/>
    </row>
    <row r="1553" spans="27:27">
      <c r="AA1553" s="895"/>
    </row>
    <row r="1554" spans="27:27">
      <c r="AA1554" s="895"/>
    </row>
    <row r="1555" spans="27:27">
      <c r="AA1555" s="895"/>
    </row>
    <row r="1556" spans="27:27">
      <c r="AA1556" s="895"/>
    </row>
    <row r="1557" spans="27:27">
      <c r="AA1557" s="895"/>
    </row>
    <row r="1558" spans="27:27">
      <c r="AA1558" s="895"/>
    </row>
    <row r="1559" spans="27:27">
      <c r="AA1559" s="895"/>
    </row>
    <row r="1560" spans="27:27">
      <c r="AA1560" s="895"/>
    </row>
    <row r="1561" spans="27:27">
      <c r="AA1561" s="895"/>
    </row>
    <row r="1562" spans="27:27">
      <c r="AA1562" s="895"/>
    </row>
    <row r="1563" spans="27:27">
      <c r="AA1563" s="895"/>
    </row>
    <row r="1564" spans="27:27">
      <c r="AA1564" s="895"/>
    </row>
    <row r="1565" spans="27:27">
      <c r="AA1565" s="895"/>
    </row>
    <row r="1566" spans="27:27">
      <c r="AA1566" s="895"/>
    </row>
    <row r="1567" spans="27:27">
      <c r="AA1567" s="895"/>
    </row>
    <row r="1568" spans="27:27">
      <c r="AA1568" s="895"/>
    </row>
    <row r="1569" spans="27:27">
      <c r="AA1569" s="895"/>
    </row>
    <row r="1570" spans="27:27">
      <c r="AA1570" s="895"/>
    </row>
    <row r="1571" spans="27:27">
      <c r="AA1571" s="895"/>
    </row>
    <row r="1572" spans="27:27">
      <c r="AA1572" s="895"/>
    </row>
    <row r="1573" spans="27:27">
      <c r="AA1573" s="895"/>
    </row>
    <row r="1574" spans="27:27">
      <c r="AA1574" s="895"/>
    </row>
    <row r="1575" spans="27:27">
      <c r="AA1575" s="895"/>
    </row>
    <row r="1576" spans="27:27">
      <c r="AA1576" s="895"/>
    </row>
    <row r="1577" spans="27:27">
      <c r="AA1577" s="895"/>
    </row>
    <row r="1578" spans="27:27">
      <c r="AA1578" s="895"/>
    </row>
    <row r="1579" spans="27:27">
      <c r="AA1579" s="895"/>
    </row>
    <row r="1580" spans="27:27">
      <c r="AA1580" s="895"/>
    </row>
    <row r="1581" spans="27:27">
      <c r="AA1581" s="895"/>
    </row>
    <row r="1582" spans="27:27">
      <c r="AA1582" s="895"/>
    </row>
    <row r="1583" spans="27:27">
      <c r="AA1583" s="895"/>
    </row>
    <row r="1584" spans="27:27">
      <c r="AA1584" s="895"/>
    </row>
    <row r="1585" spans="27:27">
      <c r="AA1585" s="895"/>
    </row>
    <row r="1586" spans="27:27">
      <c r="AA1586" s="895"/>
    </row>
    <row r="1587" spans="27:27">
      <c r="AA1587" s="895"/>
    </row>
    <row r="1588" spans="27:27">
      <c r="AA1588" s="895"/>
    </row>
    <row r="1589" spans="27:27">
      <c r="AA1589" s="895"/>
    </row>
    <row r="1590" spans="27:27">
      <c r="AA1590" s="895"/>
    </row>
    <row r="1591" spans="27:27">
      <c r="AA1591" s="895"/>
    </row>
    <row r="1592" spans="27:27">
      <c r="AA1592" s="895"/>
    </row>
    <row r="1593" spans="27:27">
      <c r="AA1593" s="895"/>
    </row>
    <row r="1594" spans="27:27">
      <c r="AA1594" s="895"/>
    </row>
    <row r="1595" spans="27:27">
      <c r="AA1595" s="895"/>
    </row>
    <row r="1596" spans="27:27">
      <c r="AA1596" s="895"/>
    </row>
    <row r="1597" spans="27:27">
      <c r="AA1597" s="895"/>
    </row>
    <row r="1598" spans="27:27">
      <c r="AA1598" s="895"/>
    </row>
    <row r="1599" spans="27:27">
      <c r="AA1599" s="895"/>
    </row>
    <row r="1600" spans="27:27">
      <c r="AA1600" s="895"/>
    </row>
    <row r="1601" spans="27:27">
      <c r="AA1601" s="895"/>
    </row>
    <row r="1602" spans="27:27">
      <c r="AA1602" s="895"/>
    </row>
    <row r="1603" spans="27:27">
      <c r="AA1603" s="895"/>
    </row>
    <row r="1604" spans="27:27">
      <c r="AA1604" s="895"/>
    </row>
    <row r="1605" spans="27:27">
      <c r="AA1605" s="895"/>
    </row>
    <row r="1606" spans="27:27">
      <c r="AA1606" s="895"/>
    </row>
    <row r="1607" spans="27:27">
      <c r="AA1607" s="895"/>
    </row>
    <row r="1608" spans="27:27">
      <c r="AA1608" s="895"/>
    </row>
    <row r="1609" spans="27:27">
      <c r="AA1609" s="895"/>
    </row>
    <row r="1610" spans="27:27">
      <c r="AA1610" s="895"/>
    </row>
    <row r="1611" spans="27:27">
      <c r="AA1611" s="895"/>
    </row>
    <row r="1612" spans="27:27">
      <c r="AA1612" s="895"/>
    </row>
    <row r="1613" spans="27:27">
      <c r="AA1613" s="895"/>
    </row>
    <row r="1614" spans="27:27">
      <c r="AA1614" s="895"/>
    </row>
    <row r="1615" spans="27:27">
      <c r="AA1615" s="895"/>
    </row>
    <row r="1616" spans="27:27">
      <c r="AA1616" s="895"/>
    </row>
    <row r="1617" spans="27:27">
      <c r="AA1617" s="895"/>
    </row>
    <row r="1618" spans="27:27">
      <c r="AA1618" s="895"/>
    </row>
    <row r="1619" spans="27:27">
      <c r="AA1619" s="895"/>
    </row>
    <row r="1620" spans="27:27">
      <c r="AA1620" s="895"/>
    </row>
    <row r="1621" spans="27:27">
      <c r="AA1621" s="895"/>
    </row>
    <row r="1622" spans="27:27">
      <c r="AA1622" s="895"/>
    </row>
    <row r="1623" spans="27:27">
      <c r="AA1623" s="895"/>
    </row>
    <row r="1624" spans="27:27">
      <c r="AA1624" s="895"/>
    </row>
    <row r="1625" spans="27:27">
      <c r="AA1625" s="895"/>
    </row>
    <row r="1626" spans="27:27">
      <c r="AA1626" s="895"/>
    </row>
    <row r="1627" spans="27:27">
      <c r="AA1627" s="895"/>
    </row>
    <row r="1628" spans="27:27">
      <c r="AA1628" s="895"/>
    </row>
    <row r="1629" spans="27:27">
      <c r="AA1629" s="895"/>
    </row>
    <row r="1630" spans="27:27">
      <c r="AA1630" s="895"/>
    </row>
    <row r="1631" spans="27:27">
      <c r="AA1631" s="895"/>
    </row>
    <row r="1632" spans="27:27">
      <c r="AA1632" s="895"/>
    </row>
    <row r="1633" spans="27:27">
      <c r="AA1633" s="895"/>
    </row>
    <row r="1634" spans="27:27">
      <c r="AA1634" s="895"/>
    </row>
    <row r="1635" spans="27:27">
      <c r="AA1635" s="895"/>
    </row>
    <row r="1636" spans="27:27">
      <c r="AA1636" s="895"/>
    </row>
    <row r="1637" spans="27:27">
      <c r="AA1637" s="895"/>
    </row>
    <row r="1638" spans="27:27">
      <c r="AA1638" s="895"/>
    </row>
    <row r="1639" spans="27:27">
      <c r="AA1639" s="895"/>
    </row>
    <row r="1640" spans="27:27">
      <c r="AA1640" s="895"/>
    </row>
    <row r="1641" spans="27:27">
      <c r="AA1641" s="895"/>
    </row>
    <row r="1642" spans="27:27">
      <c r="AA1642" s="895"/>
    </row>
    <row r="1643" spans="27:27">
      <c r="AA1643" s="895"/>
    </row>
    <row r="1644" spans="27:27">
      <c r="AA1644" s="895"/>
    </row>
    <row r="1645" spans="27:27">
      <c r="AA1645" s="895"/>
    </row>
    <row r="1646" spans="27:27">
      <c r="AA1646" s="895"/>
    </row>
    <row r="1647" spans="27:27">
      <c r="AA1647" s="895"/>
    </row>
    <row r="1648" spans="27:27">
      <c r="AA1648" s="895"/>
    </row>
    <row r="1649" spans="27:27">
      <c r="AA1649" s="895"/>
    </row>
    <row r="1650" spans="27:27">
      <c r="AA1650" s="895"/>
    </row>
    <row r="1651" spans="27:27">
      <c r="AA1651" s="895"/>
    </row>
    <row r="1652" spans="27:27">
      <c r="AA1652" s="895"/>
    </row>
    <row r="1653" spans="27:27">
      <c r="AA1653" s="895"/>
    </row>
    <row r="1654" spans="27:27">
      <c r="AA1654" s="895"/>
    </row>
    <row r="1655" spans="27:27">
      <c r="AA1655" s="895"/>
    </row>
    <row r="1656" spans="27:27">
      <c r="AA1656" s="895"/>
    </row>
    <row r="1657" spans="27:27">
      <c r="AA1657" s="895"/>
    </row>
    <row r="1658" spans="27:27">
      <c r="AA1658" s="895"/>
    </row>
    <row r="1659" spans="27:27">
      <c r="AA1659" s="895"/>
    </row>
    <row r="1660" spans="27:27">
      <c r="AA1660" s="895"/>
    </row>
    <row r="1661" spans="27:27">
      <c r="AA1661" s="895"/>
    </row>
    <row r="1662" spans="27:27">
      <c r="AA1662" s="895"/>
    </row>
    <row r="1663" spans="27:27">
      <c r="AA1663" s="895"/>
    </row>
    <row r="1664" spans="27:27">
      <c r="AA1664" s="895"/>
    </row>
    <row r="1665" spans="27:27">
      <c r="AA1665" s="895"/>
    </row>
    <row r="1666" spans="27:27">
      <c r="AA1666" s="895"/>
    </row>
    <row r="1667" spans="27:27">
      <c r="AA1667" s="895"/>
    </row>
    <row r="1668" spans="27:27">
      <c r="AA1668" s="895"/>
    </row>
    <row r="1669" spans="27:27">
      <c r="AA1669" s="895"/>
    </row>
    <row r="1670" spans="27:27">
      <c r="AA1670" s="895"/>
    </row>
    <row r="1671" spans="27:27">
      <c r="AA1671" s="895"/>
    </row>
    <row r="1672" spans="27:27">
      <c r="AA1672" s="895"/>
    </row>
    <row r="1673" spans="27:27">
      <c r="AA1673" s="895"/>
    </row>
    <row r="1674" spans="27:27">
      <c r="AA1674" s="895"/>
    </row>
    <row r="1675" spans="27:27">
      <c r="AA1675" s="895"/>
    </row>
    <row r="1676" spans="27:27">
      <c r="AA1676" s="895"/>
    </row>
    <row r="1677" spans="27:27">
      <c r="AA1677" s="895"/>
    </row>
    <row r="1678" spans="27:27">
      <c r="AA1678" s="895"/>
    </row>
    <row r="1679" spans="27:27">
      <c r="AA1679" s="895"/>
    </row>
    <row r="1680" spans="27:27">
      <c r="AA1680" s="895"/>
    </row>
    <row r="1681" spans="27:27">
      <c r="AA1681" s="895"/>
    </row>
    <row r="1682" spans="27:27">
      <c r="AA1682" s="895"/>
    </row>
    <row r="1683" spans="27:27">
      <c r="AA1683" s="895"/>
    </row>
    <row r="1684" spans="27:27">
      <c r="AA1684" s="895"/>
    </row>
    <row r="1685" spans="27:27">
      <c r="AA1685" s="895"/>
    </row>
    <row r="1686" spans="27:27">
      <c r="AA1686" s="895"/>
    </row>
    <row r="1687" spans="27:27">
      <c r="AA1687" s="895"/>
    </row>
    <row r="1688" spans="27:27">
      <c r="AA1688" s="895"/>
    </row>
    <row r="1689" spans="27:27">
      <c r="AA1689" s="895"/>
    </row>
    <row r="1690" spans="27:27">
      <c r="AA1690" s="895"/>
    </row>
    <row r="1691" spans="27:27">
      <c r="AA1691" s="895"/>
    </row>
    <row r="1692" spans="27:27">
      <c r="AA1692" s="895"/>
    </row>
    <row r="1693" spans="27:27">
      <c r="AA1693" s="895"/>
    </row>
    <row r="1694" spans="27:27">
      <c r="AA1694" s="895"/>
    </row>
    <row r="1695" spans="27:27">
      <c r="AA1695" s="895"/>
    </row>
    <row r="1696" spans="27:27">
      <c r="AA1696" s="895"/>
    </row>
    <row r="1697" spans="27:27">
      <c r="AA1697" s="895"/>
    </row>
    <row r="1698" spans="27:27">
      <c r="AA1698" s="895"/>
    </row>
    <row r="1699" spans="27:27">
      <c r="AA1699" s="895"/>
    </row>
    <row r="1700" spans="27:27">
      <c r="AA1700" s="895"/>
    </row>
    <row r="1701" spans="27:27">
      <c r="AA1701" s="895"/>
    </row>
    <row r="1702" spans="27:27">
      <c r="AA1702" s="895"/>
    </row>
    <row r="1703" spans="27:27">
      <c r="AA1703" s="895"/>
    </row>
    <row r="1704" spans="27:27">
      <c r="AA1704" s="895"/>
    </row>
    <row r="1705" spans="27:27">
      <c r="AA1705" s="895"/>
    </row>
    <row r="1706" spans="27:27">
      <c r="AA1706" s="895"/>
    </row>
    <row r="1707" spans="27:27">
      <c r="AA1707" s="895"/>
    </row>
    <row r="1708" spans="27:27">
      <c r="AA1708" s="895"/>
    </row>
    <row r="1709" spans="27:27">
      <c r="AA1709" s="895"/>
    </row>
    <row r="1710" spans="27:27">
      <c r="AA1710" s="895"/>
    </row>
    <row r="1711" spans="27:27">
      <c r="AA1711" s="895"/>
    </row>
    <row r="1712" spans="27:27">
      <c r="AA1712" s="895"/>
    </row>
    <row r="1713" spans="27:27">
      <c r="AA1713" s="895"/>
    </row>
    <row r="1714" spans="27:27">
      <c r="AA1714" s="895"/>
    </row>
    <row r="1715" spans="27:27">
      <c r="AA1715" s="895"/>
    </row>
    <row r="1716" spans="27:27">
      <c r="AA1716" s="895"/>
    </row>
    <row r="1717" spans="27:27">
      <c r="AA1717" s="895"/>
    </row>
    <row r="1718" spans="27:27">
      <c r="AA1718" s="895"/>
    </row>
    <row r="1719" spans="27:27">
      <c r="AA1719" s="895"/>
    </row>
    <row r="1720" spans="27:27">
      <c r="AA1720" s="895"/>
    </row>
    <row r="1721" spans="27:27">
      <c r="AA1721" s="895"/>
    </row>
    <row r="1722" spans="27:27">
      <c r="AA1722" s="895"/>
    </row>
    <row r="1723" spans="27:27">
      <c r="AA1723" s="895"/>
    </row>
    <row r="1724" spans="27:27">
      <c r="AA1724" s="895"/>
    </row>
    <row r="1725" spans="27:27">
      <c r="AA1725" s="895"/>
    </row>
    <row r="1726" spans="27:27">
      <c r="AA1726" s="895"/>
    </row>
    <row r="1727" spans="27:27">
      <c r="AA1727" s="895"/>
    </row>
    <row r="1728" spans="27:27">
      <c r="AA1728" s="895"/>
    </row>
    <row r="1729" spans="27:27">
      <c r="AA1729" s="895"/>
    </row>
    <row r="1730" spans="27:27">
      <c r="AA1730" s="895"/>
    </row>
    <row r="1731" spans="27:27">
      <c r="AA1731" s="895"/>
    </row>
    <row r="1732" spans="27:27">
      <c r="AA1732" s="895"/>
    </row>
    <row r="1733" spans="27:27">
      <c r="AA1733" s="895"/>
    </row>
    <row r="1734" spans="27:27">
      <c r="AA1734" s="895"/>
    </row>
    <row r="1735" spans="27:27">
      <c r="AA1735" s="895"/>
    </row>
    <row r="1736" spans="27:27">
      <c r="AA1736" s="895"/>
    </row>
    <row r="1737" spans="27:27">
      <c r="AA1737" s="895"/>
    </row>
    <row r="1738" spans="27:27">
      <c r="AA1738" s="895"/>
    </row>
    <row r="1739" spans="27:27">
      <c r="AA1739" s="895"/>
    </row>
    <row r="1740" spans="27:27">
      <c r="AA1740" s="895"/>
    </row>
    <row r="1741" spans="27:27">
      <c r="AA1741" s="895"/>
    </row>
    <row r="1742" spans="27:27">
      <c r="AA1742" s="895"/>
    </row>
    <row r="1743" spans="27:27">
      <c r="AA1743" s="895"/>
    </row>
    <row r="1744" spans="27:27">
      <c r="AA1744" s="895"/>
    </row>
    <row r="1745" spans="27:27">
      <c r="AA1745" s="895"/>
    </row>
    <row r="1746" spans="27:27">
      <c r="AA1746" s="895"/>
    </row>
    <row r="1747" spans="27:27">
      <c r="AA1747" s="895"/>
    </row>
    <row r="1748" spans="27:27">
      <c r="AA1748" s="895"/>
    </row>
    <row r="1749" spans="27:27">
      <c r="AA1749" s="895"/>
    </row>
    <row r="1750" spans="27:27">
      <c r="AA1750" s="895"/>
    </row>
    <row r="1751" spans="27:27">
      <c r="AA1751" s="895"/>
    </row>
    <row r="1752" spans="27:27">
      <c r="AA1752" s="895"/>
    </row>
    <row r="1753" spans="27:27">
      <c r="AA1753" s="895"/>
    </row>
    <row r="1754" spans="27:27">
      <c r="AA1754" s="895"/>
    </row>
    <row r="1755" spans="27:27">
      <c r="AA1755" s="895"/>
    </row>
    <row r="1756" spans="27:27">
      <c r="AA1756" s="895"/>
    </row>
    <row r="1757" spans="27:27">
      <c r="AA1757" s="895"/>
    </row>
    <row r="1758" spans="27:27">
      <c r="AA1758" s="895"/>
    </row>
    <row r="1759" spans="27:27">
      <c r="AA1759" s="895"/>
    </row>
    <row r="1760" spans="27:27">
      <c r="AA1760" s="895"/>
    </row>
    <row r="1761" spans="27:27">
      <c r="AA1761" s="895"/>
    </row>
    <row r="1762" spans="27:27">
      <c r="AA1762" s="895"/>
    </row>
    <row r="1763" spans="27:27">
      <c r="AA1763" s="895"/>
    </row>
    <row r="1764" spans="27:27">
      <c r="AA1764" s="895"/>
    </row>
    <row r="1765" spans="27:27">
      <c r="AA1765" s="895"/>
    </row>
    <row r="1766" spans="27:27">
      <c r="AA1766" s="895"/>
    </row>
    <row r="1767" spans="27:27">
      <c r="AA1767" s="895"/>
    </row>
    <row r="1768" spans="27:27">
      <c r="AA1768" s="895"/>
    </row>
    <row r="1769" spans="27:27">
      <c r="AA1769" s="895"/>
    </row>
    <row r="1770" spans="27:27">
      <c r="AA1770" s="895"/>
    </row>
    <row r="1771" spans="27:27">
      <c r="AA1771" s="895"/>
    </row>
    <row r="1772" spans="27:27">
      <c r="AA1772" s="895"/>
    </row>
    <row r="1773" spans="27:27">
      <c r="AA1773" s="895"/>
    </row>
    <row r="1774" spans="27:27">
      <c r="AA1774" s="895"/>
    </row>
    <row r="1775" spans="27:27">
      <c r="AA1775" s="895"/>
    </row>
    <row r="1776" spans="27:27">
      <c r="AA1776" s="895"/>
    </row>
    <row r="1777" spans="27:27">
      <c r="AA1777" s="895"/>
    </row>
    <row r="1778" spans="27:27">
      <c r="AA1778" s="895"/>
    </row>
    <row r="1779" spans="27:27">
      <c r="AA1779" s="895"/>
    </row>
    <row r="1780" spans="27:27">
      <c r="AA1780" s="895"/>
    </row>
    <row r="1781" spans="27:27">
      <c r="AA1781" s="895"/>
    </row>
    <row r="1782" spans="27:27">
      <c r="AA1782" s="895"/>
    </row>
    <row r="1783" spans="27:27">
      <c r="AA1783" s="895"/>
    </row>
    <row r="1784" spans="27:27">
      <c r="AA1784" s="895"/>
    </row>
    <row r="1785" spans="27:27">
      <c r="AA1785" s="895"/>
    </row>
    <row r="1786" spans="27:27">
      <c r="AA1786" s="895"/>
    </row>
    <row r="1787" spans="27:27">
      <c r="AA1787" s="895"/>
    </row>
    <row r="1788" spans="27:27">
      <c r="AA1788" s="895"/>
    </row>
    <row r="1789" spans="27:27">
      <c r="AA1789" s="895"/>
    </row>
    <row r="1790" spans="27:27">
      <c r="AA1790" s="895"/>
    </row>
    <row r="1791" spans="27:27">
      <c r="AA1791" s="895"/>
    </row>
    <row r="1792" spans="27:27">
      <c r="AA1792" s="895"/>
    </row>
    <row r="1793" spans="27:27">
      <c r="AA1793" s="895"/>
    </row>
    <row r="1794" spans="27:27">
      <c r="AA1794" s="895"/>
    </row>
    <row r="1795" spans="27:27">
      <c r="AA1795" s="895"/>
    </row>
    <row r="1796" spans="27:27">
      <c r="AA1796" s="895"/>
    </row>
    <row r="1797" spans="27:27">
      <c r="AA1797" s="895"/>
    </row>
    <row r="1798" spans="27:27">
      <c r="AA1798" s="895"/>
    </row>
    <row r="1799" spans="27:27">
      <c r="AA1799" s="895"/>
    </row>
    <row r="1800" spans="27:27">
      <c r="AA1800" s="895"/>
    </row>
    <row r="1801" spans="27:27">
      <c r="AA1801" s="895"/>
    </row>
    <row r="1802" spans="27:27">
      <c r="AA1802" s="895"/>
    </row>
    <row r="1803" spans="27:27">
      <c r="AA1803" s="895"/>
    </row>
    <row r="1804" spans="27:27">
      <c r="AA1804" s="895"/>
    </row>
    <row r="1805" spans="27:27">
      <c r="AA1805" s="895"/>
    </row>
    <row r="1806" spans="27:27">
      <c r="AA1806" s="895"/>
    </row>
    <row r="1807" spans="27:27">
      <c r="AA1807" s="895"/>
    </row>
    <row r="1808" spans="27:27">
      <c r="AA1808" s="895"/>
    </row>
    <row r="1809" spans="27:27">
      <c r="AA1809" s="895"/>
    </row>
    <row r="1810" spans="27:27">
      <c r="AA1810" s="895"/>
    </row>
    <row r="1811" spans="27:27">
      <c r="AA1811" s="895"/>
    </row>
    <row r="1812" spans="27:27">
      <c r="AA1812" s="895"/>
    </row>
    <row r="1813" spans="27:27">
      <c r="AA1813" s="895"/>
    </row>
    <row r="1814" spans="27:27">
      <c r="AA1814" s="895"/>
    </row>
    <row r="1815" spans="27:27">
      <c r="AA1815" s="895"/>
    </row>
    <row r="1816" spans="27:27">
      <c r="AA1816" s="895"/>
    </row>
    <row r="1817" spans="27:27">
      <c r="AA1817" s="895"/>
    </row>
    <row r="1818" spans="27:27">
      <c r="AA1818" s="895"/>
    </row>
    <row r="1819" spans="27:27">
      <c r="AA1819" s="895"/>
    </row>
    <row r="1820" spans="27:27">
      <c r="AA1820" s="895"/>
    </row>
    <row r="1821" spans="27:27">
      <c r="AA1821" s="895"/>
    </row>
    <row r="1822" spans="27:27">
      <c r="AA1822" s="895"/>
    </row>
    <row r="1823" spans="27:27">
      <c r="AA1823" s="895"/>
    </row>
    <row r="1824" spans="27:27">
      <c r="AA1824" s="895"/>
    </row>
    <row r="1825" spans="27:27">
      <c r="AA1825" s="895"/>
    </row>
    <row r="1826" spans="27:27">
      <c r="AA1826" s="895"/>
    </row>
    <row r="1827" spans="27:27">
      <c r="AA1827" s="895"/>
    </row>
    <row r="1828" spans="27:27">
      <c r="AA1828" s="895"/>
    </row>
    <row r="1829" spans="27:27">
      <c r="AA1829" s="895"/>
    </row>
    <row r="1830" spans="27:27">
      <c r="AA1830" s="895"/>
    </row>
    <row r="1831" spans="27:27">
      <c r="AA1831" s="895"/>
    </row>
    <row r="1832" spans="27:27">
      <c r="AA1832" s="895"/>
    </row>
    <row r="1833" spans="27:27">
      <c r="AA1833" s="895"/>
    </row>
    <row r="1834" spans="27:27">
      <c r="AA1834" s="895"/>
    </row>
    <row r="1835" spans="27:27">
      <c r="AA1835" s="895"/>
    </row>
    <row r="1836" spans="27:27">
      <c r="AA1836" s="895"/>
    </row>
    <row r="1837" spans="27:27">
      <c r="AA1837" s="895"/>
    </row>
    <row r="1838" spans="27:27">
      <c r="AA1838" s="895"/>
    </row>
    <row r="1839" spans="27:27">
      <c r="AA1839" s="895"/>
    </row>
    <row r="1840" spans="27:27">
      <c r="AA1840" s="895"/>
    </row>
    <row r="1841" spans="27:27">
      <c r="AA1841" s="895"/>
    </row>
    <row r="1842" spans="27:27">
      <c r="AA1842" s="895"/>
    </row>
    <row r="1843" spans="27:27">
      <c r="AA1843" s="895"/>
    </row>
    <row r="1844" spans="27:27">
      <c r="AA1844" s="895"/>
    </row>
    <row r="1845" spans="27:27">
      <c r="AA1845" s="895"/>
    </row>
    <row r="1846" spans="27:27">
      <c r="AA1846" s="895"/>
    </row>
    <row r="1847" spans="27:27">
      <c r="AA1847" s="895"/>
    </row>
    <row r="1848" spans="27:27">
      <c r="AA1848" s="895"/>
    </row>
    <row r="1849" spans="27:27">
      <c r="AA1849" s="895"/>
    </row>
    <row r="1850" spans="27:27">
      <c r="AA1850" s="895"/>
    </row>
    <row r="1851" spans="27:27">
      <c r="AA1851" s="895"/>
    </row>
    <row r="1852" spans="27:27">
      <c r="AA1852" s="895"/>
    </row>
    <row r="1853" spans="27:27">
      <c r="AA1853" s="895"/>
    </row>
    <row r="1854" spans="27:27">
      <c r="AA1854" s="895"/>
    </row>
    <row r="1855" spans="27:27">
      <c r="AA1855" s="895"/>
    </row>
    <row r="1856" spans="27:27">
      <c r="AA1856" s="895"/>
    </row>
    <row r="1857" spans="27:27">
      <c r="AA1857" s="895"/>
    </row>
    <row r="1858" spans="27:27">
      <c r="AA1858" s="895"/>
    </row>
    <row r="1859" spans="27:27">
      <c r="AA1859" s="895"/>
    </row>
    <row r="1860" spans="27:27">
      <c r="AA1860" s="895"/>
    </row>
    <row r="1861" spans="27:27">
      <c r="AA1861" s="895"/>
    </row>
    <row r="1862" spans="27:27">
      <c r="AA1862" s="895"/>
    </row>
    <row r="1863" spans="27:27">
      <c r="AA1863" s="895"/>
    </row>
    <row r="1864" spans="27:27">
      <c r="AA1864" s="895"/>
    </row>
    <row r="1865" spans="27:27">
      <c r="AA1865" s="895"/>
    </row>
    <row r="1866" spans="27:27">
      <c r="AA1866" s="895"/>
    </row>
    <row r="1867" spans="27:27">
      <c r="AA1867" s="895"/>
    </row>
    <row r="1868" spans="27:27">
      <c r="AA1868" s="895"/>
    </row>
    <row r="1869" spans="27:27">
      <c r="AA1869" s="895"/>
    </row>
    <row r="1870" spans="27:27">
      <c r="AA1870" s="895"/>
    </row>
    <row r="1871" spans="27:27">
      <c r="AA1871" s="895"/>
    </row>
    <row r="1872" spans="27:27">
      <c r="AA1872" s="895"/>
    </row>
    <row r="1873" spans="27:27">
      <c r="AA1873" s="895"/>
    </row>
    <row r="1874" spans="27:27">
      <c r="AA1874" s="895"/>
    </row>
    <row r="1875" spans="27:27">
      <c r="AA1875" s="895"/>
    </row>
    <row r="1876" spans="27:27">
      <c r="AA1876" s="895"/>
    </row>
    <row r="1877" spans="27:27">
      <c r="AA1877" s="895"/>
    </row>
    <row r="1878" spans="27:27">
      <c r="AA1878" s="895"/>
    </row>
    <row r="1879" spans="27:27">
      <c r="AA1879" s="895"/>
    </row>
    <row r="1880" spans="27:27">
      <c r="AA1880" s="895"/>
    </row>
    <row r="1881" spans="27:27">
      <c r="AA1881" s="895"/>
    </row>
    <row r="1882" spans="27:27">
      <c r="AA1882" s="895"/>
    </row>
    <row r="1883" spans="27:27">
      <c r="AA1883" s="895"/>
    </row>
    <row r="1884" spans="27:27">
      <c r="AA1884" s="895"/>
    </row>
    <row r="1885" spans="27:27">
      <c r="AA1885" s="895"/>
    </row>
    <row r="1886" spans="27:27">
      <c r="AA1886" s="895"/>
    </row>
    <row r="1887" spans="27:27">
      <c r="AA1887" s="895"/>
    </row>
    <row r="1888" spans="27:27">
      <c r="AA1888" s="895"/>
    </row>
    <row r="1889" spans="27:27">
      <c r="AA1889" s="895"/>
    </row>
    <row r="1890" spans="27:27">
      <c r="AA1890" s="895"/>
    </row>
    <row r="1891" spans="27:27">
      <c r="AA1891" s="895"/>
    </row>
    <row r="1892" spans="27:27">
      <c r="AA1892" s="895"/>
    </row>
    <row r="1893" spans="27:27">
      <c r="AA1893" s="895"/>
    </row>
    <row r="1894" spans="27:27">
      <c r="AA1894" s="895"/>
    </row>
    <row r="1895" spans="27:27">
      <c r="AA1895" s="895"/>
    </row>
    <row r="1896" spans="27:27">
      <c r="AA1896" s="895"/>
    </row>
    <row r="1897" spans="27:27">
      <c r="AA1897" s="895"/>
    </row>
    <row r="1898" spans="27:27">
      <c r="AA1898" s="895"/>
    </row>
    <row r="1899" spans="27:27">
      <c r="AA1899" s="895"/>
    </row>
    <row r="1900" spans="27:27">
      <c r="AA1900" s="895"/>
    </row>
    <row r="1901" spans="27:27">
      <c r="AA1901" s="895"/>
    </row>
    <row r="1902" spans="27:27">
      <c r="AA1902" s="895"/>
    </row>
    <row r="1903" spans="27:27">
      <c r="AA1903" s="895"/>
    </row>
    <row r="1904" spans="27:27">
      <c r="AA1904" s="895"/>
    </row>
    <row r="1905" spans="27:27">
      <c r="AA1905" s="895"/>
    </row>
    <row r="1906" spans="27:27">
      <c r="AA1906" s="895"/>
    </row>
    <row r="1907" spans="27:27">
      <c r="AA1907" s="895"/>
    </row>
    <row r="1908" spans="27:27">
      <c r="AA1908" s="895"/>
    </row>
    <row r="1909" spans="27:27">
      <c r="AA1909" s="895"/>
    </row>
    <row r="1910" spans="27:27">
      <c r="AA1910" s="895"/>
    </row>
    <row r="1911" spans="27:27">
      <c r="AA1911" s="895"/>
    </row>
    <row r="1912" spans="27:27">
      <c r="AA1912" s="895"/>
    </row>
    <row r="1913" spans="27:27">
      <c r="AA1913" s="895"/>
    </row>
    <row r="1914" spans="27:27">
      <c r="AA1914" s="895"/>
    </row>
    <row r="1915" spans="27:27">
      <c r="AA1915" s="895"/>
    </row>
    <row r="1916" spans="27:27">
      <c r="AA1916" s="895"/>
    </row>
    <row r="1917" spans="27:27">
      <c r="AA1917" s="895"/>
    </row>
    <row r="1918" spans="27:27">
      <c r="AA1918" s="895"/>
    </row>
    <row r="1919" spans="27:27">
      <c r="AA1919" s="895"/>
    </row>
    <row r="1920" spans="27:27">
      <c r="AA1920" s="895"/>
    </row>
    <row r="1921" spans="27:27">
      <c r="AA1921" s="895"/>
    </row>
    <row r="1922" spans="27:27">
      <c r="AA1922" s="895"/>
    </row>
    <row r="1923" spans="27:27">
      <c r="AA1923" s="895"/>
    </row>
    <row r="1924" spans="27:27">
      <c r="AA1924" s="895"/>
    </row>
    <row r="1925" spans="27:27">
      <c r="AA1925" s="895"/>
    </row>
    <row r="1926" spans="27:27">
      <c r="AA1926" s="895"/>
    </row>
    <row r="1927" spans="27:27">
      <c r="AA1927" s="895"/>
    </row>
    <row r="1928" spans="27:27">
      <c r="AA1928" s="895"/>
    </row>
    <row r="1929" spans="27:27">
      <c r="AA1929" s="895"/>
    </row>
    <row r="1930" spans="27:27">
      <c r="AA1930" s="895"/>
    </row>
    <row r="1931" spans="27:27">
      <c r="AA1931" s="895"/>
    </row>
    <row r="1932" spans="27:27">
      <c r="AA1932" s="895"/>
    </row>
    <row r="1933" spans="27:27">
      <c r="AA1933" s="895"/>
    </row>
    <row r="1934" spans="27:27">
      <c r="AA1934" s="895"/>
    </row>
    <row r="1935" spans="27:27">
      <c r="AA1935" s="895"/>
    </row>
    <row r="1936" spans="27:27">
      <c r="AA1936" s="895"/>
    </row>
    <row r="1937" spans="27:27">
      <c r="AA1937" s="895"/>
    </row>
    <row r="1938" spans="27:27">
      <c r="AA1938" s="895"/>
    </row>
    <row r="1939" spans="27:27">
      <c r="AA1939" s="895"/>
    </row>
    <row r="1940" spans="27:27">
      <c r="AA1940" s="895"/>
    </row>
    <row r="1941" spans="27:27">
      <c r="AA1941" s="895"/>
    </row>
    <row r="1942" spans="27:27">
      <c r="AA1942" s="895"/>
    </row>
    <row r="1943" spans="27:27">
      <c r="AA1943" s="895"/>
    </row>
    <row r="1944" spans="27:27">
      <c r="AA1944" s="895"/>
    </row>
    <row r="1945" spans="27:27">
      <c r="AA1945" s="895"/>
    </row>
    <row r="1946" spans="27:27">
      <c r="AA1946" s="895"/>
    </row>
    <row r="1947" spans="27:27">
      <c r="AA1947" s="895"/>
    </row>
    <row r="1948" spans="27:27">
      <c r="AA1948" s="895"/>
    </row>
    <row r="1949" spans="27:27">
      <c r="AA1949" s="895"/>
    </row>
    <row r="1950" spans="27:27">
      <c r="AA1950" s="895"/>
    </row>
    <row r="1951" spans="27:27">
      <c r="AA1951" s="895"/>
    </row>
    <row r="1952" spans="27:27">
      <c r="AA1952" s="895"/>
    </row>
    <row r="1953" spans="27:27">
      <c r="AA1953" s="895"/>
    </row>
    <row r="1954" spans="27:27">
      <c r="AA1954" s="895"/>
    </row>
    <row r="1955" spans="27:27">
      <c r="AA1955" s="895"/>
    </row>
    <row r="1956" spans="27:27">
      <c r="AA1956" s="895"/>
    </row>
    <row r="1957" spans="27:27">
      <c r="AA1957" s="895"/>
    </row>
    <row r="1958" spans="27:27">
      <c r="AA1958" s="895"/>
    </row>
    <row r="1959" spans="27:27">
      <c r="AA1959" s="895"/>
    </row>
    <row r="1960" spans="27:27">
      <c r="AA1960" s="895"/>
    </row>
    <row r="1961" spans="27:27">
      <c r="AA1961" s="895"/>
    </row>
    <row r="1962" spans="27:27">
      <c r="AA1962" s="895"/>
    </row>
    <row r="1963" spans="27:27">
      <c r="AA1963" s="895"/>
    </row>
    <row r="1964" spans="27:27">
      <c r="AA1964" s="895"/>
    </row>
    <row r="1965" spans="27:27">
      <c r="AA1965" s="895"/>
    </row>
    <row r="1966" spans="27:27">
      <c r="AA1966" s="895"/>
    </row>
    <row r="1967" spans="27:27">
      <c r="AA1967" s="895"/>
    </row>
    <row r="1968" spans="27:27">
      <c r="AA1968" s="895"/>
    </row>
    <row r="1969" spans="27:27">
      <c r="AA1969" s="895"/>
    </row>
    <row r="1970" spans="27:27">
      <c r="AA1970" s="895"/>
    </row>
    <row r="1971" spans="27:27">
      <c r="AA1971" s="895"/>
    </row>
    <row r="1972" spans="27:27">
      <c r="AA1972" s="895"/>
    </row>
    <row r="1973" spans="27:27">
      <c r="AA1973" s="895"/>
    </row>
    <row r="1974" spans="27:27">
      <c r="AA1974" s="895"/>
    </row>
    <row r="1975" spans="27:27">
      <c r="AA1975" s="895"/>
    </row>
    <row r="1976" spans="27:27">
      <c r="AA1976" s="895"/>
    </row>
    <row r="1977" spans="27:27">
      <c r="AA1977" s="895"/>
    </row>
    <row r="1978" spans="27:27">
      <c r="AA1978" s="895"/>
    </row>
    <row r="1979" spans="27:27">
      <c r="AA1979" s="895"/>
    </row>
    <row r="1980" spans="27:27">
      <c r="AA1980" s="895"/>
    </row>
    <row r="1981" spans="27:27">
      <c r="AA1981" s="895"/>
    </row>
    <row r="1982" spans="27:27">
      <c r="AA1982" s="895"/>
    </row>
    <row r="1983" spans="27:27">
      <c r="AA1983" s="895"/>
    </row>
    <row r="1984" spans="27:27">
      <c r="AA1984" s="895"/>
    </row>
    <row r="1985" spans="27:27">
      <c r="AA1985" s="895"/>
    </row>
    <row r="1986" spans="27:27">
      <c r="AA1986" s="895"/>
    </row>
    <row r="1987" spans="27:27">
      <c r="AA1987" s="895"/>
    </row>
    <row r="1988" spans="27:27">
      <c r="AA1988" s="895"/>
    </row>
    <row r="1989" spans="27:27">
      <c r="AA1989" s="895"/>
    </row>
    <row r="1990" spans="27:27">
      <c r="AA1990" s="895"/>
    </row>
    <row r="1991" spans="27:27">
      <c r="AA1991" s="895"/>
    </row>
    <row r="1992" spans="27:27">
      <c r="AA1992" s="895"/>
    </row>
    <row r="1993" spans="27:27">
      <c r="AA1993" s="895"/>
    </row>
    <row r="1994" spans="27:27">
      <c r="AA1994" s="895"/>
    </row>
    <row r="1995" spans="27:27">
      <c r="AA1995" s="895"/>
    </row>
    <row r="1996" spans="27:27">
      <c r="AA1996" s="895"/>
    </row>
    <row r="1997" spans="27:27">
      <c r="AA1997" s="895"/>
    </row>
    <row r="1998" spans="27:27">
      <c r="AA1998" s="895"/>
    </row>
    <row r="1999" spans="27:27">
      <c r="AA1999" s="895"/>
    </row>
    <row r="2000" spans="27:27">
      <c r="AA2000" s="895"/>
    </row>
    <row r="2001" spans="27:27">
      <c r="AA2001" s="895"/>
    </row>
    <row r="2002" spans="27:27">
      <c r="AA2002" s="895"/>
    </row>
    <row r="2003" spans="27:27">
      <c r="AA2003" s="895"/>
    </row>
    <row r="2004" spans="27:27">
      <c r="AA2004" s="895"/>
    </row>
    <row r="2005" spans="27:27">
      <c r="AA2005" s="895"/>
    </row>
    <row r="2006" spans="27:27">
      <c r="AA2006" s="895"/>
    </row>
    <row r="2007" spans="27:27">
      <c r="AA2007" s="895"/>
    </row>
    <row r="2008" spans="27:27">
      <c r="AA2008" s="895"/>
    </row>
    <row r="2009" spans="27:27">
      <c r="AA2009" s="895"/>
    </row>
    <row r="2010" spans="27:27">
      <c r="AA2010" s="895"/>
    </row>
    <row r="2011" spans="27:27">
      <c r="AA2011" s="895"/>
    </row>
    <row r="2012" spans="27:27">
      <c r="AA2012" s="895"/>
    </row>
    <row r="2013" spans="27:27">
      <c r="AA2013" s="895"/>
    </row>
    <row r="2014" spans="27:27">
      <c r="AA2014" s="895"/>
    </row>
    <row r="2015" spans="27:27">
      <c r="AA2015" s="895"/>
    </row>
    <row r="2016" spans="27:27">
      <c r="AA2016" s="895"/>
    </row>
    <row r="2017" spans="27:27">
      <c r="AA2017" s="895"/>
    </row>
    <row r="2018" spans="27:27">
      <c r="AA2018" s="895"/>
    </row>
    <row r="2019" spans="27:27">
      <c r="AA2019" s="895"/>
    </row>
    <row r="2020" spans="27:27">
      <c r="AA2020" s="895"/>
    </row>
    <row r="2021" spans="27:27">
      <c r="AA2021" s="895"/>
    </row>
    <row r="2022" spans="27:27">
      <c r="AA2022" s="895"/>
    </row>
    <row r="2023" spans="27:27">
      <c r="AA2023" s="895"/>
    </row>
    <row r="2024" spans="27:27">
      <c r="AA2024" s="895"/>
    </row>
    <row r="2025" spans="27:27">
      <c r="AA2025" s="895"/>
    </row>
    <row r="2026" spans="27:27">
      <c r="AA2026" s="895"/>
    </row>
    <row r="2027" spans="27:27">
      <c r="AA2027" s="895"/>
    </row>
    <row r="2028" spans="27:27">
      <c r="AA2028" s="895"/>
    </row>
    <row r="2029" spans="27:27">
      <c r="AA2029" s="895"/>
    </row>
    <row r="2030" spans="27:27">
      <c r="AA2030" s="895"/>
    </row>
    <row r="2031" spans="27:27">
      <c r="AA2031" s="895"/>
    </row>
    <row r="2032" spans="27:27">
      <c r="AA2032" s="895"/>
    </row>
    <row r="2033" spans="27:27">
      <c r="AA2033" s="895"/>
    </row>
    <row r="2034" spans="27:27">
      <c r="AA2034" s="895"/>
    </row>
    <row r="2035" spans="27:27">
      <c r="AA2035" s="895"/>
    </row>
    <row r="2036" spans="27:27">
      <c r="AA2036" s="895"/>
    </row>
    <row r="2037" spans="27:27">
      <c r="AA2037" s="895"/>
    </row>
    <row r="2038" spans="27:27">
      <c r="AA2038" s="895"/>
    </row>
    <row r="2039" spans="27:27">
      <c r="AA2039" s="895"/>
    </row>
    <row r="2040" spans="27:27">
      <c r="AA2040" s="895"/>
    </row>
    <row r="2041" spans="27:27">
      <c r="AA2041" s="895"/>
    </row>
    <row r="2042" spans="27:27">
      <c r="AA2042" s="895"/>
    </row>
    <row r="2043" spans="27:27">
      <c r="AA2043" s="895"/>
    </row>
    <row r="2044" spans="27:27">
      <c r="AA2044" s="895"/>
    </row>
    <row r="2045" spans="27:27">
      <c r="AA2045" s="895"/>
    </row>
    <row r="2046" spans="27:27">
      <c r="AA2046" s="895"/>
    </row>
    <row r="2047" spans="27:27">
      <c r="AA2047" s="895"/>
    </row>
    <row r="2048" spans="27:27">
      <c r="AA2048" s="895"/>
    </row>
    <row r="2049" spans="27:27">
      <c r="AA2049" s="895"/>
    </row>
    <row r="2050" spans="27:27">
      <c r="AA2050" s="895"/>
    </row>
    <row r="2051" spans="27:27">
      <c r="AA2051" s="895"/>
    </row>
    <row r="2052" spans="27:27">
      <c r="AA2052" s="895"/>
    </row>
    <row r="2053" spans="27:27">
      <c r="AA2053" s="895"/>
    </row>
    <row r="2054" spans="27:27">
      <c r="AA2054" s="895"/>
    </row>
    <row r="2055" spans="27:27">
      <c r="AA2055" s="895"/>
    </row>
    <row r="2056" spans="27:27">
      <c r="AA2056" s="895"/>
    </row>
    <row r="2057" spans="27:27">
      <c r="AA2057" s="895"/>
    </row>
    <row r="2058" spans="27:27">
      <c r="AA2058" s="895"/>
    </row>
    <row r="2059" spans="27:27">
      <c r="AA2059" s="895"/>
    </row>
    <row r="2060" spans="27:27">
      <c r="AA2060" s="895"/>
    </row>
    <row r="2061" spans="27:27">
      <c r="AA2061" s="895"/>
    </row>
    <row r="2062" spans="27:27">
      <c r="AA2062" s="895"/>
    </row>
    <row r="2063" spans="27:27">
      <c r="AA2063" s="895"/>
    </row>
    <row r="2064" spans="27:27">
      <c r="AA2064" s="895"/>
    </row>
    <row r="2065" spans="27:27">
      <c r="AA2065" s="895"/>
    </row>
    <row r="2066" spans="27:27">
      <c r="AA2066" s="894"/>
    </row>
  </sheetData>
  <autoFilter ref="A7:AA1028"/>
  <sortState ref="B1785:AK1791">
    <sortCondition ref="B885:B891"/>
  </sortState>
  <dataConsolidate/>
  <customSheetViews>
    <customSheetView guid="{971AA6D5-B469-4A54-816C-1252CCB6D265}" scale="55" showPageBreaks="1" fitToPage="1" printArea="1" showAutoFilter="1" view="pageBreakPreview">
      <pane ySplit="7" topLeftCell="A583" activePane="bottomLeft" state="frozen"/>
      <selection pane="bottomLeft" activeCell="A589" sqref="A589:X589"/>
      <pageMargins left="0.39370078740157483" right="0.31" top="0.74803149606299213" bottom="0.43307086614173229" header="0.51181102362204722" footer="0.31496062992125984"/>
      <printOptions horizontalCentered="1"/>
      <pageSetup paperSize="9" scale="32" firstPageNumber="59" fitToHeight="0" orientation="landscape" useFirstPageNumber="1" r:id="rId1"/>
      <headerFooter>
        <oddHeader>&amp;C&amp;"Times New Roman,обычный"&amp;18&amp;P</oddHeader>
      </headerFooter>
      <autoFilter ref="A7:AE1458"/>
    </customSheetView>
    <customSheetView guid="{DFE5B545-478C-4B86-847C-1FEE882C6F69}" scale="55" showPageBreaks="1" fitToPage="1" printArea="1" showAutoFilter="1" view="pageBreakPreview" topLeftCell="G1">
      <pane ySplit="7" topLeftCell="A41" activePane="bottomLeft" state="frozen"/>
      <selection pane="bottomLeft" activeCell="A55" sqref="A55:XFD55"/>
      <pageMargins left="0.39370078740157483" right="0.19685039370078741" top="1.1811023622047245" bottom="0.59055118110236227" header="0.51181102362204722" footer="0.31496062992125984"/>
      <printOptions horizontalCentered="1"/>
      <pageSetup paperSize="9" scale="20" firstPageNumber="50" fitToHeight="0" orientation="landscape" useFirstPageNumber="1" r:id="rId2"/>
      <headerFooter>
        <oddHeader>&amp;C&amp;"Times New Roman,обычный"&amp;18&amp;P</oddHeader>
      </headerFooter>
      <autoFilter ref="A7:AQ1601"/>
    </customSheetView>
    <customSheetView guid="{4C44C113-DA02-468D-99C5-83FA6693F42F}" scale="55" showPageBreaks="1" fitToPage="1" printArea="1" showAutoFilter="1" view="pageBreakPreview">
      <pane ySplit="7" topLeftCell="A8" activePane="bottomLeft" state="frozen"/>
      <selection pane="bottomLeft" activeCell="E23" sqref="E23"/>
      <pageMargins left="0.39370078740157483" right="0.19685039370078741" top="1.1811023622047245" bottom="0.59055118110236227" header="0.51181102362204722" footer="0.31496062992125984"/>
      <printOptions horizontalCentered="1"/>
      <pageSetup paperSize="9" scale="20" firstPageNumber="50" fitToHeight="0" orientation="landscape" useFirstPageNumber="1" r:id="rId3"/>
      <headerFooter>
        <oddHeader>&amp;C&amp;"Times New Roman,обычный"&amp;18&amp;P</oddHeader>
      </headerFooter>
      <autoFilter ref="A7:AQ1601"/>
    </customSheetView>
    <customSheetView guid="{570403C4-1D93-4175-B4D8-BD47D46CE99C}" scale="85" showPageBreaks="1" fitToPage="1" printArea="1" showAutoFilter="1" hiddenColumns="1" view="pageBreakPreview">
      <pane ySplit="7" topLeftCell="A409" activePane="bottomLeft" state="frozen"/>
      <selection pane="bottomLeft" activeCell="B415" sqref="B415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4"/>
      <headerFooter>
        <oddHeader>&amp;C&amp;"Times New Roman,обычный"&amp;18&amp;P</oddHeader>
      </headerFooter>
      <autoFilter ref="A7:AV1601"/>
    </customSheetView>
    <customSheetView guid="{B1841E62-04AF-4786-8B2B-B1F42C88E6D1}" scale="63" showPageBreaks="1" fitToPage="1" printArea="1" showAutoFilter="1" hiddenColumns="1" view="pageBreakPreview">
      <pane ySplit="7" topLeftCell="A741" activePane="bottomLeft" state="frozen"/>
      <selection pane="bottomLeft" activeCell="AC747" sqref="AC747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5"/>
      <headerFooter>
        <oddHeader>&amp;C&amp;"Times New Roman,обычный"&amp;18&amp;P</oddHeader>
      </headerFooter>
      <autoFilter ref="A7:AV1667"/>
    </customSheetView>
    <customSheetView guid="{A28C0ADC-4E0C-4A0A-ACB1-DA409183476D}" scale="80" showPageBreaks="1" fitToPage="1" printArea="1" showAutoFilter="1" hiddenColumns="1" view="pageBreakPreview">
      <pane ySplit="7" topLeftCell="A957" activePane="bottomLeft" state="frozen"/>
      <selection pane="bottomLeft" activeCell="L973" sqref="L973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6"/>
      <headerFooter>
        <oddHeader>&amp;C&amp;"Times New Roman,обычный"&amp;18&amp;P</oddHeader>
      </headerFooter>
      <autoFilter ref="A7:AV1601"/>
    </customSheetView>
    <customSheetView guid="{144E5A37-1CF2-41F0-BEF8-CB5D4D392E2A}" scale="55" showPageBreaks="1" fitToPage="1" printArea="1" showAutoFilter="1" hiddenColumns="1" view="pageBreakPreview">
      <pane ySplit="7" topLeftCell="A1566" activePane="bottomLeft" state="frozen"/>
      <selection pane="bottomLeft" activeCell="B1381" sqref="B1381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7"/>
      <headerFooter>
        <oddHeader>&amp;C&amp;"Times New Roman,обычный"&amp;18&amp;P</oddHeader>
      </headerFooter>
      <autoFilter ref="A7:AV1601"/>
    </customSheetView>
    <customSheetView guid="{7A75CCE7-0E84-47E6-A162-5AC0354F2967}" scale="85" showPageBreaks="1" fitToPage="1" printArea="1" showAutoFilter="1" hiddenColumns="1" view="pageBreakPreview">
      <pane ySplit="7" topLeftCell="A696" activePane="bottomLeft" state="frozen"/>
      <selection pane="bottomLeft" activeCell="F701" sqref="F701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8"/>
      <headerFooter>
        <oddHeader>&amp;C&amp;"Times New Roman,обычный"&amp;18&amp;P</oddHeader>
      </headerFooter>
      <autoFilter ref="A7:AV1601"/>
    </customSheetView>
    <customSheetView guid="{A6187BD3-0BA4-497C-8924-4FA3D77530F0}" scale="85" showPageBreaks="1" fitToPage="1" printArea="1" showAutoFilter="1" hiddenColumns="1" view="pageBreakPreview">
      <pane ySplit="7" topLeftCell="A347" activePane="bottomLeft" state="frozen"/>
      <selection pane="bottomLeft" activeCell="C348" sqref="C348"/>
      <pageMargins left="0.39370078740157483" right="0.19685039370078741" top="1.1811023622047245" bottom="0.59055118110236227" header="0.51181102362204722" footer="0.31496062992125984"/>
      <printOptions horizontalCentered="1"/>
      <pageSetup paperSize="9" scale="25" firstPageNumber="50" fitToHeight="0" orientation="landscape" useFirstPageNumber="1" r:id="rId9"/>
      <headerFooter>
        <oddHeader>&amp;C&amp;"Times New Roman,обычный"&amp;18&amp;P</oddHeader>
      </headerFooter>
      <autoFilter ref="A7:AV1601"/>
    </customSheetView>
    <customSheetView guid="{DC88C499-913F-4D15-846E-E5B9D5E047D7}" scale="70" showPageBreaks="1" fitToPage="1" printArea="1" showAutoFilter="1" view="pageBreakPreview">
      <pane ySplit="7" topLeftCell="A723" activePane="bottomLeft" state="frozen"/>
      <selection pane="bottomLeft" activeCell="F734" sqref="F734"/>
      <rowBreaks count="2" manualBreakCount="2">
        <brk id="1499" max="40" man="1"/>
        <brk id="1599" max="40" man="1"/>
      </rowBreaks>
      <pageMargins left="0.39370078740157483" right="0.19685039370078741" top="1.1811023622047245" bottom="0.59055118110236227" header="0.51181102362204722" footer="0.31496062992125984"/>
      <printOptions horizontalCentered="1"/>
      <pageSetup paperSize="9" scale="22" firstPageNumber="50" fitToHeight="0" orientation="landscape" useFirstPageNumber="1" r:id="rId10"/>
      <headerFooter>
        <oddHeader>&amp;C&amp;"Times New Roman,обычный"&amp;18&amp;P</oddHeader>
      </headerFooter>
      <autoFilter ref="A7:AV1601"/>
    </customSheetView>
  </customSheetViews>
  <mergeCells count="171">
    <mergeCell ref="A166:B166"/>
    <mergeCell ref="A184:B184"/>
    <mergeCell ref="A1024:AA1024"/>
    <mergeCell ref="A1025:AA1025"/>
    <mergeCell ref="A497:AA497"/>
    <mergeCell ref="A1031:AA1031"/>
    <mergeCell ref="A1032:AA1032"/>
    <mergeCell ref="A1026:AA1026"/>
    <mergeCell ref="A1027:AA1027"/>
    <mergeCell ref="A1028:AA1028"/>
    <mergeCell ref="A1029:AA1029"/>
    <mergeCell ref="A1030:AA1030"/>
    <mergeCell ref="A703:B703"/>
    <mergeCell ref="A721:B721"/>
    <mergeCell ref="A732:B732"/>
    <mergeCell ref="A747:B747"/>
    <mergeCell ref="A749:B749"/>
    <mergeCell ref="A758:B758"/>
    <mergeCell ref="A770:B770"/>
    <mergeCell ref="A781:B781"/>
    <mergeCell ref="A804:B804"/>
    <mergeCell ref="A808:B808"/>
    <mergeCell ref="A812:B812"/>
    <mergeCell ref="A945:B945"/>
    <mergeCell ref="A1010:B1010"/>
    <mergeCell ref="A1018:B1018"/>
    <mergeCell ref="A364:AA364"/>
    <mergeCell ref="A1:X1"/>
    <mergeCell ref="A2:A6"/>
    <mergeCell ref="B2:B6"/>
    <mergeCell ref="C2:C5"/>
    <mergeCell ref="D3:J3"/>
    <mergeCell ref="M3:N5"/>
    <mergeCell ref="O3:P5"/>
    <mergeCell ref="Q3:R5"/>
    <mergeCell ref="W3:X5"/>
    <mergeCell ref="K3:L5"/>
    <mergeCell ref="D2:AA2"/>
    <mergeCell ref="AA3:AA5"/>
    <mergeCell ref="Y3:Y5"/>
    <mergeCell ref="I4:I5"/>
    <mergeCell ref="D4:D5"/>
    <mergeCell ref="Z3:Z5"/>
    <mergeCell ref="J4:J5"/>
    <mergeCell ref="A8:AA8"/>
    <mergeCell ref="A182:AA182"/>
    <mergeCell ref="H4:H5"/>
    <mergeCell ref="G4:G5"/>
    <mergeCell ref="F4:F5"/>
    <mergeCell ref="E4:E5"/>
    <mergeCell ref="S3:V3"/>
    <mergeCell ref="S5:T5"/>
    <mergeCell ref="U5:V5"/>
    <mergeCell ref="A9:B9"/>
    <mergeCell ref="A10:B10"/>
    <mergeCell ref="A31:B31"/>
    <mergeCell ref="A37:B37"/>
    <mergeCell ref="A39:B39"/>
    <mergeCell ref="A60:B60"/>
    <mergeCell ref="A21:B21"/>
    <mergeCell ref="A62:B62"/>
    <mergeCell ref="A72:B72"/>
    <mergeCell ref="A79:B79"/>
    <mergeCell ref="A87:B87"/>
    <mergeCell ref="A41:B41"/>
    <mergeCell ref="A46:B46"/>
    <mergeCell ref="A49:B49"/>
    <mergeCell ref="A54:B54"/>
    <mergeCell ref="A58:B58"/>
    <mergeCell ref="A33:B33"/>
    <mergeCell ref="A116:B116"/>
    <mergeCell ref="A119:B119"/>
    <mergeCell ref="A141:B141"/>
    <mergeCell ref="A151:B151"/>
    <mergeCell ref="A164:B164"/>
    <mergeCell ref="A89:B89"/>
    <mergeCell ref="A96:B96"/>
    <mergeCell ref="A110:B110"/>
    <mergeCell ref="A108:B108"/>
    <mergeCell ref="A112:B112"/>
    <mergeCell ref="A320:B320"/>
    <mergeCell ref="A323:B323"/>
    <mergeCell ref="A338:B338"/>
    <mergeCell ref="A169:B169"/>
    <mergeCell ref="A172:B172"/>
    <mergeCell ref="A174:B174"/>
    <mergeCell ref="A176:B176"/>
    <mergeCell ref="A178:B178"/>
    <mergeCell ref="A280:B280"/>
    <mergeCell ref="A282:B282"/>
    <mergeCell ref="A291:B291"/>
    <mergeCell ref="A304:B304"/>
    <mergeCell ref="A302:B302"/>
    <mergeCell ref="A365:B365"/>
    <mergeCell ref="A356:B356"/>
    <mergeCell ref="A358:B358"/>
    <mergeCell ref="A207:B207"/>
    <mergeCell ref="A219:B219"/>
    <mergeCell ref="A228:B228"/>
    <mergeCell ref="A232:B232"/>
    <mergeCell ref="A235:B235"/>
    <mergeCell ref="A238:B238"/>
    <mergeCell ref="A241:B241"/>
    <mergeCell ref="A247:B247"/>
    <mergeCell ref="A252:B252"/>
    <mergeCell ref="A255:B255"/>
    <mergeCell ref="A257:B257"/>
    <mergeCell ref="A259:B259"/>
    <mergeCell ref="A269:B269"/>
    <mergeCell ref="A274:B274"/>
    <mergeCell ref="A343:B343"/>
    <mergeCell ref="A345:B345"/>
    <mergeCell ref="A347:B347"/>
    <mergeCell ref="A349:B349"/>
    <mergeCell ref="A352:B352"/>
    <mergeCell ref="A312:B312"/>
    <mergeCell ref="A318:B318"/>
    <mergeCell ref="A404:B404"/>
    <mergeCell ref="A406:B406"/>
    <mergeCell ref="A409:B409"/>
    <mergeCell ref="A412:B412"/>
    <mergeCell ref="A414:B414"/>
    <mergeCell ref="A366:B366"/>
    <mergeCell ref="A384:B384"/>
    <mergeCell ref="A390:B390"/>
    <mergeCell ref="A397:B397"/>
    <mergeCell ref="A402:B402"/>
    <mergeCell ref="A435:B435"/>
    <mergeCell ref="A440:B440"/>
    <mergeCell ref="A445:B445"/>
    <mergeCell ref="A456:B456"/>
    <mergeCell ref="A458:B458"/>
    <mergeCell ref="A418:B418"/>
    <mergeCell ref="A420:B420"/>
    <mergeCell ref="A422:B422"/>
    <mergeCell ref="A424:B424"/>
    <mergeCell ref="A432:B432"/>
    <mergeCell ref="A478:B478"/>
    <mergeCell ref="A480:B480"/>
    <mergeCell ref="A482:B482"/>
    <mergeCell ref="A484:B484"/>
    <mergeCell ref="A486:B486"/>
    <mergeCell ref="A460:B460"/>
    <mergeCell ref="A464:B464"/>
    <mergeCell ref="A467:B467"/>
    <mergeCell ref="A470:B470"/>
    <mergeCell ref="A472:B472"/>
    <mergeCell ref="A488:B488"/>
    <mergeCell ref="A494:B494"/>
    <mergeCell ref="A498:B498"/>
    <mergeCell ref="A499:B499"/>
    <mergeCell ref="A661:B661"/>
    <mergeCell ref="A872:B872"/>
    <mergeCell ref="A904:B904"/>
    <mergeCell ref="A911:B911"/>
    <mergeCell ref="A920:B920"/>
    <mergeCell ref="A819:B819"/>
    <mergeCell ref="A823:B823"/>
    <mergeCell ref="A834:B834"/>
    <mergeCell ref="A837:B837"/>
    <mergeCell ref="A865:B865"/>
    <mergeCell ref="A980:B980"/>
    <mergeCell ref="A986:B986"/>
    <mergeCell ref="A989:B989"/>
    <mergeCell ref="A992:B992"/>
    <mergeCell ref="A1006:B1006"/>
    <mergeCell ref="A947:B947"/>
    <mergeCell ref="A956:B956"/>
    <mergeCell ref="A970:B970"/>
    <mergeCell ref="A973:B973"/>
    <mergeCell ref="A977:B977"/>
  </mergeCells>
  <printOptions horizontalCentered="1"/>
  <pageMargins left="0.59055118110236227" right="0.59055118110236227" top="1.1811023622047245" bottom="0.78740157480314965" header="0.70866141732283472" footer="0.51181102362204722"/>
  <pageSetup paperSize="9" scale="12" firstPageNumber="42" fitToHeight="0" orientation="landscape" useFirstPageNumber="1" r:id="rId11"/>
  <headerFooter scaleWithDoc="0">
    <oddHeader>&amp;C&amp;"Times New Roman,обычный"&amp;8&amp;K000000&amp;P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7"/>
  <sheetViews>
    <sheetView view="pageBreakPreview" topLeftCell="A115" zoomScale="72" zoomScaleNormal="72" zoomScaleSheetLayoutView="72" workbookViewId="0">
      <selection activeCell="F73" sqref="F73"/>
    </sheetView>
  </sheetViews>
  <sheetFormatPr defaultColWidth="8.85546875" defaultRowHeight="15"/>
  <cols>
    <col min="1" max="1" width="5.7109375" style="904" customWidth="1"/>
    <col min="2" max="2" width="60.5703125" style="8" customWidth="1"/>
    <col min="3" max="3" width="19" style="854" bestFit="1" customWidth="1"/>
    <col min="4" max="4" width="23.7109375" style="855" bestFit="1" customWidth="1"/>
    <col min="5" max="5" width="24" style="856" customWidth="1"/>
    <col min="6" max="6" width="29.5703125" style="8" customWidth="1"/>
    <col min="7" max="7" width="13.42578125" style="8" bestFit="1" customWidth="1"/>
    <col min="8" max="16384" width="8.85546875" style="8"/>
  </cols>
  <sheetData>
    <row r="1" spans="1:13" ht="39" customHeight="1">
      <c r="A1" s="1217" t="s">
        <v>124</v>
      </c>
      <c r="B1" s="1217"/>
      <c r="C1" s="1217"/>
      <c r="D1" s="1217"/>
      <c r="E1" s="1217"/>
      <c r="F1" s="1217"/>
    </row>
    <row r="2" spans="1:13" ht="62.25" customHeight="1">
      <c r="A2" s="1218" t="s">
        <v>1025</v>
      </c>
      <c r="B2" s="1218" t="s">
        <v>1032</v>
      </c>
      <c r="C2" s="1219" t="s">
        <v>460</v>
      </c>
      <c r="D2" s="1220" t="s">
        <v>441</v>
      </c>
      <c r="E2" s="1221" t="s">
        <v>1026</v>
      </c>
      <c r="F2" s="1218" t="s">
        <v>7</v>
      </c>
    </row>
    <row r="3" spans="1:13" ht="1.1499999999999999" customHeight="1">
      <c r="A3" s="1218"/>
      <c r="B3" s="1218"/>
      <c r="C3" s="1219"/>
      <c r="D3" s="1220"/>
      <c r="E3" s="1221"/>
      <c r="F3" s="1218"/>
    </row>
    <row r="4" spans="1:13">
      <c r="A4" s="1218"/>
      <c r="B4" s="1218"/>
      <c r="C4" s="934" t="s">
        <v>21</v>
      </c>
      <c r="D4" s="935" t="s">
        <v>16</v>
      </c>
      <c r="E4" s="936" t="s">
        <v>23</v>
      </c>
      <c r="F4" s="937" t="s">
        <v>17</v>
      </c>
    </row>
    <row r="5" spans="1:13" ht="12.75" customHeight="1">
      <c r="A5" s="932">
        <v>1</v>
      </c>
      <c r="B5" s="932">
        <v>2</v>
      </c>
      <c r="C5" s="932">
        <v>3</v>
      </c>
      <c r="D5" s="898">
        <v>4</v>
      </c>
      <c r="E5" s="899">
        <v>5</v>
      </c>
      <c r="F5" s="932">
        <v>6</v>
      </c>
    </row>
    <row r="6" spans="1:13" ht="15" customHeight="1">
      <c r="A6" s="1222" t="s">
        <v>205</v>
      </c>
      <c r="B6" s="1222"/>
      <c r="C6" s="1222"/>
      <c r="D6" s="1222"/>
      <c r="E6" s="1222"/>
      <c r="F6" s="1222"/>
      <c r="M6" s="8" t="s">
        <v>1063</v>
      </c>
    </row>
    <row r="7" spans="1:13" ht="15" customHeight="1">
      <c r="A7" s="931"/>
      <c r="B7" s="900" t="s">
        <v>205</v>
      </c>
      <c r="C7" s="3">
        <f>C9+C43+C77+C111</f>
        <v>1720503.13</v>
      </c>
      <c r="D7" s="896">
        <f>D9+D43+D77+D111</f>
        <v>59600</v>
      </c>
      <c r="E7" s="897">
        <f>E9+E43+E77+E111</f>
        <v>877</v>
      </c>
      <c r="F7" s="3">
        <f>F9+F43+F77+F111</f>
        <v>4243700766.5846863</v>
      </c>
    </row>
    <row r="8" spans="1:13" s="853" customFormat="1" ht="16.899999999999999" customHeight="1">
      <c r="A8" s="1216" t="s">
        <v>1262</v>
      </c>
      <c r="B8" s="1216"/>
      <c r="C8" s="1216"/>
      <c r="D8" s="1216"/>
      <c r="E8" s="1216"/>
      <c r="F8" s="1216"/>
    </row>
    <row r="9" spans="1:13" s="853" customFormat="1" ht="16.899999999999999" customHeight="1">
      <c r="A9" s="931"/>
      <c r="B9" s="900" t="s">
        <v>205</v>
      </c>
      <c r="C9" s="3">
        <f>SUM(C10:C41)</f>
        <v>265297.06000000006</v>
      </c>
      <c r="D9" s="896">
        <f>SUM(D10:D41)</f>
        <v>9168</v>
      </c>
      <c r="E9" s="896">
        <f>SUM(E10:E41)</f>
        <v>140</v>
      </c>
      <c r="F9" s="3">
        <f>SUM(F10:F41)</f>
        <v>720910463.86655986</v>
      </c>
    </row>
    <row r="10" spans="1:13" s="853" customFormat="1" ht="16.899999999999999" customHeight="1">
      <c r="A10" s="931">
        <v>1</v>
      </c>
      <c r="B10" s="900" t="s">
        <v>2274</v>
      </c>
      <c r="C10" s="3">
        <f>'2-41'!H17</f>
        <v>33629.400000000009</v>
      </c>
      <c r="D10" s="897">
        <f>'2-41'!K17</f>
        <v>1724</v>
      </c>
      <c r="E10" s="897">
        <v>10</v>
      </c>
      <c r="F10" s="3">
        <f>'2-41'!L17</f>
        <v>158495526.35655996</v>
      </c>
    </row>
    <row r="11" spans="1:13" s="853" customFormat="1" ht="16.899999999999999" customHeight="1">
      <c r="A11" s="931">
        <v>2</v>
      </c>
      <c r="B11" s="900" t="s">
        <v>2053</v>
      </c>
      <c r="C11" s="3">
        <f>'2-41'!H28</f>
        <v>14598.1</v>
      </c>
      <c r="D11" s="897">
        <f>'2-41'!K28</f>
        <v>530</v>
      </c>
      <c r="E11" s="897">
        <v>9</v>
      </c>
      <c r="F11" s="3">
        <f>'2-41'!L28</f>
        <v>29365723.830000002</v>
      </c>
    </row>
    <row r="12" spans="1:13" s="853" customFormat="1" ht="16.899999999999999" customHeight="1">
      <c r="A12" s="931">
        <v>3</v>
      </c>
      <c r="B12" s="900" t="s">
        <v>2275</v>
      </c>
      <c r="C12" s="3">
        <f>'2-41'!H38</f>
        <v>1124.0999999999999</v>
      </c>
      <c r="D12" s="897">
        <f>'2-41'!K38</f>
        <v>43</v>
      </c>
      <c r="E12" s="897">
        <v>1</v>
      </c>
      <c r="F12" s="3">
        <f>'2-41'!L38</f>
        <v>10176539.5</v>
      </c>
      <c r="G12" s="857"/>
    </row>
    <row r="13" spans="1:13" s="853" customFormat="1" ht="16.899999999999999" customHeight="1">
      <c r="A13" s="931">
        <v>4</v>
      </c>
      <c r="B13" s="900" t="s">
        <v>2054</v>
      </c>
      <c r="C13" s="3">
        <f>'2-41'!H40</f>
        <v>7962.7</v>
      </c>
      <c r="D13" s="897">
        <f>'2-41'!K40</f>
        <v>211</v>
      </c>
      <c r="E13" s="897">
        <v>3</v>
      </c>
      <c r="F13" s="3">
        <f>'2-41'!L40</f>
        <v>14556403.25</v>
      </c>
    </row>
    <row r="14" spans="1:13" s="853" customFormat="1" ht="16.899999999999999" customHeight="1">
      <c r="A14" s="931">
        <v>5</v>
      </c>
      <c r="B14" s="900" t="s">
        <v>2055</v>
      </c>
      <c r="C14" s="3">
        <f>'2-41'!H44</f>
        <v>2178</v>
      </c>
      <c r="D14" s="897">
        <f>'2-41'!K44</f>
        <v>49</v>
      </c>
      <c r="E14" s="897">
        <v>1</v>
      </c>
      <c r="F14" s="3">
        <f>'2-41'!L44</f>
        <v>1588224.31</v>
      </c>
    </row>
    <row r="15" spans="1:13" s="853" customFormat="1" ht="16.899999999999999" customHeight="1">
      <c r="A15" s="931">
        <v>6</v>
      </c>
      <c r="B15" s="900" t="s">
        <v>1053</v>
      </c>
      <c r="C15" s="3">
        <f>'2-41'!H46</f>
        <v>1094.8</v>
      </c>
      <c r="D15" s="897">
        <f>'2-41'!K46</f>
        <v>41</v>
      </c>
      <c r="E15" s="897">
        <v>1</v>
      </c>
      <c r="F15" s="3">
        <f>'2-41'!L46</f>
        <v>10749726.210000001</v>
      </c>
    </row>
    <row r="16" spans="1:13" s="853" customFormat="1" ht="16.899999999999999" customHeight="1">
      <c r="A16" s="931">
        <v>7</v>
      </c>
      <c r="B16" s="900" t="s">
        <v>1973</v>
      </c>
      <c r="C16" s="3">
        <f>'2-41'!H48</f>
        <v>7455.0999999999995</v>
      </c>
      <c r="D16" s="897">
        <f>'2-41'!K48</f>
        <v>221</v>
      </c>
      <c r="E16" s="897">
        <v>4</v>
      </c>
      <c r="F16" s="3">
        <f>'2-41'!L48</f>
        <v>18584587.420000002</v>
      </c>
    </row>
    <row r="17" spans="1:6" s="853" customFormat="1" ht="16.899999999999999" customHeight="1">
      <c r="A17" s="931">
        <v>8</v>
      </c>
      <c r="B17" s="900" t="s">
        <v>1174</v>
      </c>
      <c r="C17" s="3">
        <f>'2-41'!H53</f>
        <v>1581.5</v>
      </c>
      <c r="D17" s="897">
        <f>'2-41'!K53</f>
        <v>34</v>
      </c>
      <c r="E17" s="897">
        <v>2</v>
      </c>
      <c r="F17" s="3">
        <f>'2-41'!L53</f>
        <v>971203.51</v>
      </c>
    </row>
    <row r="18" spans="1:6" s="853" customFormat="1" ht="16.899999999999999" customHeight="1">
      <c r="A18" s="931">
        <v>9</v>
      </c>
      <c r="B18" s="900" t="s">
        <v>1978</v>
      </c>
      <c r="C18" s="3">
        <f>'2-41'!H56</f>
        <v>2672.5999999999995</v>
      </c>
      <c r="D18" s="896">
        <f>'2-41'!K56</f>
        <v>101</v>
      </c>
      <c r="E18" s="897">
        <v>4</v>
      </c>
      <c r="F18" s="3">
        <f>'2-41'!L56</f>
        <v>11608914.780000001</v>
      </c>
    </row>
    <row r="19" spans="1:6" s="853" customFormat="1" ht="16.899999999999999" customHeight="1">
      <c r="A19" s="931">
        <v>10</v>
      </c>
      <c r="B19" s="901" t="s">
        <v>1052</v>
      </c>
      <c r="C19" s="3">
        <f>'2-41'!H61</f>
        <v>2514.6</v>
      </c>
      <c r="D19" s="897">
        <f>'2-41'!K61</f>
        <v>53</v>
      </c>
      <c r="E19" s="897">
        <v>3</v>
      </c>
      <c r="F19" s="3">
        <f>'2-41'!L61</f>
        <v>11472835.029999999</v>
      </c>
    </row>
    <row r="20" spans="1:6" s="853" customFormat="1" ht="16.899999999999999" customHeight="1">
      <c r="A20" s="931">
        <v>11</v>
      </c>
      <c r="B20" s="901" t="s">
        <v>1056</v>
      </c>
      <c r="C20" s="3">
        <f>'2-41'!H65</f>
        <v>1530.1</v>
      </c>
      <c r="D20" s="897">
        <f>'2-41'!K65</f>
        <v>38</v>
      </c>
      <c r="E20" s="897">
        <v>1</v>
      </c>
      <c r="F20" s="3">
        <f>'2-41'!L65</f>
        <v>5780772.2699999996</v>
      </c>
    </row>
    <row r="21" spans="1:6" s="853" customFormat="1" ht="16.899999999999999" customHeight="1">
      <c r="A21" s="931">
        <v>12</v>
      </c>
      <c r="B21" s="901" t="s">
        <v>1175</v>
      </c>
      <c r="C21" s="3">
        <f>'2-41'!H67</f>
        <v>370.2</v>
      </c>
      <c r="D21" s="897">
        <f>'2-41'!K67</f>
        <v>21</v>
      </c>
      <c r="E21" s="897">
        <v>1</v>
      </c>
      <c r="F21" s="3">
        <f>'2-41'!L67</f>
        <v>2387361.16</v>
      </c>
    </row>
    <row r="22" spans="1:6" s="853" customFormat="1" ht="16.899999999999999" customHeight="1">
      <c r="A22" s="931">
        <v>13</v>
      </c>
      <c r="B22" s="900" t="s">
        <v>1979</v>
      </c>
      <c r="C22" s="3">
        <f>'2-41'!H69</f>
        <v>14787.750000000002</v>
      </c>
      <c r="D22" s="896">
        <f>'2-41'!K69</f>
        <v>643</v>
      </c>
      <c r="E22" s="896">
        <v>9</v>
      </c>
      <c r="F22" s="3">
        <f>'2-41'!L69</f>
        <v>36433673.289999999</v>
      </c>
    </row>
    <row r="23" spans="1:6" s="853" customFormat="1" ht="16.899999999999999" customHeight="1">
      <c r="A23" s="931">
        <v>14</v>
      </c>
      <c r="B23" s="901" t="s">
        <v>1974</v>
      </c>
      <c r="C23" s="3">
        <f>'2-41'!H79</f>
        <v>3779.4100000000003</v>
      </c>
      <c r="D23" s="897">
        <f>'2-41'!K79</f>
        <v>152</v>
      </c>
      <c r="E23" s="897">
        <v>6</v>
      </c>
      <c r="F23" s="3">
        <f>'2-41'!L79</f>
        <v>30135392.18</v>
      </c>
    </row>
    <row r="24" spans="1:6" s="853" customFormat="1" ht="16.899999999999999" customHeight="1">
      <c r="A24" s="931">
        <v>15</v>
      </c>
      <c r="B24" s="901" t="s">
        <v>1248</v>
      </c>
      <c r="C24" s="3">
        <f>'2-41'!H86</f>
        <v>2548.1999999999998</v>
      </c>
      <c r="D24" s="897">
        <f>'2-41'!K86</f>
        <v>117</v>
      </c>
      <c r="E24" s="897">
        <v>7</v>
      </c>
      <c r="F24" s="3">
        <f>'2-41'!L86</f>
        <v>8582395</v>
      </c>
    </row>
    <row r="25" spans="1:6" s="853" customFormat="1" ht="16.899999999999999" customHeight="1">
      <c r="A25" s="931">
        <v>16</v>
      </c>
      <c r="B25" s="901" t="s">
        <v>1582</v>
      </c>
      <c r="C25" s="3">
        <f>'2-41'!H94</f>
        <v>976.5</v>
      </c>
      <c r="D25" s="897">
        <f>'2-41'!K94</f>
        <v>38</v>
      </c>
      <c r="E25" s="897">
        <v>1</v>
      </c>
      <c r="F25" s="3">
        <f>'2-41'!L94</f>
        <v>1021741.25</v>
      </c>
    </row>
    <row r="26" spans="1:6" s="853" customFormat="1" ht="16.899999999999999" customHeight="1">
      <c r="A26" s="931">
        <v>17</v>
      </c>
      <c r="B26" s="901" t="s">
        <v>1185</v>
      </c>
      <c r="C26" s="3">
        <f>'2-41'!H96</f>
        <v>12672.9</v>
      </c>
      <c r="D26" s="896">
        <f>'2-41'!K96</f>
        <v>221</v>
      </c>
      <c r="E26" s="896">
        <v>6</v>
      </c>
      <c r="F26" s="3">
        <f>'2-41'!L96</f>
        <v>43155034.009999998</v>
      </c>
    </row>
    <row r="27" spans="1:6" s="853" customFormat="1" ht="16.899999999999999" customHeight="1">
      <c r="A27" s="931">
        <v>18</v>
      </c>
      <c r="B27" s="901" t="s">
        <v>1977</v>
      </c>
      <c r="C27" s="3">
        <f>'2-41'!H103</f>
        <v>46959.600000000006</v>
      </c>
      <c r="D27" s="897">
        <f>'2-41'!K103</f>
        <v>1634</v>
      </c>
      <c r="E27" s="897">
        <v>11</v>
      </c>
      <c r="F27" s="3">
        <f>'2-41'!L103</f>
        <v>98101465.390000001</v>
      </c>
    </row>
    <row r="28" spans="1:6" s="853" customFormat="1" ht="16.899999999999999" customHeight="1">
      <c r="A28" s="931">
        <v>19</v>
      </c>
      <c r="B28" s="901" t="s">
        <v>1057</v>
      </c>
      <c r="C28" s="3">
        <f>'2-41'!H115</f>
        <v>380</v>
      </c>
      <c r="D28" s="897">
        <f>'2-41'!K115</f>
        <v>15</v>
      </c>
      <c r="E28" s="897">
        <v>1</v>
      </c>
      <c r="F28" s="3">
        <f>'2-41'!L115</f>
        <v>3460390.15</v>
      </c>
    </row>
    <row r="29" spans="1:6" s="853" customFormat="1" ht="16.899999999999999" customHeight="1">
      <c r="A29" s="931">
        <v>20</v>
      </c>
      <c r="B29" s="902" t="s">
        <v>1976</v>
      </c>
      <c r="C29" s="3">
        <f>'2-41'!H117</f>
        <v>833.5</v>
      </c>
      <c r="D29" s="897">
        <f>'2-41'!K117</f>
        <v>18</v>
      </c>
      <c r="E29" s="897">
        <v>1</v>
      </c>
      <c r="F29" s="3">
        <f>'2-41'!L117</f>
        <v>3386423.36</v>
      </c>
    </row>
    <row r="30" spans="1:6" s="853" customFormat="1" ht="16.899999999999999" customHeight="1">
      <c r="A30" s="931">
        <v>21</v>
      </c>
      <c r="B30" s="901" t="s">
        <v>1070</v>
      </c>
      <c r="C30" s="3">
        <f>'2-41'!H119</f>
        <v>5752.6</v>
      </c>
      <c r="D30" s="897">
        <f>'2-41'!K119</f>
        <v>174</v>
      </c>
      <c r="E30" s="897">
        <v>3</v>
      </c>
      <c r="F30" s="3">
        <f>'2-41'!L119</f>
        <v>23240393.039999999</v>
      </c>
    </row>
    <row r="31" spans="1:6" s="853" customFormat="1" ht="15.75" customHeight="1">
      <c r="A31" s="931">
        <v>22</v>
      </c>
      <c r="B31" s="901" t="s">
        <v>1249</v>
      </c>
      <c r="C31" s="3">
        <f>'2-41'!H123</f>
        <v>1575.79</v>
      </c>
      <c r="D31" s="897">
        <f>'2-41'!K123</f>
        <v>57</v>
      </c>
      <c r="E31" s="897">
        <v>2</v>
      </c>
      <c r="F31" s="3">
        <f>'2-41'!L123</f>
        <v>10897874.880000001</v>
      </c>
    </row>
    <row r="32" spans="1:6" s="853" customFormat="1" ht="16.899999999999999" customHeight="1">
      <c r="A32" s="931">
        <v>23</v>
      </c>
      <c r="B32" s="901" t="s">
        <v>1059</v>
      </c>
      <c r="C32" s="3">
        <f>'2-41'!H171</f>
        <v>21449.000000000004</v>
      </c>
      <c r="D32" s="897">
        <f>'2-41'!K171</f>
        <v>606</v>
      </c>
      <c r="E32" s="897">
        <v>21</v>
      </c>
      <c r="F32" s="3">
        <f>'2-41'!L171</f>
        <v>4141657</v>
      </c>
    </row>
    <row r="33" spans="1:6" s="853" customFormat="1" ht="16.899999999999999" customHeight="1">
      <c r="A33" s="931">
        <v>24</v>
      </c>
      <c r="B33" s="901" t="s">
        <v>1250</v>
      </c>
      <c r="C33" s="3">
        <f>'2-41'!H126</f>
        <v>28307.899999999998</v>
      </c>
      <c r="D33" s="897">
        <f>'2-41'!K126</f>
        <v>880</v>
      </c>
      <c r="E33" s="897">
        <v>9</v>
      </c>
      <c r="F33" s="3">
        <f>'2-41'!L126</f>
        <v>61066312.699999996</v>
      </c>
    </row>
    <row r="34" spans="1:6" s="853" customFormat="1" ht="16.899999999999999" customHeight="1">
      <c r="A34" s="931">
        <v>25</v>
      </c>
      <c r="B34" s="901" t="s">
        <v>1186</v>
      </c>
      <c r="C34" s="3">
        <f>'2-41'!H136</f>
        <v>28672.399999999994</v>
      </c>
      <c r="D34" s="896">
        <f>'2-41'!K136</f>
        <v>851</v>
      </c>
      <c r="E34" s="896">
        <v>12</v>
      </c>
      <c r="F34" s="3">
        <f>'2-41'!L136</f>
        <v>69267012.790000007</v>
      </c>
    </row>
    <row r="35" spans="1:6" s="853" customFormat="1" ht="16.899999999999999" customHeight="1">
      <c r="A35" s="931">
        <v>26</v>
      </c>
      <c r="B35" s="901" t="s">
        <v>1794</v>
      </c>
      <c r="C35" s="3">
        <f>'2-41'!H149</f>
        <v>953.1</v>
      </c>
      <c r="D35" s="896">
        <f>'2-41'!K149</f>
        <v>36</v>
      </c>
      <c r="E35" s="896">
        <v>1</v>
      </c>
      <c r="F35" s="3">
        <f>'2-41'!L149</f>
        <v>1018891.44</v>
      </c>
    </row>
    <row r="36" spans="1:6" s="853" customFormat="1" ht="16.899999999999999" customHeight="1">
      <c r="A36" s="931">
        <v>27</v>
      </c>
      <c r="B36" s="901" t="s">
        <v>1058</v>
      </c>
      <c r="C36" s="3">
        <f>'2-41'!H151</f>
        <v>867.6</v>
      </c>
      <c r="D36" s="897">
        <f>'2-41'!K151</f>
        <v>30</v>
      </c>
      <c r="E36" s="897">
        <v>2</v>
      </c>
      <c r="F36" s="3">
        <f>'2-41'!L151</f>
        <v>5884659.4900000002</v>
      </c>
    </row>
    <row r="37" spans="1:6" s="853" customFormat="1" ht="16.899999999999999" customHeight="1">
      <c r="A37" s="931">
        <v>28</v>
      </c>
      <c r="B37" s="902" t="s">
        <v>1176</v>
      </c>
      <c r="C37" s="3">
        <f>'2-41'!H154</f>
        <v>790.2</v>
      </c>
      <c r="D37" s="897">
        <f>'2-41'!K154</f>
        <v>22</v>
      </c>
      <c r="E37" s="897">
        <v>1</v>
      </c>
      <c r="F37" s="3">
        <f>'2-41'!L154</f>
        <v>3927134.26</v>
      </c>
    </row>
    <row r="38" spans="1:6" s="853" customFormat="1" ht="16.899999999999999" customHeight="1">
      <c r="A38" s="931">
        <v>29</v>
      </c>
      <c r="B38" s="902" t="s">
        <v>1068</v>
      </c>
      <c r="C38" s="3">
        <f>'2-41'!H156</f>
        <v>4877.2</v>
      </c>
      <c r="D38" s="897">
        <f>'2-41'!K156</f>
        <v>133</v>
      </c>
      <c r="E38" s="897">
        <v>1</v>
      </c>
      <c r="F38" s="3">
        <f>'2-41'!L156</f>
        <v>9677432.0500000007</v>
      </c>
    </row>
    <row r="39" spans="1:6" s="853" customFormat="1" ht="16.899999999999999" customHeight="1">
      <c r="A39" s="931">
        <v>30</v>
      </c>
      <c r="B39" s="902" t="s">
        <v>1187</v>
      </c>
      <c r="C39" s="3">
        <f>'2-41'!H158</f>
        <v>2280.1999999999998</v>
      </c>
      <c r="D39" s="896">
        <f>'2-41'!K158</f>
        <v>161</v>
      </c>
      <c r="E39" s="897">
        <v>2</v>
      </c>
      <c r="F39" s="3">
        <f>'2-41'!L158</f>
        <v>8343447.1799999997</v>
      </c>
    </row>
    <row r="40" spans="1:6" s="853" customFormat="1" ht="16.899999999999999" customHeight="1">
      <c r="A40" s="931">
        <v>31</v>
      </c>
      <c r="B40" s="901" t="s">
        <v>1975</v>
      </c>
      <c r="C40" s="3">
        <f>'2-41'!H161</f>
        <v>599.79999999999995</v>
      </c>
      <c r="D40" s="897">
        <f>'2-41'!K161</f>
        <v>9</v>
      </c>
      <c r="E40" s="897">
        <v>1</v>
      </c>
      <c r="F40" s="3">
        <f>'2-41'!L161</f>
        <v>8927927.1600000001</v>
      </c>
    </row>
    <row r="41" spans="1:6" s="853" customFormat="1" ht="16.899999999999999" customHeight="1">
      <c r="A41" s="931">
        <v>32</v>
      </c>
      <c r="B41" s="902" t="s">
        <v>207</v>
      </c>
      <c r="C41" s="3">
        <f>'2-41'!H163</f>
        <v>9522.2099999999991</v>
      </c>
      <c r="D41" s="897">
        <f>'2-41'!K163</f>
        <v>305</v>
      </c>
      <c r="E41" s="897">
        <v>3</v>
      </c>
      <c r="F41" s="3">
        <f>'2-41'!L163</f>
        <v>14503389.620000001</v>
      </c>
    </row>
    <row r="42" spans="1:6" s="853" customFormat="1" ht="16.899999999999999" customHeight="1">
      <c r="A42" s="1216" t="s">
        <v>1263</v>
      </c>
      <c r="B42" s="1216"/>
      <c r="C42" s="1216"/>
      <c r="D42" s="1216"/>
      <c r="E42" s="1216"/>
      <c r="F42" s="1216"/>
    </row>
    <row r="43" spans="1:6" s="853" customFormat="1" ht="12.75" customHeight="1">
      <c r="A43" s="931"/>
      <c r="B43" s="902" t="s">
        <v>205</v>
      </c>
      <c r="C43" s="3">
        <f>SUM(C44:C75)</f>
        <v>245971.16999999995</v>
      </c>
      <c r="D43" s="896">
        <f>SUM(D44:D75)</f>
        <v>8991</v>
      </c>
      <c r="E43" s="896">
        <f>SUM(E44:E75)</f>
        <v>148</v>
      </c>
      <c r="F43" s="3">
        <f>SUM(F44:F75)</f>
        <v>837396218.1500001</v>
      </c>
    </row>
    <row r="44" spans="1:6" s="853" customFormat="1" ht="14.25" customHeight="1">
      <c r="A44" s="931">
        <v>1</v>
      </c>
      <c r="B44" s="900" t="s">
        <v>2274</v>
      </c>
      <c r="C44" s="3">
        <f>'2-41'!H197</f>
        <v>42880.700000000012</v>
      </c>
      <c r="D44" s="897">
        <f>'2-41'!K197</f>
        <v>1838</v>
      </c>
      <c r="E44" s="897">
        <v>22</v>
      </c>
      <c r="F44" s="3">
        <f>'2-41'!L197</f>
        <v>276127122.75999999</v>
      </c>
    </row>
    <row r="45" spans="1:6" s="853" customFormat="1" ht="16.899999999999999" customHeight="1">
      <c r="A45" s="931">
        <v>2</v>
      </c>
      <c r="B45" s="900" t="s">
        <v>2053</v>
      </c>
      <c r="C45" s="3">
        <f>'2-41'!H220</f>
        <v>8039</v>
      </c>
      <c r="D45" s="897">
        <f>'2-41'!K220</f>
        <v>294</v>
      </c>
      <c r="E45" s="897">
        <v>11</v>
      </c>
      <c r="F45" s="3">
        <f>'2-41'!L220</f>
        <v>56818674.5</v>
      </c>
    </row>
    <row r="46" spans="1:6" s="853" customFormat="1" ht="16.899999999999999" customHeight="1">
      <c r="A46" s="931">
        <v>3</v>
      </c>
      <c r="B46" s="900" t="s">
        <v>1186</v>
      </c>
      <c r="C46" s="3">
        <f>'2-41'!H232</f>
        <v>21029.8</v>
      </c>
      <c r="D46" s="897">
        <f>'2-41'!K232</f>
        <v>767</v>
      </c>
      <c r="E46" s="897">
        <v>8</v>
      </c>
      <c r="F46" s="3">
        <f>'2-41'!L232</f>
        <v>57282217.330000006</v>
      </c>
    </row>
    <row r="47" spans="1:6" s="853" customFormat="1" ht="16.899999999999999" customHeight="1">
      <c r="A47" s="931">
        <v>4</v>
      </c>
      <c r="B47" s="902" t="s">
        <v>2275</v>
      </c>
      <c r="C47" s="3">
        <f>'2-41'!H241</f>
        <v>3115.4</v>
      </c>
      <c r="D47" s="897">
        <f>'2-41'!K241</f>
        <v>91</v>
      </c>
      <c r="E47" s="897">
        <v>3</v>
      </c>
      <c r="F47" s="3">
        <f>'42-69'!C228</f>
        <v>18529277.419999998</v>
      </c>
    </row>
    <row r="48" spans="1:6" s="853" customFormat="1" ht="16.899999999999999" customHeight="1">
      <c r="A48" s="931">
        <v>5</v>
      </c>
      <c r="B48" s="900" t="s">
        <v>2054</v>
      </c>
      <c r="C48" s="3">
        <f>'2-41'!H245</f>
        <v>2842.7</v>
      </c>
      <c r="D48" s="897">
        <f>'2-41'!K245</f>
        <v>126</v>
      </c>
      <c r="E48" s="897">
        <v>2</v>
      </c>
      <c r="F48" s="3">
        <f>'2-41'!L245</f>
        <v>10868333.24</v>
      </c>
    </row>
    <row r="49" spans="1:6" s="853" customFormat="1" ht="16.899999999999999" customHeight="1">
      <c r="A49" s="931">
        <v>6</v>
      </c>
      <c r="B49" s="900" t="s">
        <v>2055</v>
      </c>
      <c r="C49" s="3">
        <f>'2-41'!H248</f>
        <v>5399.4</v>
      </c>
      <c r="D49" s="897">
        <f>'2-41'!K248</f>
        <v>162</v>
      </c>
      <c r="E49" s="897">
        <v>2</v>
      </c>
      <c r="F49" s="3">
        <f>'2-41'!L248</f>
        <v>4437569.01</v>
      </c>
    </row>
    <row r="50" spans="1:6" s="853" customFormat="1" ht="16.899999999999999" customHeight="1">
      <c r="A50" s="931">
        <v>7</v>
      </c>
      <c r="B50" s="900" t="s">
        <v>1053</v>
      </c>
      <c r="C50" s="3">
        <f>'2-41'!H251</f>
        <v>1451.8</v>
      </c>
      <c r="D50" s="897">
        <f>'2-41'!K251</f>
        <v>41</v>
      </c>
      <c r="E50" s="897">
        <v>2</v>
      </c>
      <c r="F50" s="3">
        <f>'2-41'!L251</f>
        <v>6808572.7199999997</v>
      </c>
    </row>
    <row r="51" spans="1:6" s="853" customFormat="1" ht="16.899999999999999" customHeight="1">
      <c r="A51" s="931">
        <v>8</v>
      </c>
      <c r="B51" s="900" t="s">
        <v>1973</v>
      </c>
      <c r="C51" s="3">
        <f>'2-41'!H254</f>
        <v>7747.9000000000005</v>
      </c>
      <c r="D51" s="897">
        <f>'2-41'!K254</f>
        <v>273</v>
      </c>
      <c r="E51" s="897">
        <v>5</v>
      </c>
      <c r="F51" s="3">
        <f>'2-41'!L254</f>
        <v>25493238.480000004</v>
      </c>
    </row>
    <row r="52" spans="1:6" s="853" customFormat="1" ht="16.899999999999999" customHeight="1">
      <c r="A52" s="931">
        <v>9</v>
      </c>
      <c r="B52" s="900" t="s">
        <v>1174</v>
      </c>
      <c r="C52" s="3">
        <f>'2-41'!H260</f>
        <v>2411.8000000000002</v>
      </c>
      <c r="D52" s="897">
        <f>'2-41'!K260</f>
        <v>81</v>
      </c>
      <c r="E52" s="897">
        <v>4</v>
      </c>
      <c r="F52" s="3">
        <f>'2-41'!L260</f>
        <v>2132222.73</v>
      </c>
    </row>
    <row r="53" spans="1:6" s="853" customFormat="1" ht="18.75" customHeight="1">
      <c r="A53" s="931">
        <v>10</v>
      </c>
      <c r="B53" s="900" t="s">
        <v>1978</v>
      </c>
      <c r="C53" s="3">
        <f>'2-41'!H265</f>
        <v>2740.7</v>
      </c>
      <c r="D53" s="897">
        <f>'2-41'!K265</f>
        <v>73</v>
      </c>
      <c r="E53" s="897">
        <v>2</v>
      </c>
      <c r="F53" s="3">
        <f>'2-41'!L265</f>
        <v>19335303.449999999</v>
      </c>
    </row>
    <row r="54" spans="1:6" s="853" customFormat="1" ht="16.899999999999999" customHeight="1">
      <c r="A54" s="931">
        <v>11</v>
      </c>
      <c r="B54" s="901" t="s">
        <v>1236</v>
      </c>
      <c r="C54" s="3">
        <f>'2-41'!H268</f>
        <v>2003.4</v>
      </c>
      <c r="D54" s="897">
        <f>'2-41'!K268</f>
        <v>52</v>
      </c>
      <c r="E54" s="897">
        <v>1</v>
      </c>
      <c r="F54" s="3">
        <f>'2-41'!L268</f>
        <v>4370826.05</v>
      </c>
    </row>
    <row r="55" spans="1:6" s="853" customFormat="1" ht="16.899999999999999" customHeight="1">
      <c r="A55" s="931">
        <v>12</v>
      </c>
      <c r="B55" s="901" t="s">
        <v>1056</v>
      </c>
      <c r="C55" s="3">
        <f>'2-41'!H270</f>
        <v>1587.9</v>
      </c>
      <c r="D55" s="897">
        <f>'2-41'!K270</f>
        <v>41</v>
      </c>
      <c r="E55" s="897">
        <v>1</v>
      </c>
      <c r="F55" s="3">
        <f>'2-41'!L270</f>
        <v>4158100.78</v>
      </c>
    </row>
    <row r="56" spans="1:6" s="853" customFormat="1" ht="16.899999999999999" customHeight="1">
      <c r="A56" s="931">
        <v>13</v>
      </c>
      <c r="B56" s="901" t="s">
        <v>1979</v>
      </c>
      <c r="C56" s="3">
        <f>'2-41'!H272</f>
        <v>7018.9</v>
      </c>
      <c r="D56" s="896">
        <f>'2-41'!K272</f>
        <v>318</v>
      </c>
      <c r="E56" s="896">
        <v>9</v>
      </c>
      <c r="F56" s="3">
        <f>'2-41'!L272</f>
        <v>26729425.859999999</v>
      </c>
    </row>
    <row r="57" spans="1:6" s="853" customFormat="1" ht="16.899999999999999" customHeight="1">
      <c r="A57" s="931">
        <v>14</v>
      </c>
      <c r="B57" s="901" t="s">
        <v>1974</v>
      </c>
      <c r="C57" s="3">
        <f>'2-41'!H282</f>
        <v>4743.07</v>
      </c>
      <c r="D57" s="897">
        <f>'2-41'!K282</f>
        <v>177</v>
      </c>
      <c r="E57" s="897">
        <v>4</v>
      </c>
      <c r="F57" s="3">
        <f>'2-41'!L282</f>
        <v>11257596.639999999</v>
      </c>
    </row>
    <row r="58" spans="1:6" s="853" customFormat="1" ht="16.5" customHeight="1">
      <c r="A58" s="931">
        <v>15</v>
      </c>
      <c r="B58" s="901" t="s">
        <v>1248</v>
      </c>
      <c r="C58" s="3">
        <f>'2-41'!H287</f>
        <v>5619.9</v>
      </c>
      <c r="D58" s="897">
        <f>'2-41'!K287</f>
        <v>315</v>
      </c>
      <c r="E58" s="897">
        <v>5</v>
      </c>
      <c r="F58" s="3">
        <f>'2-41'!L287</f>
        <v>19728615.199999999</v>
      </c>
    </row>
    <row r="59" spans="1:6" s="858" customFormat="1" ht="19.5" customHeight="1">
      <c r="A59" s="931">
        <v>16</v>
      </c>
      <c r="B59" s="901" t="s">
        <v>1582</v>
      </c>
      <c r="C59" s="3">
        <v>345.1</v>
      </c>
      <c r="D59" s="897">
        <v>15</v>
      </c>
      <c r="E59" s="897">
        <v>1</v>
      </c>
      <c r="F59" s="3">
        <v>2408761.7999999998</v>
      </c>
    </row>
    <row r="60" spans="1:6" s="853" customFormat="1" ht="16.899999999999999" customHeight="1">
      <c r="A60" s="931">
        <v>17</v>
      </c>
      <c r="B60" s="901" t="s">
        <v>1185</v>
      </c>
      <c r="C60" s="3">
        <f>'2-41'!H295</f>
        <v>7587.1</v>
      </c>
      <c r="D60" s="896">
        <f>'2-41'!K295</f>
        <v>304</v>
      </c>
      <c r="E60" s="896">
        <v>8</v>
      </c>
      <c r="F60" s="3">
        <f>'2-41'!L295</f>
        <v>32586878.849999998</v>
      </c>
    </row>
    <row r="61" spans="1:6" s="853" customFormat="1" ht="15.75" customHeight="1">
      <c r="A61" s="931">
        <v>18</v>
      </c>
      <c r="B61" s="901" t="s">
        <v>1977</v>
      </c>
      <c r="C61" s="3">
        <f>'2-41'!H304</f>
        <v>40183.299999999996</v>
      </c>
      <c r="D61" s="896">
        <f>'2-41'!K304</f>
        <v>1320</v>
      </c>
      <c r="E61" s="896">
        <v>10</v>
      </c>
      <c r="F61" s="3">
        <f>'2-41'!L304</f>
        <v>97886079.220000014</v>
      </c>
    </row>
    <row r="62" spans="1:6" s="853" customFormat="1" ht="15.75" customHeight="1">
      <c r="A62" s="931">
        <v>19</v>
      </c>
      <c r="B62" s="901" t="s">
        <v>1976</v>
      </c>
      <c r="C62" s="3">
        <f>'2-41'!H315</f>
        <v>1536.8</v>
      </c>
      <c r="D62" s="896">
        <f>'2-41'!K315</f>
        <v>63</v>
      </c>
      <c r="E62" s="896">
        <v>1</v>
      </c>
      <c r="F62" s="3">
        <f>'2-41'!L315</f>
        <v>6431262.9400000004</v>
      </c>
    </row>
    <row r="63" spans="1:6" s="853" customFormat="1" ht="16.899999999999999" customHeight="1">
      <c r="A63" s="931">
        <v>19</v>
      </c>
      <c r="B63" s="901" t="s">
        <v>1072</v>
      </c>
      <c r="C63" s="3">
        <f>'2-41'!H317</f>
        <v>12021.5</v>
      </c>
      <c r="D63" s="897">
        <f>'2-41'!K317</f>
        <v>407</v>
      </c>
      <c r="E63" s="897">
        <v>7</v>
      </c>
      <c r="F63" s="3">
        <f>'2-41'!L317</f>
        <v>27664563.290000003</v>
      </c>
    </row>
    <row r="64" spans="1:6" s="853" customFormat="1" ht="16.899999999999999" customHeight="1">
      <c r="A64" s="931">
        <v>20</v>
      </c>
      <c r="B64" s="901" t="s">
        <v>1824</v>
      </c>
      <c r="C64" s="3">
        <f>'2-41'!H325</f>
        <v>3771.5999999999995</v>
      </c>
      <c r="D64" s="897">
        <f>'2-41'!K325</f>
        <v>117</v>
      </c>
      <c r="E64" s="897">
        <v>5</v>
      </c>
      <c r="F64" s="3">
        <f>'2-41'!L325</f>
        <v>19334145.209999997</v>
      </c>
    </row>
    <row r="65" spans="1:6" s="853" customFormat="1" ht="16.899999999999999" customHeight="1">
      <c r="A65" s="931">
        <v>21</v>
      </c>
      <c r="B65" s="902" t="s">
        <v>1071</v>
      </c>
      <c r="C65" s="3">
        <f>'2-41'!H331</f>
        <v>820.1</v>
      </c>
      <c r="D65" s="897">
        <f>'2-41'!K331</f>
        <v>32</v>
      </c>
      <c r="E65" s="897">
        <v>1</v>
      </c>
      <c r="F65" s="3">
        <f>'2-41'!L331</f>
        <v>3062646.46</v>
      </c>
    </row>
    <row r="66" spans="1:6" s="853" customFormat="1" ht="16.899999999999999" customHeight="1">
      <c r="A66" s="931">
        <v>22</v>
      </c>
      <c r="B66" s="901" t="s">
        <v>1249</v>
      </c>
      <c r="C66" s="3">
        <f>'2-41'!H333</f>
        <v>5226</v>
      </c>
      <c r="D66" s="897">
        <f>'2-41'!K333</f>
        <v>259</v>
      </c>
      <c r="E66" s="897">
        <v>2</v>
      </c>
      <c r="F66" s="3">
        <f>'2-41'!L333</f>
        <v>10818421.27</v>
      </c>
    </row>
    <row r="67" spans="1:6" s="853" customFormat="1" ht="16.899999999999999" customHeight="1">
      <c r="A67" s="931">
        <v>23</v>
      </c>
      <c r="B67" s="901" t="s">
        <v>1059</v>
      </c>
      <c r="C67" s="3">
        <f>'2-41'!H366</f>
        <v>15411.199999999999</v>
      </c>
      <c r="D67" s="897">
        <f>'2-41'!K366</f>
        <v>358</v>
      </c>
      <c r="E67" s="897">
        <v>14</v>
      </c>
      <c r="F67" s="3">
        <f>'2-41'!L366</f>
        <v>5400636</v>
      </c>
    </row>
    <row r="68" spans="1:6" s="853" customFormat="1" ht="16.899999999999999" customHeight="1">
      <c r="A68" s="931">
        <v>24</v>
      </c>
      <c r="B68" s="901" t="s">
        <v>1250</v>
      </c>
      <c r="C68" s="3">
        <f>'2-41'!H336</f>
        <v>15645.9</v>
      </c>
      <c r="D68" s="897">
        <f>'2-41'!K336</f>
        <v>500</v>
      </c>
      <c r="E68" s="897">
        <v>4</v>
      </c>
      <c r="F68" s="3">
        <f>'2-41'!L336</f>
        <v>32177893.100000001</v>
      </c>
    </row>
    <row r="69" spans="1:6" s="853" customFormat="1" ht="16.899999999999999" customHeight="1">
      <c r="A69" s="931">
        <v>25</v>
      </c>
      <c r="B69" s="901" t="s">
        <v>1817</v>
      </c>
      <c r="C69" s="3">
        <f>'2-41'!H341</f>
        <v>550.79999999999995</v>
      </c>
      <c r="D69" s="897">
        <f>'2-41'!K341</f>
        <v>19</v>
      </c>
      <c r="E69" s="897">
        <v>1</v>
      </c>
      <c r="F69" s="3">
        <f>'2-41'!L341</f>
        <v>4752718.99</v>
      </c>
    </row>
    <row r="70" spans="1:6" s="853" customFormat="1" ht="16.899999999999999" customHeight="1">
      <c r="A70" s="931">
        <v>26</v>
      </c>
      <c r="B70" s="901" t="s">
        <v>1058</v>
      </c>
      <c r="C70" s="3">
        <f>'2-41'!H343</f>
        <v>647.6</v>
      </c>
      <c r="D70" s="897">
        <f>'2-41'!K343</f>
        <v>19</v>
      </c>
      <c r="E70" s="897">
        <v>1</v>
      </c>
      <c r="F70" s="3">
        <f>'2-41'!L343</f>
        <v>4982764.66</v>
      </c>
    </row>
    <row r="71" spans="1:6" s="853" customFormat="1" ht="16.899999999999999" customHeight="1">
      <c r="A71" s="931">
        <v>27</v>
      </c>
      <c r="B71" s="901" t="s">
        <v>1176</v>
      </c>
      <c r="C71" s="3">
        <f>'2-41'!H346</f>
        <v>1505</v>
      </c>
      <c r="D71" s="896">
        <f>'2-41'!K346</f>
        <v>41</v>
      </c>
      <c r="E71" s="897">
        <v>1</v>
      </c>
      <c r="F71" s="3">
        <f>'2-41'!L346</f>
        <v>4733225.05</v>
      </c>
    </row>
    <row r="72" spans="1:6" s="853" customFormat="1" ht="16.899999999999999" customHeight="1">
      <c r="A72" s="931">
        <v>28</v>
      </c>
      <c r="B72" s="902" t="s">
        <v>1068</v>
      </c>
      <c r="C72" s="3">
        <f>'2-41'!H351</f>
        <v>1358.1</v>
      </c>
      <c r="D72" s="897">
        <f>'2-41'!K351</f>
        <v>53</v>
      </c>
      <c r="E72" s="897">
        <v>2</v>
      </c>
      <c r="F72" s="3">
        <f>'2-41'!L351</f>
        <v>5141625.8600000003</v>
      </c>
    </row>
    <row r="73" spans="1:6" s="853" customFormat="1" ht="16.899999999999999" customHeight="1">
      <c r="A73" s="931">
        <v>29</v>
      </c>
      <c r="B73" s="902" t="s">
        <v>1187</v>
      </c>
      <c r="C73" s="3">
        <f>'2-41'!H347</f>
        <v>2623.4</v>
      </c>
      <c r="D73" s="896">
        <f>'2-41'!K347</f>
        <v>119</v>
      </c>
      <c r="E73" s="897">
        <v>3</v>
      </c>
      <c r="F73" s="3">
        <f>'2-41'!L347</f>
        <v>9225287.8499999996</v>
      </c>
    </row>
    <row r="74" spans="1:6" s="853" customFormat="1" ht="16.899999999999999" customHeight="1">
      <c r="A74" s="931">
        <v>30</v>
      </c>
      <c r="B74" s="902" t="s">
        <v>2273</v>
      </c>
      <c r="C74" s="3">
        <f>'2-41'!H354</f>
        <v>494.8</v>
      </c>
      <c r="D74" s="896">
        <f>'2-41'!K354</f>
        <v>12</v>
      </c>
      <c r="E74" s="897">
        <v>1</v>
      </c>
      <c r="F74" s="3">
        <f>'2-41'!L354</f>
        <v>223706</v>
      </c>
    </row>
    <row r="75" spans="1:6" s="853" customFormat="1" ht="16.899999999999999" customHeight="1">
      <c r="A75" s="931">
        <v>31</v>
      </c>
      <c r="B75" s="902" t="s">
        <v>207</v>
      </c>
      <c r="C75" s="3">
        <f>'2-41'!H356</f>
        <v>17610.5</v>
      </c>
      <c r="D75" s="897">
        <f>'2-41'!K356</f>
        <v>704</v>
      </c>
      <c r="E75" s="897">
        <v>5</v>
      </c>
      <c r="F75" s="3">
        <f>'2-41'!L356</f>
        <v>26488505.43</v>
      </c>
    </row>
    <row r="76" spans="1:6" s="853" customFormat="1" ht="16.899999999999999" customHeight="1">
      <c r="A76" s="1216" t="s">
        <v>1264</v>
      </c>
      <c r="B76" s="1216"/>
      <c r="C76" s="1216"/>
      <c r="D76" s="1216"/>
      <c r="E76" s="1216"/>
      <c r="F76" s="1216"/>
    </row>
    <row r="77" spans="1:6" s="853" customFormat="1" ht="16.899999999999999" customHeight="1">
      <c r="A77" s="931"/>
      <c r="B77" s="902" t="s">
        <v>205</v>
      </c>
      <c r="C77" s="3">
        <f>SUM(C78:C109)</f>
        <v>209992.28</v>
      </c>
      <c r="D77" s="896">
        <f>SUM(D78:D109)</f>
        <v>7504</v>
      </c>
      <c r="E77" s="896">
        <f>SUM(E78:E109)</f>
        <v>99</v>
      </c>
      <c r="F77" s="3">
        <f>SUM(F78:F109)</f>
        <v>685779244.22000015</v>
      </c>
    </row>
    <row r="78" spans="1:6" s="853" customFormat="1" ht="16.899999999999999" customHeight="1">
      <c r="A78" s="931">
        <v>1</v>
      </c>
      <c r="B78" s="902" t="s">
        <v>2274</v>
      </c>
      <c r="C78" s="3">
        <f>'2-41'!H385</f>
        <v>45039.200000000004</v>
      </c>
      <c r="D78" s="897">
        <f>'2-41'!K385</f>
        <v>1801</v>
      </c>
      <c r="E78" s="897">
        <v>17</v>
      </c>
      <c r="F78" s="3">
        <f>'2-41'!L385</f>
        <v>166554860.20000002</v>
      </c>
    </row>
    <row r="79" spans="1:6" s="853" customFormat="1" ht="16.899999999999999" customHeight="1">
      <c r="A79" s="931">
        <v>2</v>
      </c>
      <c r="B79" s="900" t="s">
        <v>2053</v>
      </c>
      <c r="C79" s="3">
        <f>'2-41'!H403</f>
        <v>5412.6</v>
      </c>
      <c r="D79" s="897">
        <f>'2-41'!K403</f>
        <v>182</v>
      </c>
      <c r="E79" s="897">
        <v>5</v>
      </c>
      <c r="F79" s="3">
        <f>'2-41'!L403</f>
        <v>38996940.149999999</v>
      </c>
    </row>
    <row r="80" spans="1:6" s="853" customFormat="1" ht="16.899999999999999" customHeight="1">
      <c r="A80" s="931">
        <v>3</v>
      </c>
      <c r="B80" s="902" t="s">
        <v>1186</v>
      </c>
      <c r="C80" s="3">
        <f>'2-41'!H409</f>
        <v>21754.300000000003</v>
      </c>
      <c r="D80" s="897">
        <f>'2-41'!K409</f>
        <v>703</v>
      </c>
      <c r="E80" s="897">
        <v>6</v>
      </c>
      <c r="F80" s="3">
        <f>'2-41'!L409</f>
        <v>50076551.32</v>
      </c>
    </row>
    <row r="81" spans="1:6" s="853" customFormat="1" ht="16.899999999999999" customHeight="1">
      <c r="A81" s="931">
        <v>4</v>
      </c>
      <c r="B81" s="902" t="s">
        <v>2275</v>
      </c>
      <c r="C81" s="3">
        <f>'2-41'!H416</f>
        <v>2279.2000000000003</v>
      </c>
      <c r="D81" s="897">
        <f>'2-41'!K416</f>
        <v>69</v>
      </c>
      <c r="E81" s="897">
        <v>4</v>
      </c>
      <c r="F81" s="3">
        <f>'2-41'!L416</f>
        <v>17209242.719999999</v>
      </c>
    </row>
    <row r="82" spans="1:6" s="853" customFormat="1" ht="16.899999999999999" customHeight="1">
      <c r="A82" s="931">
        <v>5</v>
      </c>
      <c r="B82" s="900" t="s">
        <v>2054</v>
      </c>
      <c r="C82" s="3">
        <f>'2-41'!H421</f>
        <v>4596.5</v>
      </c>
      <c r="D82" s="897">
        <f>'2-41'!K421</f>
        <v>209</v>
      </c>
      <c r="E82" s="897">
        <v>1</v>
      </c>
      <c r="F82" s="3">
        <f>'2-41'!L421</f>
        <v>14152964.67</v>
      </c>
    </row>
    <row r="83" spans="1:6" s="853" customFormat="1" ht="16.899999999999999" customHeight="1">
      <c r="A83" s="931">
        <v>6</v>
      </c>
      <c r="B83" s="900" t="s">
        <v>2055</v>
      </c>
      <c r="C83" s="3">
        <f>'2-41'!H423</f>
        <v>2653.2</v>
      </c>
      <c r="D83" s="897">
        <f>'2-41'!K423</f>
        <v>70</v>
      </c>
      <c r="E83" s="897">
        <v>1</v>
      </c>
      <c r="F83" s="3">
        <f>'2-41'!L423</f>
        <v>2284818.39</v>
      </c>
    </row>
    <row r="84" spans="1:6" s="853" customFormat="1" ht="16.899999999999999" customHeight="1">
      <c r="A84" s="931">
        <v>7</v>
      </c>
      <c r="B84" s="900" t="s">
        <v>1053</v>
      </c>
      <c r="C84" s="3">
        <f>'2-41'!H425</f>
        <v>1699.2</v>
      </c>
      <c r="D84" s="897">
        <f>'2-41'!K425</f>
        <v>48</v>
      </c>
      <c r="E84" s="897">
        <v>2</v>
      </c>
      <c r="F84" s="3">
        <f>'2-41'!L425</f>
        <v>13399978.800000001</v>
      </c>
    </row>
    <row r="85" spans="1:6" s="853" customFormat="1" ht="16.899999999999999" customHeight="1">
      <c r="A85" s="931">
        <v>8</v>
      </c>
      <c r="B85" s="900" t="s">
        <v>1973</v>
      </c>
      <c r="C85" s="3">
        <f>'2-41'!H428</f>
        <v>4390.3999999999996</v>
      </c>
      <c r="D85" s="896">
        <f>'2-41'!K428</f>
        <v>147</v>
      </c>
      <c r="E85" s="896">
        <v>2</v>
      </c>
      <c r="F85" s="3">
        <f>'2-41'!L428</f>
        <v>26339961.170000002</v>
      </c>
    </row>
    <row r="86" spans="1:6" s="853" customFormat="1" ht="16.899999999999999" customHeight="1">
      <c r="A86" s="931">
        <v>9</v>
      </c>
      <c r="B86" s="900" t="s">
        <v>1174</v>
      </c>
      <c r="C86" s="3">
        <f>'2-41'!H431</f>
        <v>1844.3</v>
      </c>
      <c r="D86" s="897">
        <f>'2-41'!K431</f>
        <v>42</v>
      </c>
      <c r="E86" s="897">
        <v>1</v>
      </c>
      <c r="F86" s="3">
        <f>'2-41'!L431</f>
        <v>1469580.17</v>
      </c>
    </row>
    <row r="87" spans="1:6" s="853" customFormat="1" ht="16.899999999999999" customHeight="1">
      <c r="A87" s="931">
        <v>10</v>
      </c>
      <c r="B87" s="901" t="s">
        <v>1978</v>
      </c>
      <c r="C87" s="3">
        <f>'2-41'!H433</f>
        <v>7976.6</v>
      </c>
      <c r="D87" s="897">
        <f>'2-41'!K433</f>
        <v>242</v>
      </c>
      <c r="E87" s="897">
        <v>3</v>
      </c>
      <c r="F87" s="3">
        <f>'2-41'!L433</f>
        <v>23904968.270000003</v>
      </c>
    </row>
    <row r="88" spans="1:6" s="853" customFormat="1" ht="16.899999999999999" customHeight="1">
      <c r="A88" s="931">
        <v>11</v>
      </c>
      <c r="B88" s="901" t="s">
        <v>1052</v>
      </c>
      <c r="C88" s="3">
        <f>'2-41'!H437</f>
        <v>537.4</v>
      </c>
      <c r="D88" s="897">
        <f>'2-41'!K437</f>
        <v>12</v>
      </c>
      <c r="E88" s="897">
        <v>1</v>
      </c>
      <c r="F88" s="3">
        <f>'2-41'!L437</f>
        <v>4844707.25</v>
      </c>
    </row>
    <row r="89" spans="1:6" s="853" customFormat="1" ht="16.899999999999999" customHeight="1">
      <c r="A89" s="931">
        <v>12</v>
      </c>
      <c r="B89" s="901" t="s">
        <v>1236</v>
      </c>
      <c r="C89" s="3">
        <f>'2-41'!H439</f>
        <v>491.9</v>
      </c>
      <c r="D89" s="897">
        <f>'2-41'!K439</f>
        <v>11</v>
      </c>
      <c r="E89" s="897">
        <v>1</v>
      </c>
      <c r="F89" s="3">
        <f>'2-41'!L439</f>
        <v>4007164.7</v>
      </c>
    </row>
    <row r="90" spans="1:6" s="853" customFormat="1" ht="16.899999999999999" customHeight="1">
      <c r="A90" s="931">
        <v>13</v>
      </c>
      <c r="B90" s="901" t="s">
        <v>1056</v>
      </c>
      <c r="C90" s="3">
        <f>'2-41'!H441</f>
        <v>571.79999999999995</v>
      </c>
      <c r="D90" s="897">
        <f>'2-41'!K441</f>
        <v>14</v>
      </c>
      <c r="E90" s="897">
        <v>1</v>
      </c>
      <c r="F90" s="3">
        <f>'2-41'!L441</f>
        <v>4714311.41</v>
      </c>
    </row>
    <row r="91" spans="1:6" s="853" customFormat="1" ht="16.899999999999999" customHeight="1">
      <c r="A91" s="931">
        <v>14</v>
      </c>
      <c r="B91" s="901" t="s">
        <v>1979</v>
      </c>
      <c r="C91" s="3">
        <f>'2-41'!H443</f>
        <v>8271.6</v>
      </c>
      <c r="D91" s="896">
        <f>'2-41'!K443</f>
        <v>430</v>
      </c>
      <c r="E91" s="896">
        <v>7</v>
      </c>
      <c r="F91" s="3">
        <f>'2-41'!L443</f>
        <v>33915873.759999998</v>
      </c>
    </row>
    <row r="92" spans="1:6" s="853" customFormat="1" ht="16.899999999999999" customHeight="1">
      <c r="A92" s="931">
        <v>15</v>
      </c>
      <c r="B92" s="901" t="s">
        <v>1974</v>
      </c>
      <c r="C92" s="3">
        <f>'2-41'!H451</f>
        <v>8139.4</v>
      </c>
      <c r="D92" s="897">
        <f>'2-41'!K451</f>
        <v>260</v>
      </c>
      <c r="E92" s="897">
        <v>2</v>
      </c>
      <c r="F92" s="3">
        <f>'2-41'!L451</f>
        <v>12776900.84</v>
      </c>
    </row>
    <row r="93" spans="1:6" s="853" customFormat="1" ht="16.899999999999999" customHeight="1">
      <c r="A93" s="931">
        <v>16</v>
      </c>
      <c r="B93" s="901" t="s">
        <v>1248</v>
      </c>
      <c r="C93" s="3">
        <f>'2-41'!H454</f>
        <v>6196.5999999999995</v>
      </c>
      <c r="D93" s="897">
        <f>'2-41'!K454</f>
        <v>149</v>
      </c>
      <c r="E93" s="897">
        <v>4</v>
      </c>
      <c r="F93" s="3">
        <f>'2-41'!L454</f>
        <v>20209721.780000001</v>
      </c>
    </row>
    <row r="94" spans="1:6" s="853" customFormat="1" ht="16.899999999999999" customHeight="1">
      <c r="A94" s="931">
        <v>17</v>
      </c>
      <c r="B94" s="901" t="s">
        <v>1185</v>
      </c>
      <c r="C94" s="3">
        <f>'2-41'!H459</f>
        <v>3598.6</v>
      </c>
      <c r="D94" s="897">
        <f>'2-41'!K459</f>
        <v>73</v>
      </c>
      <c r="E94" s="897">
        <v>4</v>
      </c>
      <c r="F94" s="3">
        <f>'2-41'!L459</f>
        <v>20850496.600000001</v>
      </c>
    </row>
    <row r="95" spans="1:6" s="853" customFormat="1" ht="16.899999999999999" customHeight="1">
      <c r="A95" s="931">
        <v>18</v>
      </c>
      <c r="B95" s="901" t="s">
        <v>1977</v>
      </c>
      <c r="C95" s="3">
        <f>'2-41'!H464</f>
        <v>29070.399999999994</v>
      </c>
      <c r="D95" s="896">
        <f>'2-41'!K464</f>
        <v>1123</v>
      </c>
      <c r="E95" s="896">
        <v>10</v>
      </c>
      <c r="F95" s="3">
        <f>'2-41'!L464</f>
        <v>72935585.960000008</v>
      </c>
    </row>
    <row r="96" spans="1:6" s="853" customFormat="1" ht="16.899999999999999" customHeight="1">
      <c r="A96" s="931">
        <v>19</v>
      </c>
      <c r="B96" s="901" t="s">
        <v>1057</v>
      </c>
      <c r="C96" s="3">
        <f>'2-41'!H475</f>
        <v>1910.1</v>
      </c>
      <c r="D96" s="897">
        <f>'2-41'!K475</f>
        <v>68</v>
      </c>
      <c r="E96" s="897">
        <v>1</v>
      </c>
      <c r="F96" s="3">
        <f>'2-41'!L475</f>
        <v>12301343.630000001</v>
      </c>
    </row>
    <row r="97" spans="1:6" s="853" customFormat="1" ht="16.899999999999999" customHeight="1">
      <c r="A97" s="931">
        <v>20</v>
      </c>
      <c r="B97" s="901" t="s">
        <v>1976</v>
      </c>
      <c r="C97" s="3">
        <f>'2-41'!H477</f>
        <v>4475.1000000000004</v>
      </c>
      <c r="D97" s="897">
        <f>'2-41'!K477</f>
        <v>148</v>
      </c>
      <c r="E97" s="897">
        <v>1</v>
      </c>
      <c r="F97" s="3">
        <f>'2-41'!L477</f>
        <v>11676241.529999999</v>
      </c>
    </row>
    <row r="98" spans="1:6" s="853" customFormat="1" ht="16.899999999999999" customHeight="1">
      <c r="A98" s="931">
        <v>21</v>
      </c>
      <c r="B98" s="901" t="s">
        <v>1070</v>
      </c>
      <c r="C98" s="3">
        <f>'2-41'!H479</f>
        <v>5761.6</v>
      </c>
      <c r="D98" s="897">
        <f>'2-41'!K479</f>
        <v>254</v>
      </c>
      <c r="E98" s="897">
        <v>3</v>
      </c>
      <c r="F98" s="3">
        <f>'2-41'!L479</f>
        <v>19861037.490000002</v>
      </c>
    </row>
    <row r="99" spans="1:6" s="853" customFormat="1" ht="16.899999999999999" customHeight="1">
      <c r="A99" s="931">
        <v>22</v>
      </c>
      <c r="B99" s="901" t="s">
        <v>1824</v>
      </c>
      <c r="C99" s="3">
        <f>'2-41'!H483</f>
        <v>2608</v>
      </c>
      <c r="D99" s="897">
        <f>'2-41'!K483</f>
        <v>36</v>
      </c>
      <c r="E99" s="897">
        <v>2</v>
      </c>
      <c r="F99" s="3">
        <f>'2-41'!L483</f>
        <v>6125301.7300000004</v>
      </c>
    </row>
    <row r="100" spans="1:6" s="853" customFormat="1" ht="16.899999999999999" customHeight="1">
      <c r="A100" s="931">
        <v>23</v>
      </c>
      <c r="B100" s="901" t="s">
        <v>1249</v>
      </c>
      <c r="C100" s="3">
        <f>'2-41'!H486</f>
        <v>1342.4</v>
      </c>
      <c r="D100" s="897">
        <f>'2-41'!K486</f>
        <v>39</v>
      </c>
      <c r="E100" s="897">
        <v>2</v>
      </c>
      <c r="F100" s="3">
        <f>'2-41'!L486</f>
        <v>9481784.1899999995</v>
      </c>
    </row>
    <row r="101" spans="1:6" s="853" customFormat="1" ht="16.899999999999999" customHeight="1">
      <c r="A101" s="931">
        <v>24</v>
      </c>
      <c r="B101" s="901" t="s">
        <v>1059</v>
      </c>
      <c r="C101" s="3">
        <f>'2-41'!H518</f>
        <v>825.5</v>
      </c>
      <c r="D101" s="897">
        <f>'2-41'!K518</f>
        <v>23</v>
      </c>
      <c r="E101" s="897">
        <v>1</v>
      </c>
      <c r="F101" s="3">
        <f>'2-41'!L518</f>
        <v>700000</v>
      </c>
    </row>
    <row r="102" spans="1:6" s="853" customFormat="1" ht="16.899999999999999" customHeight="1">
      <c r="A102" s="931">
        <v>25</v>
      </c>
      <c r="B102" s="901" t="s">
        <v>1250</v>
      </c>
      <c r="C102" s="3">
        <f>'2-41'!H489</f>
        <v>13807.21</v>
      </c>
      <c r="D102" s="897">
        <f>'2-41'!K489</f>
        <v>451</v>
      </c>
      <c r="E102" s="897">
        <v>5</v>
      </c>
      <c r="F102" s="3">
        <f>'2-41'!L489</f>
        <v>29816233.869999997</v>
      </c>
    </row>
    <row r="103" spans="1:6" s="853" customFormat="1" ht="16.899999999999999" customHeight="1">
      <c r="A103" s="931">
        <v>26</v>
      </c>
      <c r="B103" s="902" t="s">
        <v>1069</v>
      </c>
      <c r="C103" s="3">
        <f>'2-41'!H495</f>
        <v>1523.1</v>
      </c>
      <c r="D103" s="897">
        <f>'2-41'!K495</f>
        <v>47</v>
      </c>
      <c r="E103" s="897">
        <v>1</v>
      </c>
      <c r="F103" s="3">
        <f>'2-41'!L495</f>
        <v>6789799.4800000004</v>
      </c>
    </row>
    <row r="104" spans="1:6" s="853" customFormat="1" ht="16.899999999999999" customHeight="1">
      <c r="A104" s="931">
        <v>27</v>
      </c>
      <c r="B104" s="902" t="s">
        <v>1794</v>
      </c>
      <c r="C104" s="3">
        <v>626</v>
      </c>
      <c r="D104" s="897">
        <v>18</v>
      </c>
      <c r="E104" s="897">
        <v>1</v>
      </c>
      <c r="F104" s="3">
        <v>5436503.79</v>
      </c>
    </row>
    <row r="105" spans="1:6" s="853" customFormat="1" ht="16.5" customHeight="1">
      <c r="A105" s="931">
        <v>28</v>
      </c>
      <c r="B105" s="901" t="s">
        <v>1058</v>
      </c>
      <c r="C105" s="3">
        <f>'2-41'!H499</f>
        <v>575.4</v>
      </c>
      <c r="D105" s="897">
        <f>'2-41'!K499</f>
        <v>22</v>
      </c>
      <c r="E105" s="897">
        <v>1</v>
      </c>
      <c r="F105" s="3">
        <f>'2-41'!L499</f>
        <v>4511094.49</v>
      </c>
    </row>
    <row r="106" spans="1:6" s="853" customFormat="1" ht="16.899999999999999" customHeight="1">
      <c r="A106" s="931">
        <v>29</v>
      </c>
      <c r="B106" s="902" t="s">
        <v>1068</v>
      </c>
      <c r="C106" s="3">
        <f>'2-41'!H501</f>
        <v>1365.8000000000002</v>
      </c>
      <c r="D106" s="897">
        <f>'2-41'!K501</f>
        <v>51</v>
      </c>
      <c r="E106" s="897">
        <v>1</v>
      </c>
      <c r="F106" s="3">
        <f>'2-41'!L501</f>
        <v>5751075.0700000003</v>
      </c>
    </row>
    <row r="107" spans="1:6" s="853" customFormat="1" ht="16.899999999999999" customHeight="1">
      <c r="A107" s="931">
        <v>30</v>
      </c>
      <c r="B107" s="902" t="s">
        <v>1187</v>
      </c>
      <c r="C107" s="3">
        <f>'2-41'!H503</f>
        <v>4269.6000000000004</v>
      </c>
      <c r="D107" s="896">
        <f>'2-41'!K503</f>
        <v>173</v>
      </c>
      <c r="E107" s="897">
        <v>1</v>
      </c>
      <c r="F107" s="3">
        <f>'2-41'!L503</f>
        <v>7602256</v>
      </c>
    </row>
    <row r="108" spans="1:6" s="853" customFormat="1" ht="16.899999999999999" customHeight="1">
      <c r="A108" s="931">
        <v>31</v>
      </c>
      <c r="B108" s="902" t="s">
        <v>207</v>
      </c>
      <c r="C108" s="3">
        <f>'2-41'!H505</f>
        <v>12860.269999999999</v>
      </c>
      <c r="D108" s="897">
        <f>'2-41'!K505</f>
        <v>498</v>
      </c>
      <c r="E108" s="897">
        <v>5</v>
      </c>
      <c r="F108" s="3">
        <f>'2-41'!L505</f>
        <v>26406023.920000002</v>
      </c>
    </row>
    <row r="109" spans="1:6" s="853" customFormat="1" ht="16.899999999999999" customHeight="1">
      <c r="A109" s="931">
        <v>32</v>
      </c>
      <c r="B109" s="903" t="s">
        <v>2056</v>
      </c>
      <c r="C109" s="3">
        <f>'2-41'!H511</f>
        <v>3519</v>
      </c>
      <c r="D109" s="896">
        <f>'2-41'!K511</f>
        <v>91</v>
      </c>
      <c r="E109" s="896">
        <v>2</v>
      </c>
      <c r="F109" s="3">
        <f>'2-41'!L511</f>
        <v>10675920.870000001</v>
      </c>
    </row>
    <row r="110" spans="1:6" s="853" customFormat="1" ht="26.45" customHeight="1">
      <c r="A110" s="1216" t="s">
        <v>1261</v>
      </c>
      <c r="B110" s="1216"/>
      <c r="C110" s="1216"/>
      <c r="D110" s="1216"/>
      <c r="E110" s="1216"/>
      <c r="F110" s="1216"/>
    </row>
    <row r="111" spans="1:6" s="853" customFormat="1" ht="16.899999999999999" customHeight="1">
      <c r="A111" s="931"/>
      <c r="B111" s="900" t="s">
        <v>205</v>
      </c>
      <c r="C111" s="3">
        <f>SUM(C112:C146)</f>
        <v>999242.61999999976</v>
      </c>
      <c r="D111" s="896">
        <f>SUM(D112:D146)</f>
        <v>33937</v>
      </c>
      <c r="E111" s="896">
        <f>SUM(E112:E146)</f>
        <v>490</v>
      </c>
      <c r="F111" s="3">
        <f>SUM(F112:F146)</f>
        <v>1999614840.3481259</v>
      </c>
    </row>
    <row r="112" spans="1:6" s="853" customFormat="1" ht="16.899999999999999" customHeight="1">
      <c r="A112" s="931">
        <v>1</v>
      </c>
      <c r="B112" s="900" t="s">
        <v>2274</v>
      </c>
      <c r="C112" s="3">
        <f>'2-41'!H524</f>
        <v>479462.33999999973</v>
      </c>
      <c r="D112" s="897">
        <f>'2-41'!K524</f>
        <v>16784</v>
      </c>
      <c r="E112" s="897">
        <v>161</v>
      </c>
      <c r="F112" s="3">
        <f>'2-41'!L524</f>
        <v>970456067.75999987</v>
      </c>
    </row>
    <row r="113" spans="1:6" s="853" customFormat="1" ht="16.899999999999999" customHeight="1">
      <c r="A113" s="931">
        <v>2</v>
      </c>
      <c r="B113" s="900" t="s">
        <v>2053</v>
      </c>
      <c r="C113" s="3">
        <f>'2-41'!H686</f>
        <v>43635.510000000017</v>
      </c>
      <c r="D113" s="897">
        <f>'2-41'!K686</f>
        <v>1603</v>
      </c>
      <c r="E113" s="897">
        <v>41</v>
      </c>
      <c r="F113" s="3">
        <f>'2-41'!L686</f>
        <v>84862777.410000011</v>
      </c>
    </row>
    <row r="114" spans="1:6" s="853" customFormat="1" ht="16.899999999999999" customHeight="1">
      <c r="A114" s="931">
        <v>3</v>
      </c>
      <c r="B114" s="900" t="s">
        <v>1186</v>
      </c>
      <c r="C114" s="3">
        <f>'2-41'!H728</f>
        <v>40938.6</v>
      </c>
      <c r="D114" s="897">
        <f>'2-41'!K728</f>
        <v>1308</v>
      </c>
      <c r="E114" s="897">
        <v>17</v>
      </c>
      <c r="F114" s="3">
        <f>'2-41'!L728</f>
        <v>93075275.150850639</v>
      </c>
    </row>
    <row r="115" spans="1:6" s="853" customFormat="1" ht="16.899999999999999" customHeight="1">
      <c r="A115" s="931">
        <v>4</v>
      </c>
      <c r="B115" s="902" t="s">
        <v>2275</v>
      </c>
      <c r="C115" s="3">
        <f>'2-41'!H746</f>
        <v>11617.199999999999</v>
      </c>
      <c r="D115" s="897">
        <f>'2-41'!K746</f>
        <v>405</v>
      </c>
      <c r="E115" s="897">
        <v>10</v>
      </c>
      <c r="F115" s="3">
        <f>'2-41'!L746</f>
        <v>30371186.366968002</v>
      </c>
    </row>
    <row r="116" spans="1:6" s="853" customFormat="1" ht="16.899999999999999" customHeight="1">
      <c r="A116" s="931">
        <v>5</v>
      </c>
      <c r="B116" s="900" t="s">
        <v>2054</v>
      </c>
      <c r="C116" s="3">
        <f>'2-41'!H757</f>
        <v>64512.160000000003</v>
      </c>
      <c r="D116" s="897">
        <f>'2-41'!K757</f>
        <v>1987</v>
      </c>
      <c r="E116" s="897">
        <v>14</v>
      </c>
      <c r="F116" s="3">
        <f>'2-41'!L757</f>
        <v>75961800.186400011</v>
      </c>
    </row>
    <row r="117" spans="1:6" s="853" customFormat="1" ht="16.899999999999999" customHeight="1">
      <c r="A117" s="931">
        <v>6</v>
      </c>
      <c r="B117" s="900" t="s">
        <v>2055</v>
      </c>
      <c r="C117" s="3">
        <f>'2-41'!H772</f>
        <v>2739.4</v>
      </c>
      <c r="D117" s="897">
        <f>'2-41'!K772</f>
        <v>79</v>
      </c>
      <c r="E117" s="897">
        <v>1</v>
      </c>
      <c r="F117" s="3">
        <f>'2-41'!L772</f>
        <v>11459859.27</v>
      </c>
    </row>
    <row r="118" spans="1:6" s="853" customFormat="1" ht="16.899999999999999" customHeight="1">
      <c r="A118" s="931">
        <v>7</v>
      </c>
      <c r="B118" s="900" t="s">
        <v>1053</v>
      </c>
      <c r="C118" s="3">
        <f>'2-41'!H774</f>
        <v>4777.5</v>
      </c>
      <c r="D118" s="897">
        <f>'2-41'!K774</f>
        <v>143</v>
      </c>
      <c r="E118" s="897">
        <v>8</v>
      </c>
      <c r="F118" s="3">
        <f>'2-41'!L774</f>
        <v>18914802.670000002</v>
      </c>
    </row>
    <row r="119" spans="1:6" s="853" customFormat="1" ht="16.899999999999999" customHeight="1">
      <c r="A119" s="931">
        <v>8</v>
      </c>
      <c r="B119" s="900" t="s">
        <v>1973</v>
      </c>
      <c r="C119" s="3">
        <f>'2-41'!H783</f>
        <v>14097.569999999998</v>
      </c>
      <c r="D119" s="896">
        <f>'2-41'!K783</f>
        <v>519</v>
      </c>
      <c r="E119" s="896">
        <v>11</v>
      </c>
      <c r="F119" s="3">
        <f>'2-41'!L783</f>
        <v>39849754.019999996</v>
      </c>
    </row>
    <row r="120" spans="1:6" s="853" customFormat="1" ht="16.899999999999999" customHeight="1">
      <c r="A120" s="931">
        <v>9</v>
      </c>
      <c r="B120" s="900" t="s">
        <v>1174</v>
      </c>
      <c r="C120" s="3">
        <f>'2-41'!H795</f>
        <v>5051.3999999999996</v>
      </c>
      <c r="D120" s="897">
        <f>'2-41'!K795</f>
        <v>172</v>
      </c>
      <c r="E120" s="897">
        <v>10</v>
      </c>
      <c r="F120" s="3">
        <f>'2-41'!L795</f>
        <v>6809724.7699999996</v>
      </c>
    </row>
    <row r="121" spans="1:6" s="853" customFormat="1" ht="21" customHeight="1">
      <c r="A121" s="931">
        <v>10</v>
      </c>
      <c r="B121" s="901" t="s">
        <v>1978</v>
      </c>
      <c r="C121" s="3">
        <f>'2-41'!H806</f>
        <v>42295.69</v>
      </c>
      <c r="D121" s="896">
        <f>'2-41'!K806</f>
        <v>1367</v>
      </c>
      <c r="E121" s="896">
        <v>22</v>
      </c>
      <c r="F121" s="3">
        <f>'2-41'!L806</f>
        <v>71527022.519999996</v>
      </c>
    </row>
    <row r="122" spans="1:6" s="853" customFormat="1" ht="16.899999999999999" customHeight="1">
      <c r="A122" s="931">
        <v>11</v>
      </c>
      <c r="B122" s="901" t="s">
        <v>1052</v>
      </c>
      <c r="C122" s="3">
        <f>'2-41'!H829</f>
        <v>3476.9</v>
      </c>
      <c r="D122" s="897">
        <f>'2-41'!K829</f>
        <v>73</v>
      </c>
      <c r="E122" s="897">
        <v>3</v>
      </c>
      <c r="F122" s="3">
        <f>'2-41'!L829</f>
        <v>11138273.600000001</v>
      </c>
    </row>
    <row r="123" spans="1:6" s="853" customFormat="1" ht="16.899999999999999" customHeight="1">
      <c r="A123" s="931">
        <v>12</v>
      </c>
      <c r="B123" s="901" t="s">
        <v>1236</v>
      </c>
      <c r="C123" s="3">
        <f>'2-41'!H833</f>
        <v>3672.1</v>
      </c>
      <c r="D123" s="897">
        <f>'2-41'!K833</f>
        <v>94</v>
      </c>
      <c r="E123" s="897">
        <v>3</v>
      </c>
      <c r="F123" s="3">
        <f>'2-41'!L833</f>
        <v>7060927.2999999998</v>
      </c>
    </row>
    <row r="124" spans="1:6" s="853" customFormat="1" ht="16.899999999999999" customHeight="1">
      <c r="A124" s="931">
        <v>13</v>
      </c>
      <c r="B124" s="901" t="s">
        <v>1056</v>
      </c>
      <c r="C124" s="3">
        <f>'2-41'!H837</f>
        <v>6304.6</v>
      </c>
      <c r="D124" s="897">
        <f>'2-41'!K837</f>
        <v>217</v>
      </c>
      <c r="E124" s="897">
        <v>6</v>
      </c>
      <c r="F124" s="3">
        <f>'2-41'!L837</f>
        <v>18536911</v>
      </c>
    </row>
    <row r="125" spans="1:6" s="853" customFormat="1" ht="16.899999999999999" customHeight="1">
      <c r="A125" s="931">
        <v>14</v>
      </c>
      <c r="B125" s="901" t="s">
        <v>1175</v>
      </c>
      <c r="C125" s="3">
        <f>'2-41'!H844</f>
        <v>4612.3</v>
      </c>
      <c r="D125" s="897">
        <f>'2-41'!K844</f>
        <v>158</v>
      </c>
      <c r="E125" s="897">
        <v>3</v>
      </c>
      <c r="F125" s="3">
        <f>'2-41'!L844</f>
        <v>6556171.6500000004</v>
      </c>
    </row>
    <row r="126" spans="1:6" s="853" customFormat="1" ht="16.899999999999999" customHeight="1">
      <c r="A126" s="931">
        <v>15</v>
      </c>
      <c r="B126" s="901" t="s">
        <v>1979</v>
      </c>
      <c r="C126" s="3">
        <f>'2-41'!H848</f>
        <v>13726.499999999996</v>
      </c>
      <c r="D126" s="896">
        <f>'2-41'!K848</f>
        <v>557</v>
      </c>
      <c r="E126" s="896">
        <v>10</v>
      </c>
      <c r="F126" s="3">
        <f>'2-41'!L848</f>
        <v>28636726.710000005</v>
      </c>
    </row>
    <row r="127" spans="1:6" s="853" customFormat="1" ht="16.899999999999999" customHeight="1">
      <c r="A127" s="931">
        <v>16</v>
      </c>
      <c r="B127" s="901" t="s">
        <v>1974</v>
      </c>
      <c r="C127" s="3">
        <f>'2-41'!H859</f>
        <v>1063.5999999999999</v>
      </c>
      <c r="D127" s="897">
        <f>'2-41'!K859</f>
        <v>41</v>
      </c>
      <c r="E127" s="897">
        <v>2</v>
      </c>
      <c r="F127" s="3">
        <f>'2-41'!L859</f>
        <v>4066007.92</v>
      </c>
    </row>
    <row r="128" spans="1:6" s="853" customFormat="1" ht="16.899999999999999" customHeight="1">
      <c r="A128" s="931">
        <v>17</v>
      </c>
      <c r="B128" s="901" t="s">
        <v>1248</v>
      </c>
      <c r="C128" s="3">
        <f>'2-41'!H862</f>
        <v>35080.299999999996</v>
      </c>
      <c r="D128" s="897">
        <f>'2-41'!K862</f>
        <v>1173</v>
      </c>
      <c r="E128" s="897">
        <v>27</v>
      </c>
      <c r="F128" s="3">
        <f>'2-41'!L862</f>
        <v>52403248.219999991</v>
      </c>
    </row>
    <row r="129" spans="1:6" s="853" customFormat="1" ht="16.899999999999999" customHeight="1">
      <c r="A129" s="931">
        <v>18</v>
      </c>
      <c r="B129" s="901" t="s">
        <v>1185</v>
      </c>
      <c r="C129" s="3">
        <f>'2-41'!H890</f>
        <v>6389.5</v>
      </c>
      <c r="D129" s="896">
        <f>'2-41'!K890</f>
        <v>213</v>
      </c>
      <c r="E129" s="896">
        <v>6</v>
      </c>
      <c r="F129" s="3">
        <f>'2-41'!L890</f>
        <v>15617979.109999999</v>
      </c>
    </row>
    <row r="130" spans="1:6" s="853" customFormat="1" ht="16.899999999999999" customHeight="1">
      <c r="A130" s="931">
        <v>19</v>
      </c>
      <c r="B130" s="901" t="s">
        <v>1977</v>
      </c>
      <c r="C130" s="3">
        <f>'2-41'!H897</f>
        <v>78926.300000000017</v>
      </c>
      <c r="D130" s="896">
        <f>'2-41'!K897</f>
        <v>2881</v>
      </c>
      <c r="E130" s="896">
        <v>31</v>
      </c>
      <c r="F130" s="3">
        <f>'2-41'!L897</f>
        <v>151370689.77058002</v>
      </c>
    </row>
    <row r="131" spans="1:6" s="853" customFormat="1" ht="16.899999999999999" customHeight="1">
      <c r="A131" s="931">
        <v>20</v>
      </c>
      <c r="B131" s="901" t="s">
        <v>1057</v>
      </c>
      <c r="C131" s="3">
        <f>'2-41'!H929</f>
        <v>2797.7000000000003</v>
      </c>
      <c r="D131" s="897">
        <f>'2-41'!K929</f>
        <v>110</v>
      </c>
      <c r="E131" s="897">
        <v>6</v>
      </c>
      <c r="F131" s="3">
        <f>'2-41'!L929</f>
        <v>13173642.190000001</v>
      </c>
    </row>
    <row r="132" spans="1:6" s="853" customFormat="1" ht="21" customHeight="1">
      <c r="A132" s="931">
        <v>21</v>
      </c>
      <c r="B132" s="901" t="s">
        <v>1976</v>
      </c>
      <c r="C132" s="3">
        <f>'2-41'!H936</f>
        <v>4801.7</v>
      </c>
      <c r="D132" s="897">
        <f>'2-41'!K936</f>
        <v>164</v>
      </c>
      <c r="E132" s="897">
        <v>8</v>
      </c>
      <c r="F132" s="3">
        <f>'2-41'!L936</f>
        <v>23427486.26684</v>
      </c>
    </row>
    <row r="133" spans="1:6" s="853" customFormat="1" ht="16.899999999999999" customHeight="1">
      <c r="A133" s="931">
        <v>22</v>
      </c>
      <c r="B133" s="901" t="s">
        <v>1072</v>
      </c>
      <c r="C133" s="3">
        <f>'2-41'!H945</f>
        <v>32867.800000000003</v>
      </c>
      <c r="D133" s="897">
        <f>'2-41'!K945</f>
        <v>1395</v>
      </c>
      <c r="E133" s="897">
        <v>24</v>
      </c>
      <c r="F133" s="3">
        <f>'2-41'!L945</f>
        <v>60084473.129880004</v>
      </c>
    </row>
    <row r="134" spans="1:6" s="853" customFormat="1" ht="16.899999999999999" customHeight="1">
      <c r="A134" s="931">
        <v>23</v>
      </c>
      <c r="B134" s="901" t="s">
        <v>1824</v>
      </c>
      <c r="C134" s="3">
        <f>'2-41'!H970</f>
        <v>808</v>
      </c>
      <c r="D134" s="897">
        <f>'2-41'!K970</f>
        <v>25</v>
      </c>
      <c r="E134" s="897">
        <v>1</v>
      </c>
      <c r="F134" s="3">
        <f>'2-41'!L970</f>
        <v>4862609.08</v>
      </c>
    </row>
    <row r="135" spans="1:6" s="853" customFormat="1" ht="16.899999999999999" customHeight="1">
      <c r="A135" s="931">
        <v>24</v>
      </c>
      <c r="B135" s="901" t="s">
        <v>1249</v>
      </c>
      <c r="C135" s="3">
        <f>'2-41'!H972</f>
        <v>6992.2</v>
      </c>
      <c r="D135" s="897">
        <f>'2-41'!K972</f>
        <v>215</v>
      </c>
      <c r="E135" s="897">
        <v>8</v>
      </c>
      <c r="F135" s="3">
        <f>'2-41'!L972</f>
        <v>23221166.859999999</v>
      </c>
    </row>
    <row r="136" spans="1:6" s="853" customFormat="1" ht="16.899999999999999" customHeight="1">
      <c r="A136" s="931">
        <v>25</v>
      </c>
      <c r="B136" s="901" t="s">
        <v>1250</v>
      </c>
      <c r="C136" s="3">
        <f>'2-41'!H981</f>
        <v>22650.899999999998</v>
      </c>
      <c r="D136" s="897">
        <f>'2-41'!K981</f>
        <v>756</v>
      </c>
      <c r="E136" s="897">
        <v>13</v>
      </c>
      <c r="F136" s="3">
        <f>'2-41'!L981</f>
        <v>38151538.240000002</v>
      </c>
    </row>
    <row r="137" spans="1:6" s="853" customFormat="1" ht="16.899999999999999" customHeight="1">
      <c r="A137" s="931">
        <v>26</v>
      </c>
      <c r="B137" s="901" t="s">
        <v>1817</v>
      </c>
      <c r="C137" s="3">
        <f>'2-41'!H995</f>
        <v>1647</v>
      </c>
      <c r="D137" s="897">
        <f>'2-41'!K995</f>
        <v>45</v>
      </c>
      <c r="E137" s="897">
        <v>2</v>
      </c>
      <c r="F137" s="3">
        <f>'2-41'!L995</f>
        <v>12337443.82</v>
      </c>
    </row>
    <row r="138" spans="1:6" s="853" customFormat="1" ht="16.899999999999999" customHeight="1">
      <c r="A138" s="931">
        <v>27</v>
      </c>
      <c r="B138" s="902" t="s">
        <v>1069</v>
      </c>
      <c r="C138" s="3">
        <f>'2-41'!H998</f>
        <v>2532.3000000000002</v>
      </c>
      <c r="D138" s="897">
        <f>'2-41'!K998</f>
        <v>126</v>
      </c>
      <c r="E138" s="897">
        <v>3</v>
      </c>
      <c r="F138" s="3">
        <f>'2-41'!L998</f>
        <v>7002836.7800000003</v>
      </c>
    </row>
    <row r="139" spans="1:6" s="853" customFormat="1" ht="16.899999999999999" customHeight="1">
      <c r="A139" s="931">
        <v>28</v>
      </c>
      <c r="B139" s="902" t="s">
        <v>1794</v>
      </c>
      <c r="C139" s="3">
        <v>975.3</v>
      </c>
      <c r="D139" s="897">
        <v>27</v>
      </c>
      <c r="E139" s="897">
        <v>2</v>
      </c>
      <c r="F139" s="3">
        <v>3611200.94</v>
      </c>
    </row>
    <row r="140" spans="1:6" s="853" customFormat="1" ht="16.899999999999999" customHeight="1">
      <c r="A140" s="931">
        <v>29</v>
      </c>
      <c r="B140" s="901" t="s">
        <v>1058</v>
      </c>
      <c r="C140" s="3">
        <f>'2-41'!H1005</f>
        <v>7034.2</v>
      </c>
      <c r="D140" s="897">
        <f>'2-41'!K1005</f>
        <v>267</v>
      </c>
      <c r="E140" s="897">
        <v>5</v>
      </c>
      <c r="F140" s="3">
        <f>'2-41'!L1005</f>
        <v>21394908.216608003</v>
      </c>
    </row>
    <row r="141" spans="1:6" s="853" customFormat="1" ht="16.899999999999999" customHeight="1">
      <c r="A141" s="931">
        <v>30</v>
      </c>
      <c r="B141" s="901" t="s">
        <v>1176</v>
      </c>
      <c r="C141" s="3">
        <f>'2-41'!H1011</f>
        <v>1366.5</v>
      </c>
      <c r="D141" s="897">
        <f>'2-41'!K1011</f>
        <v>56</v>
      </c>
      <c r="E141" s="897">
        <v>2</v>
      </c>
      <c r="F141" s="3">
        <f>'2-41'!L1011</f>
        <v>4992786.5399999991</v>
      </c>
    </row>
    <row r="142" spans="1:6" s="853" customFormat="1" ht="16.899999999999999" customHeight="1">
      <c r="A142" s="931">
        <v>31</v>
      </c>
      <c r="B142" s="901" t="s">
        <v>1068</v>
      </c>
      <c r="C142" s="3">
        <f>'2-41'!H1014</f>
        <v>1827.8000000000002</v>
      </c>
      <c r="D142" s="897">
        <f>'2-41'!K1014</f>
        <v>48</v>
      </c>
      <c r="E142" s="897">
        <v>2</v>
      </c>
      <c r="F142" s="3">
        <f>'2-41'!L1014</f>
        <v>4481758.41</v>
      </c>
    </row>
    <row r="143" spans="1:6" s="853" customFormat="1" ht="16.899999999999999" customHeight="1">
      <c r="A143" s="931">
        <v>32</v>
      </c>
      <c r="B143" s="902" t="s">
        <v>1187</v>
      </c>
      <c r="C143" s="3">
        <f>'2-41'!H1017</f>
        <v>10338.6</v>
      </c>
      <c r="D143" s="897">
        <f>'2-41'!K1017</f>
        <v>419</v>
      </c>
      <c r="E143" s="897">
        <v>13</v>
      </c>
      <c r="F143" s="3">
        <f>'2-41'!L1017</f>
        <v>35375596.019999996</v>
      </c>
    </row>
    <row r="144" spans="1:6" s="853" customFormat="1" ht="25.5" customHeight="1">
      <c r="A144" s="931">
        <v>33</v>
      </c>
      <c r="B144" s="902" t="s">
        <v>1975</v>
      </c>
      <c r="C144" s="3">
        <f>'2-41'!H1031</f>
        <v>1417.1</v>
      </c>
      <c r="D144" s="897">
        <f>'2-41'!K1031</f>
        <v>58</v>
      </c>
      <c r="E144" s="897">
        <v>3</v>
      </c>
      <c r="F144" s="3">
        <f>'2-41'!L1031</f>
        <v>3395440.0700000003</v>
      </c>
    </row>
    <row r="145" spans="1:6" s="853" customFormat="1" ht="16.899999999999999" customHeight="1">
      <c r="A145" s="931">
        <v>34</v>
      </c>
      <c r="B145" s="902" t="s">
        <v>207</v>
      </c>
      <c r="C145" s="3">
        <f>'2-41'!H1035</f>
        <v>35876.15</v>
      </c>
      <c r="D145" s="897">
        <f>'2-41'!K1036</f>
        <v>320</v>
      </c>
      <c r="E145" s="897">
        <v>7</v>
      </c>
      <c r="F145" s="3">
        <f>'2-41'!L1035</f>
        <v>37279404.839999996</v>
      </c>
    </row>
    <row r="146" spans="1:6" s="853" customFormat="1" ht="16.899999999999999" customHeight="1">
      <c r="A146" s="931">
        <v>35</v>
      </c>
      <c r="B146" s="903" t="s">
        <v>2056</v>
      </c>
      <c r="C146" s="3">
        <f>'2-41'!H1043</f>
        <v>2929.8999999999996</v>
      </c>
      <c r="D146" s="897">
        <f>'2-41'!K1043</f>
        <v>132</v>
      </c>
      <c r="E146" s="897">
        <v>5</v>
      </c>
      <c r="F146" s="3">
        <f>'2-41'!L1043</f>
        <v>8147343.54</v>
      </c>
    </row>
    <row r="147" spans="1:6">
      <c r="F147" s="905" t="s">
        <v>1143</v>
      </c>
    </row>
  </sheetData>
  <autoFilter ref="A5:F146"/>
  <customSheetViews>
    <customSheetView guid="{971AA6D5-B469-4A54-816C-1252CCB6D265}" scale="90" showPageBreaks="1" fitToPage="1" printArea="1" showAutoFilter="1" view="pageBreakPreview">
      <pane xSplit="5" ySplit="6" topLeftCell="F121" activePane="bottomRight" state="frozen"/>
      <selection pane="bottomRight" activeCell="A249" sqref="A249"/>
      <pageMargins left="0.62992125984251968" right="0.51181102362204722" top="0.82677165354330717" bottom="0.43307086614173229" header="0.51181102362204722" footer="0.31496062992125984"/>
      <printOptions horizontalCentered="1"/>
      <pageSetup paperSize="9" scale="81" firstPageNumber="100" fitToHeight="0" orientation="landscape" useFirstPageNumber="1" r:id="rId1"/>
      <headerFooter>
        <oddHeader>&amp;C&amp;"Times New Roman,обычный"&amp;12&amp;P</oddHeader>
      </headerFooter>
      <autoFilter ref="A5:F248"/>
    </customSheetView>
    <customSheetView guid="{DFE5B545-478C-4B86-847C-1FEE882C6F69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2"/>
      <headerFooter>
        <oddHeader>&amp;C&amp;"Times New Roman,обычный"&amp;14&amp;P</oddHeader>
      </headerFooter>
      <autoFilter ref="A5:F327"/>
    </customSheetView>
    <customSheetView guid="{4C44C113-DA02-468D-99C5-83FA6693F42F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3"/>
      <headerFooter>
        <oddHeader>&amp;C&amp;"Times New Roman,обычный"&amp;14&amp;P</oddHeader>
      </headerFooter>
      <autoFilter ref="A5:F327"/>
    </customSheetView>
    <customSheetView guid="{570403C4-1D93-4175-B4D8-BD47D46CE99C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4"/>
      <headerFooter>
        <oddHeader>&amp;C&amp;"Times New Roman,обычный"&amp;14&amp;P</oddHeader>
      </headerFooter>
      <autoFilter ref="A5:F327"/>
    </customSheetView>
    <customSheetView guid="{B1841E62-04AF-4786-8B2B-B1F42C88E6D1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5"/>
      <headerFooter>
        <oddHeader>&amp;C&amp;"Times New Roman,обычный"&amp;14&amp;P</oddHeader>
      </headerFooter>
      <autoFilter ref="A5:F327"/>
    </customSheetView>
    <customSheetView guid="{A28C0ADC-4E0C-4A0A-ACB1-DA409183476D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6"/>
      <headerFooter>
        <oddHeader>&amp;C&amp;"Times New Roman,обычный"&amp;14&amp;P</oddHeader>
      </headerFooter>
      <autoFilter ref="A5:F327"/>
    </customSheetView>
    <customSheetView guid="{144E5A37-1CF2-41F0-BEF8-CB5D4D392E2A}" scale="73" showPageBreaks="1" fitToPage="1" printArea="1" showAutoFilter="1" view="pageBreakPreview">
      <pane xSplit="4" ySplit="5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7"/>
      <headerFooter>
        <oddHeader>&amp;C&amp;"Times New Roman,обычный"&amp;14&amp;P</oddHeader>
      </headerFooter>
      <autoFilter ref="A5:F327"/>
    </customSheetView>
    <customSheetView guid="{7A75CCE7-0E84-47E6-A162-5AC0354F2967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8"/>
      <headerFooter>
        <oddHeader>&amp;C&amp;"Times New Roman,обычный"&amp;14&amp;P</oddHeader>
      </headerFooter>
      <autoFilter ref="A5:F327"/>
    </customSheetView>
    <customSheetView guid="{A6187BD3-0BA4-497C-8924-4FA3D77530F0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9"/>
      <headerFooter>
        <oddHeader>&amp;C&amp;"Times New Roman,обычный"&amp;14&amp;P</oddHeader>
      </headerFooter>
      <autoFilter ref="A5:F327"/>
    </customSheetView>
    <customSheetView guid="{DC88C499-913F-4D15-846E-E5B9D5E047D7}" scale="73" showPageBreaks="1" fitToPage="1" printArea="1" showAutoFilter="1" view="pageBreakPreview">
      <pane xSplit="5" ySplit="6" topLeftCell="F311" activePane="bottomRight" state="frozen"/>
      <selection pane="bottomRight" activeCell="A328" sqref="A328"/>
      <pageMargins left="0.62992125984251968" right="0.51181102362204722" top="1.1811023622047245" bottom="0.59055118110236227" header="0.51181102362204722" footer="0.31496062992125984"/>
      <printOptions horizontalCentered="1"/>
      <pageSetup paperSize="9" scale="81" firstPageNumber="88" fitToHeight="0" orientation="landscape" useFirstPageNumber="1" r:id="rId10"/>
      <headerFooter>
        <oddHeader>&amp;C&amp;"Times New Roman,обычный"&amp;14&amp;P</oddHeader>
      </headerFooter>
      <autoFilter ref="A5:F327"/>
    </customSheetView>
  </customSheetViews>
  <mergeCells count="12">
    <mergeCell ref="A110:F110"/>
    <mergeCell ref="A8:F8"/>
    <mergeCell ref="A42:F42"/>
    <mergeCell ref="A76:F76"/>
    <mergeCell ref="A1:F1"/>
    <mergeCell ref="A2:A4"/>
    <mergeCell ref="B2:B4"/>
    <mergeCell ref="C2:C3"/>
    <mergeCell ref="D2:D3"/>
    <mergeCell ref="E2:E3"/>
    <mergeCell ref="F2:F3"/>
    <mergeCell ref="A6:F6"/>
  </mergeCells>
  <printOptions horizontalCentered="1"/>
  <pageMargins left="0.59055118110236227" right="0.59055118110236227" top="1.1811023622047245" bottom="0.78740157480314965" header="0.70866141732283472" footer="0.51181102362204722"/>
  <pageSetup paperSize="9" scale="82" firstPageNumber="70" fitToHeight="0" orientation="landscape" useFirstPageNumber="1" r:id="rId1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часть 1</vt:lpstr>
      <vt:lpstr>часть 2</vt:lpstr>
      <vt:lpstr>часть 3</vt:lpstr>
      <vt:lpstr>№ п-п</vt:lpstr>
      <vt:lpstr>2-41</vt:lpstr>
      <vt:lpstr>42-69</vt:lpstr>
      <vt:lpstr>70-74</vt:lpstr>
      <vt:lpstr>'2-41'!Заголовки_для_печати</vt:lpstr>
      <vt:lpstr>'42-69'!Заголовки_для_печати</vt:lpstr>
      <vt:lpstr>'70-74'!Заголовки_для_печати</vt:lpstr>
      <vt:lpstr>'часть 1'!Заголовки_для_печати</vt:lpstr>
      <vt:lpstr>'часть 2'!Заголовки_для_печати</vt:lpstr>
      <vt:lpstr>'часть 3'!Заголовки_для_печати</vt:lpstr>
      <vt:lpstr>'2-41'!Область_печати</vt:lpstr>
      <vt:lpstr>'42-69'!Область_печати</vt:lpstr>
      <vt:lpstr>'70-74'!Область_печати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Львова Ирина Алексеевна</cp:lastModifiedBy>
  <cp:lastPrinted>2024-04-10T07:15:15Z</cp:lastPrinted>
  <dcterms:created xsi:type="dcterms:W3CDTF">2012-12-13T11:50:40Z</dcterms:created>
  <dcterms:modified xsi:type="dcterms:W3CDTF">2024-04-10T07:15:51Z</dcterms:modified>
</cp:coreProperties>
</file>